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theme/themeOverride1.xml" ContentType="application/vnd.openxmlformats-officedocument.themeOverride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theme/themeOverride2.xml" ContentType="application/vnd.openxmlformats-officedocument.themeOverride+xml"/>
  <Override PartName="/xl/charts/chart3.xml" ContentType="application/vnd.openxmlformats-officedocument.drawingml.chart+xml"/>
  <Override PartName="/xl/theme/themeOverride3.xml" ContentType="application/vnd.openxmlformats-officedocument.themeOverride+xml"/>
  <Override PartName="/xl/charts/chart4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theme/themeOverride4.xml" ContentType="application/vnd.openxmlformats-officedocument.themeOverride+xml"/>
  <Override PartName="/xl/drawings/drawing2.xml" ContentType="application/vnd.openxmlformats-officedocument.drawing+xml"/>
  <Override PartName="/xl/charts/chart5.xml" ContentType="application/vnd.openxmlformats-officedocument.drawingml.chart+xml"/>
  <Override PartName="/xl/theme/themeOverride5.xml" ContentType="application/vnd.openxmlformats-officedocument.themeOverride+xml"/>
  <Override PartName="/xl/charts/chart6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7.xml" ContentType="application/vnd.openxmlformats-officedocument.drawingml.chart+xml"/>
  <Override PartName="/xl/theme/themeOverride6.xml" ContentType="application/vnd.openxmlformats-officedocument.themeOverride+xml"/>
  <Override PartName="/xl/charts/chart8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omments1.xml" ContentType="application/vnd.openxmlformats-officedocument.spreadsheetml.comment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updateLinks="always" codeName="ThisWorkbook"/>
  <mc:AlternateContent xmlns:mc="http://schemas.openxmlformats.org/markup-compatibility/2006">
    <mc:Choice Requires="x15">
      <x15ac:absPath xmlns:x15ac="http://schemas.microsoft.com/office/spreadsheetml/2010/11/ac" url="https://d.docs.live.net/bdaca7d13ca77d7c/Desktop/Koinon/eiti drc/models/current/"/>
    </mc:Choice>
  </mc:AlternateContent>
  <xr:revisionPtr revIDLastSave="81" documentId="8_{10556C8D-AA34-4D76-B446-9D2CA3A239F4}" xr6:coauthVersionLast="47" xr6:coauthVersionMax="47" xr10:uidLastSave="{25398F11-BBEB-44D3-96B5-F47920A99240}"/>
  <bookViews>
    <workbookView xWindow="-108" yWindow="-108" windowWidth="23256" windowHeight="12576" firstSheet="1" activeTab="2" xr2:uid="{1A7A34AC-4B29-40E9-B372-CB93A0E65504}"/>
  </bookViews>
  <sheets>
    <sheet name="ToDo" sheetId="23" r:id="rId1"/>
    <sheet name="Track" sheetId="15" r:id="rId2"/>
    <sheet name="Dashboard" sheetId="11" r:id="rId3"/>
    <sheet name="SummaryC_Flow" sheetId="16" r:id="rId4"/>
    <sheet name="Charts" sheetId="17" r:id="rId5"/>
    <sheet name="OnePager" sheetId="22" r:id="rId6"/>
    <sheet name="Scenarios" sheetId="18" r:id="rId7"/>
    <sheet name="COMMUS_Model" sheetId="2" r:id="rId8"/>
    <sheet name="EITI_Rev" sheetId="14" r:id="rId9"/>
    <sheet name="T&amp;E" sheetId="10" r:id="rId10"/>
    <sheet name="Inputs_Con" sheetId="9" r:id="rId11"/>
    <sheet name="Inputs_TS" sheetId="4" r:id="rId12"/>
    <sheet name="COMMUS_23FS_Model" sheetId="7" r:id="rId13"/>
    <sheet name="Sources" sheetId="3" r:id="rId14"/>
    <sheet name="Inputs_ FS" sheetId="8" r:id="rId15"/>
    <sheet name="NewSheet" sheetId="12" r:id="rId16"/>
  </sheets>
  <definedNames>
    <definedName name="CHK_TOL">Inputs_Con!$F$138</definedName>
    <definedName name="SMU" localSheetId="12">COMMUS_23FS_Model!#REF!</definedName>
    <definedName name="SMU">Inputs_Con!$F$146</definedName>
    <definedName name="USDMN" localSheetId="12">COMMUS_23FS_Model!#REF!</definedName>
    <definedName name="USDMN">Inputs_Con!$F$148</definedName>
  </definedNames>
  <calcPr calcId="191028" iterateDelta="1.0000000000000001E-5" calcCompleted="0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16" i="18" l="1"/>
  <c r="B111" i="18"/>
  <c r="B105" i="18"/>
  <c r="B93" i="18"/>
  <c r="B87" i="18"/>
  <c r="B81" i="18"/>
  <c r="B75" i="18"/>
  <c r="B70" i="18"/>
  <c r="B65" i="18"/>
  <c r="B32" i="23"/>
  <c r="B31" i="23"/>
  <c r="B30" i="23"/>
  <c r="B29" i="23"/>
  <c r="A29" i="23"/>
  <c r="A27" i="23"/>
  <c r="A23" i="23"/>
  <c r="A20" i="23"/>
  <c r="A18" i="23"/>
  <c r="B27" i="23"/>
  <c r="C23" i="23"/>
  <c r="E564" i="2"/>
  <c r="F564" i="2"/>
  <c r="G564" i="2"/>
  <c r="H564" i="2"/>
  <c r="I564" i="2"/>
  <c r="J564" i="2"/>
  <c r="K564" i="2"/>
  <c r="L564" i="2"/>
  <c r="M564" i="2"/>
  <c r="N564" i="2"/>
  <c r="O564" i="2"/>
  <c r="P564" i="2"/>
  <c r="Q564" i="2"/>
  <c r="R564" i="2"/>
  <c r="S564" i="2"/>
  <c r="T564" i="2"/>
  <c r="U564" i="2"/>
  <c r="V564" i="2"/>
  <c r="W564" i="2"/>
  <c r="X564" i="2"/>
  <c r="Y564" i="2"/>
  <c r="Z564" i="2"/>
  <c r="AA564" i="2"/>
  <c r="AB564" i="2"/>
  <c r="AC564" i="2"/>
  <c r="AD564" i="2"/>
  <c r="AE564" i="2"/>
  <c r="AF564" i="2"/>
  <c r="AG564" i="2"/>
  <c r="AH564" i="2"/>
  <c r="AI564" i="2"/>
  <c r="AJ564" i="2"/>
  <c r="AK564" i="2"/>
  <c r="AL564" i="2"/>
  <c r="AM564" i="2"/>
  <c r="AN564" i="2"/>
  <c r="AO564" i="2"/>
  <c r="AP564" i="2"/>
  <c r="AQ564" i="2"/>
  <c r="AR564" i="2"/>
  <c r="AS564" i="2"/>
  <c r="E513" i="2"/>
  <c r="F513" i="2"/>
  <c r="G513" i="2"/>
  <c r="H513" i="2"/>
  <c r="I513" i="2"/>
  <c r="J513" i="2"/>
  <c r="K513" i="2"/>
  <c r="L513" i="2"/>
  <c r="M513" i="2"/>
  <c r="N513" i="2"/>
  <c r="O513" i="2"/>
  <c r="P513" i="2"/>
  <c r="Q513" i="2"/>
  <c r="R513" i="2"/>
  <c r="S513" i="2"/>
  <c r="T513" i="2"/>
  <c r="U513" i="2"/>
  <c r="V513" i="2"/>
  <c r="W513" i="2"/>
  <c r="X513" i="2"/>
  <c r="Y513" i="2"/>
  <c r="Z513" i="2"/>
  <c r="AA513" i="2"/>
  <c r="AB513" i="2"/>
  <c r="AC513" i="2"/>
  <c r="AD513" i="2"/>
  <c r="AE513" i="2"/>
  <c r="AF513" i="2"/>
  <c r="AG513" i="2"/>
  <c r="AH513" i="2"/>
  <c r="AI513" i="2"/>
  <c r="AJ513" i="2"/>
  <c r="AK513" i="2"/>
  <c r="AL513" i="2"/>
  <c r="AM513" i="2"/>
  <c r="AN513" i="2"/>
  <c r="AO513" i="2"/>
  <c r="AP513" i="2"/>
  <c r="AQ513" i="2"/>
  <c r="AR513" i="2"/>
  <c r="AS513" i="2"/>
  <c r="E43" i="10"/>
  <c r="G43" i="10"/>
  <c r="G42" i="10"/>
  <c r="F42" i="10"/>
  <c r="AV43" i="10" s="1"/>
  <c r="E42" i="10"/>
  <c r="E41" i="10"/>
  <c r="V158" i="7"/>
  <c r="V160" i="7" s="1"/>
  <c r="B20" i="23"/>
  <c r="J471" i="2"/>
  <c r="H471" i="2"/>
  <c r="G471" i="2"/>
  <c r="F471" i="2"/>
  <c r="E471" i="2"/>
  <c r="E470" i="2"/>
  <c r="F470" i="2"/>
  <c r="G470" i="2"/>
  <c r="H470" i="2"/>
  <c r="J470" i="2"/>
  <c r="D3" i="18"/>
  <c r="G16" i="9"/>
  <c r="F16" i="9"/>
  <c r="E16" i="9"/>
  <c r="G15" i="9"/>
  <c r="F15" i="9"/>
  <c r="E15" i="9"/>
  <c r="G14" i="9"/>
  <c r="F14" i="9"/>
  <c r="E14" i="9"/>
  <c r="G13" i="9"/>
  <c r="E13" i="9"/>
  <c r="C31" i="18" a="1"/>
  <c r="C31" i="18" s="1"/>
  <c r="C30" i="18" a="1"/>
  <c r="C30" i="18" s="1"/>
  <c r="C29" i="18" a="1"/>
  <c r="C29" i="18" s="1"/>
  <c r="C28" i="18" a="1"/>
  <c r="C28" i="18" s="1"/>
  <c r="F13" i="9" s="1"/>
  <c r="W153" i="4"/>
  <c r="AT43" i="10" l="1"/>
  <c r="AU43" i="10"/>
  <c r="A7" i="23" l="1"/>
  <c r="B12" i="23"/>
  <c r="C7" i="23"/>
  <c r="Q27" i="22"/>
  <c r="P27" i="22"/>
  <c r="E993" i="2"/>
  <c r="E991" i="2"/>
  <c r="F991" i="2"/>
  <c r="G991" i="2"/>
  <c r="H991" i="2"/>
  <c r="J991" i="2"/>
  <c r="E990" i="2"/>
  <c r="F990" i="2"/>
  <c r="G990" i="2"/>
  <c r="H990" i="2"/>
  <c r="J990" i="2"/>
  <c r="G982" i="2"/>
  <c r="F982" i="2"/>
  <c r="E982" i="2"/>
  <c r="E63" i="14"/>
  <c r="F62" i="14"/>
  <c r="G62" i="14"/>
  <c r="H62" i="14"/>
  <c r="J62" i="14"/>
  <c r="E61" i="14"/>
  <c r="F61" i="14"/>
  <c r="G61" i="14"/>
  <c r="H61" i="14"/>
  <c r="J61" i="14"/>
  <c r="E58" i="14"/>
  <c r="E62" i="14" s="1"/>
  <c r="E57" i="14"/>
  <c r="F57" i="14"/>
  <c r="G57" i="14"/>
  <c r="H57" i="14"/>
  <c r="K57" i="14"/>
  <c r="L57" i="14"/>
  <c r="M57" i="14"/>
  <c r="N57" i="14"/>
  <c r="O57" i="14"/>
  <c r="P57" i="14"/>
  <c r="Q57" i="14"/>
  <c r="R57" i="14"/>
  <c r="S57" i="14"/>
  <c r="T57" i="14"/>
  <c r="U57" i="14"/>
  <c r="V57" i="14"/>
  <c r="W57" i="14"/>
  <c r="X57" i="14"/>
  <c r="Y57" i="14"/>
  <c r="Z57" i="14"/>
  <c r="AA57" i="14"/>
  <c r="AB57" i="14"/>
  <c r="AC57" i="14"/>
  <c r="AD57" i="14"/>
  <c r="AE57" i="14"/>
  <c r="AF57" i="14"/>
  <c r="AG57" i="14"/>
  <c r="AH57" i="14"/>
  <c r="AI57" i="14"/>
  <c r="AJ57" i="14"/>
  <c r="AK57" i="14"/>
  <c r="AL57" i="14"/>
  <c r="AM57" i="14"/>
  <c r="AN57" i="14"/>
  <c r="AO57" i="14"/>
  <c r="AP57" i="14"/>
  <c r="AQ57" i="14"/>
  <c r="AR57" i="14"/>
  <c r="AS57" i="14"/>
  <c r="F56" i="14"/>
  <c r="G56" i="14"/>
  <c r="H56" i="14"/>
  <c r="J56" i="14"/>
  <c r="K56" i="14"/>
  <c r="I10" i="14"/>
  <c r="J10" i="14"/>
  <c r="J57" i="14" s="1"/>
  <c r="G49" i="14"/>
  <c r="H49" i="14"/>
  <c r="J49" i="14"/>
  <c r="K49" i="14"/>
  <c r="L49" i="14"/>
  <c r="M49" i="14"/>
  <c r="N49" i="14"/>
  <c r="O49" i="14"/>
  <c r="P49" i="14"/>
  <c r="Q49" i="14"/>
  <c r="R49" i="14"/>
  <c r="S49" i="14"/>
  <c r="T49" i="14"/>
  <c r="U49" i="14"/>
  <c r="V49" i="14"/>
  <c r="W49" i="14"/>
  <c r="X49" i="14"/>
  <c r="Y49" i="14"/>
  <c r="Z49" i="14"/>
  <c r="AA49" i="14"/>
  <c r="AB49" i="14"/>
  <c r="AC49" i="14"/>
  <c r="AD49" i="14"/>
  <c r="AE49" i="14"/>
  <c r="AF49" i="14"/>
  <c r="AG49" i="14"/>
  <c r="AH49" i="14"/>
  <c r="AI49" i="14"/>
  <c r="AJ49" i="14"/>
  <c r="AK49" i="14"/>
  <c r="AL49" i="14"/>
  <c r="AM49" i="14"/>
  <c r="AN49" i="14"/>
  <c r="AO49" i="14"/>
  <c r="AP49" i="14"/>
  <c r="AQ49" i="14"/>
  <c r="AR49" i="14"/>
  <c r="AS49" i="14"/>
  <c r="E49" i="14"/>
  <c r="F49" i="14"/>
  <c r="Q16" i="22"/>
  <c r="P16" i="22"/>
  <c r="O16" i="22"/>
  <c r="Q10" i="22"/>
  <c r="P10" i="22"/>
  <c r="O10" i="22"/>
  <c r="Q9" i="22"/>
  <c r="P9" i="22"/>
  <c r="O9" i="22"/>
  <c r="Q8" i="22"/>
  <c r="P8" i="22"/>
  <c r="O8" i="22"/>
  <c r="Q7" i="22"/>
  <c r="P7" i="22"/>
  <c r="O7" i="22"/>
  <c r="Q6" i="22"/>
  <c r="P6" i="22"/>
  <c r="O6" i="22"/>
  <c r="Q5" i="22"/>
  <c r="P5" i="22"/>
  <c r="O5" i="22"/>
  <c r="H115" i="18"/>
  <c r="J115" i="18"/>
  <c r="Q15" i="22" s="1"/>
  <c r="I115" i="18"/>
  <c r="P15" i="22" s="1"/>
  <c r="F112" i="18"/>
  <c r="B112" i="18"/>
  <c r="G899" i="2"/>
  <c r="F899" i="2"/>
  <c r="E899" i="2"/>
  <c r="G103" i="9"/>
  <c r="G902" i="2" s="1"/>
  <c r="E103" i="9"/>
  <c r="E902" i="2" s="1"/>
  <c r="A9" i="23" l="1"/>
  <c r="I7" i="22"/>
  <c r="K58" i="14"/>
  <c r="K62" i="14" s="1"/>
  <c r="I57" i="14"/>
  <c r="I16" i="22"/>
  <c r="O15" i="22"/>
  <c r="I15" i="22" s="1"/>
  <c r="I6" i="22"/>
  <c r="I10" i="22"/>
  <c r="I9" i="22"/>
  <c r="I5" i="22"/>
  <c r="I8" i="22"/>
  <c r="J929" i="2"/>
  <c r="H929" i="2"/>
  <c r="G929" i="2"/>
  <c r="F929" i="2"/>
  <c r="E929" i="2"/>
  <c r="F924" i="2"/>
  <c r="G924" i="2"/>
  <c r="H924" i="2"/>
  <c r="J924" i="2"/>
  <c r="E924" i="2"/>
  <c r="F887" i="2"/>
  <c r="N887" i="2"/>
  <c r="V887" i="2"/>
  <c r="AD887" i="2"/>
  <c r="AL887" i="2"/>
  <c r="E887" i="2"/>
  <c r="F421" i="7"/>
  <c r="G421" i="7"/>
  <c r="G887" i="2" s="1"/>
  <c r="H421" i="7"/>
  <c r="H887" i="2" s="1"/>
  <c r="I421" i="7"/>
  <c r="I887" i="2" s="1"/>
  <c r="J421" i="7"/>
  <c r="J887" i="2" s="1"/>
  <c r="K421" i="7"/>
  <c r="K887" i="2" s="1"/>
  <c r="L421" i="7"/>
  <c r="L887" i="2" s="1"/>
  <c r="M421" i="7"/>
  <c r="M887" i="2" s="1"/>
  <c r="N421" i="7"/>
  <c r="O421" i="7"/>
  <c r="O887" i="2" s="1"/>
  <c r="P421" i="7"/>
  <c r="P887" i="2" s="1"/>
  <c r="Q421" i="7"/>
  <c r="Q887" i="2" s="1"/>
  <c r="R421" i="7"/>
  <c r="R887" i="2" s="1"/>
  <c r="S421" i="7"/>
  <c r="S887" i="2" s="1"/>
  <c r="T421" i="7"/>
  <c r="T887" i="2" s="1"/>
  <c r="U421" i="7"/>
  <c r="U887" i="2" s="1"/>
  <c r="V421" i="7"/>
  <c r="W421" i="7"/>
  <c r="W887" i="2" s="1"/>
  <c r="X421" i="7"/>
  <c r="X887" i="2" s="1"/>
  <c r="Y421" i="7"/>
  <c r="Y887" i="2" s="1"/>
  <c r="Z421" i="7"/>
  <c r="Z887" i="2" s="1"/>
  <c r="AA421" i="7"/>
  <c r="AA887" i="2" s="1"/>
  <c r="AB421" i="7"/>
  <c r="AB887" i="2" s="1"/>
  <c r="AC421" i="7"/>
  <c r="AC887" i="2" s="1"/>
  <c r="AD421" i="7"/>
  <c r="AE421" i="7"/>
  <c r="AE887" i="2" s="1"/>
  <c r="AF421" i="7"/>
  <c r="AF887" i="2" s="1"/>
  <c r="AG421" i="7"/>
  <c r="AG887" i="2" s="1"/>
  <c r="AH421" i="7"/>
  <c r="AH887" i="2" s="1"/>
  <c r="AI421" i="7"/>
  <c r="AI887" i="2" s="1"/>
  <c r="AJ421" i="7"/>
  <c r="AJ887" i="2" s="1"/>
  <c r="AK421" i="7"/>
  <c r="AK887" i="2" s="1"/>
  <c r="AL421" i="7"/>
  <c r="AM421" i="7"/>
  <c r="AM887" i="2" s="1"/>
  <c r="AN421" i="7"/>
  <c r="AN887" i="2" s="1"/>
  <c r="AO421" i="7"/>
  <c r="AO887" i="2" s="1"/>
  <c r="AP421" i="7"/>
  <c r="AP887" i="2" s="1"/>
  <c r="AQ421" i="7"/>
  <c r="AQ887" i="2" s="1"/>
  <c r="AR421" i="7"/>
  <c r="AR887" i="2" s="1"/>
  <c r="AS421" i="7"/>
  <c r="AS887" i="2" s="1"/>
  <c r="E421" i="7"/>
  <c r="H109" i="8"/>
  <c r="I109" i="8"/>
  <c r="K907" i="2"/>
  <c r="F423" i="7"/>
  <c r="H423" i="7"/>
  <c r="J423" i="7"/>
  <c r="E423" i="7"/>
  <c r="I103" i="8"/>
  <c r="I97" i="8"/>
  <c r="I94" i="8"/>
  <c r="I93" i="8"/>
  <c r="A12" i="23" l="1"/>
  <c r="A15" i="23"/>
  <c r="G904" i="2" l="1"/>
  <c r="F904" i="2"/>
  <c r="G903" i="2"/>
  <c r="F903" i="2"/>
  <c r="F898" i="2"/>
  <c r="G898" i="2"/>
  <c r="H898" i="2"/>
  <c r="I898" i="2"/>
  <c r="J898" i="2"/>
  <c r="E898" i="2"/>
  <c r="J45" i="14"/>
  <c r="H45" i="14"/>
  <c r="G45" i="14"/>
  <c r="F45" i="14"/>
  <c r="E45" i="14"/>
  <c r="F48" i="14"/>
  <c r="G48" i="14"/>
  <c r="H48" i="14"/>
  <c r="J48" i="14"/>
  <c r="E48" i="14"/>
  <c r="L32" i="14"/>
  <c r="L48" i="14" s="1"/>
  <c r="L50" i="14" s="1"/>
  <c r="L61" i="14" s="1"/>
  <c r="M32" i="14"/>
  <c r="M48" i="14" s="1"/>
  <c r="M50" i="14" s="1"/>
  <c r="M61" i="14" s="1"/>
  <c r="N32" i="14"/>
  <c r="N48" i="14" s="1"/>
  <c r="N50" i="14" s="1"/>
  <c r="N61" i="14" s="1"/>
  <c r="O32" i="14"/>
  <c r="O48" i="14" s="1"/>
  <c r="O50" i="14" s="1"/>
  <c r="O61" i="14" s="1"/>
  <c r="P32" i="14"/>
  <c r="P48" i="14" s="1"/>
  <c r="P50" i="14" s="1"/>
  <c r="P61" i="14" s="1"/>
  <c r="Q32" i="14"/>
  <c r="Q48" i="14" s="1"/>
  <c r="Q50" i="14" s="1"/>
  <c r="Q61" i="14" s="1"/>
  <c r="R32" i="14"/>
  <c r="R48" i="14" s="1"/>
  <c r="R50" i="14" s="1"/>
  <c r="R61" i="14" s="1"/>
  <c r="S32" i="14"/>
  <c r="S48" i="14" s="1"/>
  <c r="S50" i="14" s="1"/>
  <c r="S61" i="14" s="1"/>
  <c r="T32" i="14"/>
  <c r="T48" i="14" s="1"/>
  <c r="T50" i="14" s="1"/>
  <c r="T61" i="14" s="1"/>
  <c r="U32" i="14"/>
  <c r="U48" i="14" s="1"/>
  <c r="U50" i="14" s="1"/>
  <c r="U61" i="14" s="1"/>
  <c r="V32" i="14"/>
  <c r="V48" i="14" s="1"/>
  <c r="V50" i="14" s="1"/>
  <c r="V61" i="14" s="1"/>
  <c r="W32" i="14"/>
  <c r="W48" i="14" s="1"/>
  <c r="X32" i="14"/>
  <c r="X48" i="14" s="1"/>
  <c r="Y32" i="14"/>
  <c r="Y48" i="14" s="1"/>
  <c r="Z32" i="14"/>
  <c r="Z48" i="14" s="1"/>
  <c r="AA32" i="14"/>
  <c r="AA48" i="14" s="1"/>
  <c r="AB32" i="14"/>
  <c r="AB48" i="14" s="1"/>
  <c r="AB50" i="14" s="1"/>
  <c r="AB61" i="14" s="1"/>
  <c r="AC32" i="14"/>
  <c r="AC48" i="14" s="1"/>
  <c r="AC50" i="14" s="1"/>
  <c r="AC61" i="14" s="1"/>
  <c r="AD32" i="14"/>
  <c r="AD48" i="14" s="1"/>
  <c r="AD50" i="14" s="1"/>
  <c r="AD61" i="14" s="1"/>
  <c r="AE32" i="14"/>
  <c r="AE48" i="14" s="1"/>
  <c r="AE50" i="14" s="1"/>
  <c r="AE61" i="14" s="1"/>
  <c r="AF32" i="14"/>
  <c r="AF48" i="14" s="1"/>
  <c r="AF50" i="14" s="1"/>
  <c r="AF61" i="14" s="1"/>
  <c r="AG32" i="14"/>
  <c r="AG48" i="14" s="1"/>
  <c r="AG50" i="14" s="1"/>
  <c r="AG61" i="14" s="1"/>
  <c r="AH32" i="14"/>
  <c r="AH48" i="14" s="1"/>
  <c r="AH50" i="14" s="1"/>
  <c r="AH61" i="14" s="1"/>
  <c r="AI32" i="14"/>
  <c r="AI48" i="14" s="1"/>
  <c r="AI50" i="14" s="1"/>
  <c r="AI61" i="14" s="1"/>
  <c r="AJ32" i="14"/>
  <c r="AJ48" i="14" s="1"/>
  <c r="AJ50" i="14" s="1"/>
  <c r="AJ61" i="14" s="1"/>
  <c r="AK32" i="14"/>
  <c r="AK48" i="14" s="1"/>
  <c r="AK50" i="14" s="1"/>
  <c r="AK61" i="14" s="1"/>
  <c r="AL32" i="14"/>
  <c r="AL48" i="14" s="1"/>
  <c r="AL50" i="14" s="1"/>
  <c r="AL61" i="14" s="1"/>
  <c r="AM32" i="14"/>
  <c r="AM48" i="14" s="1"/>
  <c r="AM50" i="14" s="1"/>
  <c r="AM61" i="14" s="1"/>
  <c r="AN32" i="14"/>
  <c r="AN48" i="14" s="1"/>
  <c r="AN50" i="14" s="1"/>
  <c r="AN61" i="14" s="1"/>
  <c r="AO32" i="14"/>
  <c r="AO48" i="14" s="1"/>
  <c r="AO50" i="14" s="1"/>
  <c r="AO61" i="14" s="1"/>
  <c r="AP32" i="14"/>
  <c r="AP48" i="14" s="1"/>
  <c r="AP50" i="14" s="1"/>
  <c r="AP61" i="14" s="1"/>
  <c r="AQ32" i="14"/>
  <c r="AQ48" i="14" s="1"/>
  <c r="AQ50" i="14" s="1"/>
  <c r="AQ61" i="14" s="1"/>
  <c r="AR32" i="14"/>
  <c r="AR48" i="14" s="1"/>
  <c r="AR50" i="14" s="1"/>
  <c r="AR61" i="14" s="1"/>
  <c r="AS32" i="14"/>
  <c r="AS48" i="14" s="1"/>
  <c r="AS50" i="14" s="1"/>
  <c r="AS61" i="14" s="1"/>
  <c r="K32" i="14"/>
  <c r="K48" i="14" s="1"/>
  <c r="K50" i="14" s="1"/>
  <c r="K61" i="14" s="1"/>
  <c r="K63" i="14" s="1"/>
  <c r="K28" i="14"/>
  <c r="I21" i="14"/>
  <c r="I32" i="14" l="1"/>
  <c r="I48" i="14" s="1"/>
  <c r="F37" i="14" l="1"/>
  <c r="G37" i="14"/>
  <c r="H37" i="14"/>
  <c r="J37" i="14"/>
  <c r="E37" i="14"/>
  <c r="L31" i="14"/>
  <c r="L37" i="14" s="1"/>
  <c r="M31" i="14"/>
  <c r="M37" i="14" s="1"/>
  <c r="N31" i="14"/>
  <c r="N37" i="14" s="1"/>
  <c r="O31" i="14"/>
  <c r="O37" i="14" s="1"/>
  <c r="P31" i="14"/>
  <c r="P37" i="14" s="1"/>
  <c r="Q31" i="14"/>
  <c r="Q37" i="14" s="1"/>
  <c r="R31" i="14"/>
  <c r="R37" i="14" s="1"/>
  <c r="S31" i="14"/>
  <c r="S37" i="14" s="1"/>
  <c r="T31" i="14"/>
  <c r="T37" i="14" s="1"/>
  <c r="U31" i="14"/>
  <c r="U37" i="14" s="1"/>
  <c r="V31" i="14"/>
  <c r="V37" i="14" s="1"/>
  <c r="AB31" i="14"/>
  <c r="AB37" i="14" s="1"/>
  <c r="AC31" i="14"/>
  <c r="AC37" i="14" s="1"/>
  <c r="AD31" i="14"/>
  <c r="AD37" i="14" s="1"/>
  <c r="AE31" i="14"/>
  <c r="AE37" i="14" s="1"/>
  <c r="AF31" i="14"/>
  <c r="AF37" i="14" s="1"/>
  <c r="AG31" i="14"/>
  <c r="AG37" i="14" s="1"/>
  <c r="AH31" i="14"/>
  <c r="AH37" i="14" s="1"/>
  <c r="AI31" i="14"/>
  <c r="AI37" i="14" s="1"/>
  <c r="AJ31" i="14"/>
  <c r="AJ37" i="14" s="1"/>
  <c r="AK31" i="14"/>
  <c r="AK37" i="14" s="1"/>
  <c r="AL31" i="14"/>
  <c r="AL37" i="14" s="1"/>
  <c r="AM31" i="14"/>
  <c r="AM37" i="14" s="1"/>
  <c r="AN31" i="14"/>
  <c r="AN37" i="14" s="1"/>
  <c r="AO31" i="14"/>
  <c r="AO37" i="14" s="1"/>
  <c r="AP31" i="14"/>
  <c r="AP37" i="14" s="1"/>
  <c r="AQ31" i="14"/>
  <c r="AQ37" i="14" s="1"/>
  <c r="AR31" i="14"/>
  <c r="AR37" i="14" s="1"/>
  <c r="AS31" i="14"/>
  <c r="AS37" i="14" s="1"/>
  <c r="K31" i="14"/>
  <c r="K37" i="14" s="1"/>
  <c r="AA31" i="14" l="1"/>
  <c r="AA37" i="14" s="1"/>
  <c r="Z31" i="14"/>
  <c r="Z37" i="14" s="1"/>
  <c r="X31" i="14"/>
  <c r="X37" i="14" s="1"/>
  <c r="W31" i="14"/>
  <c r="W37" i="14" s="1"/>
  <c r="I20" i="14"/>
  <c r="I49" i="14" s="1"/>
  <c r="I22" i="14"/>
  <c r="Y31" i="14"/>
  <c r="Y37" i="14" s="1"/>
  <c r="I19" i="14"/>
  <c r="J120" i="18"/>
  <c r="G120" i="9"/>
  <c r="E120" i="9"/>
  <c r="F117" i="18"/>
  <c r="L28" i="14"/>
  <c r="M28" i="14"/>
  <c r="N28" i="14"/>
  <c r="O28" i="14"/>
  <c r="P28" i="14"/>
  <c r="Q28" i="14"/>
  <c r="R28" i="14"/>
  <c r="S28" i="14"/>
  <c r="T28" i="14"/>
  <c r="U28" i="14"/>
  <c r="V28" i="14"/>
  <c r="W28" i="14"/>
  <c r="X28" i="14"/>
  <c r="Y28" i="14"/>
  <c r="Z28" i="14"/>
  <c r="AA28" i="14"/>
  <c r="AB28" i="14"/>
  <c r="AC28" i="14"/>
  <c r="AD28" i="14"/>
  <c r="AE28" i="14"/>
  <c r="AF28" i="14"/>
  <c r="AG28" i="14"/>
  <c r="AH28" i="14"/>
  <c r="AI28" i="14"/>
  <c r="AJ28" i="14"/>
  <c r="AK28" i="14"/>
  <c r="AL28" i="14"/>
  <c r="AM28" i="14"/>
  <c r="AN28" i="14"/>
  <c r="AO28" i="14"/>
  <c r="AP28" i="14"/>
  <c r="AQ28" i="14"/>
  <c r="AR28" i="14"/>
  <c r="AS28" i="14"/>
  <c r="I44" i="15"/>
  <c r="G638" i="2"/>
  <c r="F638" i="2"/>
  <c r="F644" i="2" s="1"/>
  <c r="E638" i="2"/>
  <c r="G581" i="2"/>
  <c r="H581" i="2"/>
  <c r="J581" i="2"/>
  <c r="E581" i="2"/>
  <c r="F555" i="2"/>
  <c r="G555" i="2"/>
  <c r="H555" i="2"/>
  <c r="J555" i="2"/>
  <c r="E555" i="2"/>
  <c r="F559" i="2"/>
  <c r="G559" i="2"/>
  <c r="E559" i="2"/>
  <c r="I28" i="14" l="1"/>
  <c r="I31" i="14"/>
  <c r="I37" i="14" s="1"/>
  <c r="F560" i="2"/>
  <c r="F566" i="2" s="1"/>
  <c r="I3" i="11" l="1"/>
  <c r="J103" i="18"/>
  <c r="I103" i="18"/>
  <c r="H103" i="18"/>
  <c r="J109" i="18"/>
  <c r="I109" i="18"/>
  <c r="J94" i="18"/>
  <c r="L95" i="18"/>
  <c r="H94" i="18" s="1"/>
  <c r="N95" i="18"/>
  <c r="F106" i="18"/>
  <c r="F334" i="2"/>
  <c r="G334" i="2"/>
  <c r="H334" i="2"/>
  <c r="J334" i="2"/>
  <c r="E334" i="2"/>
  <c r="E335" i="2"/>
  <c r="F335" i="2"/>
  <c r="G335" i="2"/>
  <c r="H335" i="2"/>
  <c r="I335" i="2"/>
  <c r="J335" i="2"/>
  <c r="F329" i="2"/>
  <c r="G329" i="2"/>
  <c r="H329" i="2"/>
  <c r="J329" i="2"/>
  <c r="E329" i="2"/>
  <c r="G46" i="2"/>
  <c r="F46" i="2"/>
  <c r="E46" i="2"/>
  <c r="E74" i="2"/>
  <c r="F47" i="2"/>
  <c r="G47" i="2"/>
  <c r="H47" i="2"/>
  <c r="J47" i="2"/>
  <c r="F48" i="2"/>
  <c r="G48" i="2"/>
  <c r="H48" i="2"/>
  <c r="J48" i="2"/>
  <c r="E48" i="2"/>
  <c r="E47" i="2"/>
  <c r="J50" i="2"/>
  <c r="I50" i="2"/>
  <c r="H50" i="2"/>
  <c r="G50" i="2"/>
  <c r="F50" i="2"/>
  <c r="F383" i="2"/>
  <c r="G383" i="2"/>
  <c r="H383" i="2"/>
  <c r="J383" i="2"/>
  <c r="E383" i="2"/>
  <c r="F372" i="2"/>
  <c r="G372" i="2"/>
  <c r="H372" i="2"/>
  <c r="J372" i="2"/>
  <c r="F373" i="2"/>
  <c r="G373" i="2"/>
  <c r="H373" i="2"/>
  <c r="J373" i="2"/>
  <c r="E373" i="2"/>
  <c r="E372" i="2"/>
  <c r="F384" i="2"/>
  <c r="G384" i="2"/>
  <c r="H384" i="2"/>
  <c r="J384" i="2"/>
  <c r="E384" i="2"/>
  <c r="F378" i="2"/>
  <c r="G378" i="2"/>
  <c r="H378" i="2"/>
  <c r="J378" i="2"/>
  <c r="E378" i="2"/>
  <c r="F360" i="2"/>
  <c r="G360" i="2"/>
  <c r="H360" i="2"/>
  <c r="J360" i="2"/>
  <c r="E360" i="2"/>
  <c r="F356" i="2"/>
  <c r="G356" i="2"/>
  <c r="H356" i="2"/>
  <c r="J356" i="2"/>
  <c r="E356" i="2"/>
  <c r="F352" i="2"/>
  <c r="G352" i="2"/>
  <c r="H352" i="2"/>
  <c r="J352" i="2"/>
  <c r="E352" i="2"/>
  <c r="F348" i="2"/>
  <c r="G348" i="2"/>
  <c r="H348" i="2"/>
  <c r="J348" i="2"/>
  <c r="E348" i="2"/>
  <c r="F344" i="2"/>
  <c r="G344" i="2"/>
  <c r="H344" i="2"/>
  <c r="J344" i="2"/>
  <c r="E344" i="2"/>
  <c r="F81" i="2"/>
  <c r="G81" i="2"/>
  <c r="H81" i="2"/>
  <c r="J81" i="2"/>
  <c r="J85" i="2"/>
  <c r="H85" i="2"/>
  <c r="G85" i="2"/>
  <c r="F85" i="2"/>
  <c r="E85" i="2"/>
  <c r="J84" i="2"/>
  <c r="H84" i="2"/>
  <c r="G84" i="2"/>
  <c r="F84" i="2"/>
  <c r="E84" i="2"/>
  <c r="J83" i="2"/>
  <c r="H83" i="2"/>
  <c r="G83" i="2"/>
  <c r="F83" i="2"/>
  <c r="E83" i="2"/>
  <c r="J82" i="2"/>
  <c r="H82" i="2"/>
  <c r="G82" i="2"/>
  <c r="F82" i="2"/>
  <c r="E82" i="2"/>
  <c r="E81" i="2"/>
  <c r="F77" i="2"/>
  <c r="G77" i="2"/>
  <c r="H77" i="2"/>
  <c r="I77" i="2"/>
  <c r="J77" i="2"/>
  <c r="F124" i="2"/>
  <c r="G124" i="2"/>
  <c r="H124" i="2"/>
  <c r="I124" i="2"/>
  <c r="J124" i="2"/>
  <c r="F318" i="2"/>
  <c r="G318" i="2"/>
  <c r="H318" i="2"/>
  <c r="I318" i="2"/>
  <c r="J318" i="2"/>
  <c r="E318" i="2"/>
  <c r="J563" i="2"/>
  <c r="I563" i="2"/>
  <c r="H563" i="2"/>
  <c r="G563" i="2"/>
  <c r="F563" i="2"/>
  <c r="F641" i="2"/>
  <c r="G641" i="2"/>
  <c r="H641" i="2"/>
  <c r="J641" i="2"/>
  <c r="E641" i="2"/>
  <c r="J633" i="2"/>
  <c r="I633" i="2"/>
  <c r="H633" i="2"/>
  <c r="F633" i="2"/>
  <c r="J632" i="2"/>
  <c r="I632" i="2"/>
  <c r="H632" i="2"/>
  <c r="G632" i="2"/>
  <c r="F632" i="2"/>
  <c r="C41" i="11"/>
  <c r="E44" i="15" s="1"/>
  <c r="F954" i="2"/>
  <c r="G954" i="2"/>
  <c r="H954" i="2"/>
  <c r="I954" i="2"/>
  <c r="J954" i="2"/>
  <c r="E954" i="2"/>
  <c r="F767" i="2" l="1"/>
  <c r="G767" i="2"/>
  <c r="H767" i="2"/>
  <c r="E767" i="2"/>
  <c r="G82" i="9"/>
  <c r="E82" i="9"/>
  <c r="E585" i="2"/>
  <c r="F512" i="2"/>
  <c r="G512" i="2"/>
  <c r="H512" i="2"/>
  <c r="I512" i="2"/>
  <c r="J512" i="2"/>
  <c r="F393" i="2"/>
  <c r="H393" i="2"/>
  <c r="I393" i="2"/>
  <c r="J393" i="2"/>
  <c r="G96" i="9"/>
  <c r="G517" i="2" s="1"/>
  <c r="E96" i="9"/>
  <c r="E517" i="2" s="1"/>
  <c r="E518" i="2" s="1"/>
  <c r="B100" i="18"/>
  <c r="B94" i="18"/>
  <c r="B88" i="18"/>
  <c r="B82" i="18"/>
  <c r="B76" i="18"/>
  <c r="B71" i="18"/>
  <c r="E160" i="18"/>
  <c r="D160" i="18"/>
  <c r="C160" i="18"/>
  <c r="B160" i="18"/>
  <c r="E149" i="18"/>
  <c r="D149" i="18"/>
  <c r="C149" i="18"/>
  <c r="B149" i="18"/>
  <c r="E148" i="18"/>
  <c r="B148" i="18"/>
  <c r="E145" i="18"/>
  <c r="D145" i="18"/>
  <c r="C145" i="18"/>
  <c r="B145" i="18"/>
  <c r="E141" i="18"/>
  <c r="D141" i="18"/>
  <c r="C141" i="18"/>
  <c r="B141" i="18"/>
  <c r="E140" i="18"/>
  <c r="D140" i="18"/>
  <c r="C140" i="18"/>
  <c r="B140" i="18"/>
  <c r="E136" i="18"/>
  <c r="D136" i="18"/>
  <c r="C136" i="18"/>
  <c r="B136" i="18"/>
  <c r="E134" i="18"/>
  <c r="D134" i="18"/>
  <c r="C134" i="18"/>
  <c r="B134" i="18"/>
  <c r="E130" i="18"/>
  <c r="D130" i="18"/>
  <c r="C130" i="18"/>
  <c r="B130" i="18"/>
  <c r="E127" i="18"/>
  <c r="D127" i="18"/>
  <c r="C127" i="18"/>
  <c r="B127" i="18"/>
  <c r="E126" i="18"/>
  <c r="J249" i="4"/>
  <c r="I249" i="4"/>
  <c r="H249" i="4"/>
  <c r="F249" i="4"/>
  <c r="G240" i="4"/>
  <c r="F240" i="4"/>
  <c r="G239" i="4"/>
  <c r="F239" i="4"/>
  <c r="AF255" i="4" s="1"/>
  <c r="F288" i="2"/>
  <c r="F262" i="2"/>
  <c r="G262" i="2"/>
  <c r="H262" i="2"/>
  <c r="I262" i="2"/>
  <c r="J262" i="2"/>
  <c r="G48" i="9"/>
  <c r="G172" i="2" s="1"/>
  <c r="E48" i="9"/>
  <c r="E172" i="2" s="1"/>
  <c r="D46" i="18"/>
  <c r="F124" i="4"/>
  <c r="H124" i="4"/>
  <c r="H125" i="4"/>
  <c r="G122" i="4"/>
  <c r="G281" i="2" s="1"/>
  <c r="E122" i="4"/>
  <c r="E281" i="2" s="1"/>
  <c r="G121" i="4"/>
  <c r="E121" i="4"/>
  <c r="G119" i="4"/>
  <c r="E119" i="4"/>
  <c r="G114" i="4"/>
  <c r="G23" i="15" s="1"/>
  <c r="E114" i="4"/>
  <c r="E23" i="15" s="1"/>
  <c r="G113" i="4"/>
  <c r="E113" i="4"/>
  <c r="K225" i="2"/>
  <c r="F194" i="4"/>
  <c r="H194" i="4"/>
  <c r="I194" i="4"/>
  <c r="J194" i="4"/>
  <c r="G185" i="4"/>
  <c r="F185" i="4"/>
  <c r="G184" i="4"/>
  <c r="F184" i="4"/>
  <c r="P200" i="4" s="1"/>
  <c r="J1098" i="2"/>
  <c r="H1098" i="2"/>
  <c r="G1098" i="2"/>
  <c r="H1121" i="2" s="1"/>
  <c r="E159" i="18" s="1"/>
  <c r="F1098" i="2"/>
  <c r="E1098" i="2"/>
  <c r="E1189" i="2" s="1"/>
  <c r="C56" i="11" s="1"/>
  <c r="E68" i="15" s="1"/>
  <c r="J1008" i="2"/>
  <c r="J48" i="16" s="1"/>
  <c r="H1008" i="2"/>
  <c r="H48" i="16" s="1"/>
  <c r="G1008" i="2"/>
  <c r="G48" i="16" s="1"/>
  <c r="F1008" i="2"/>
  <c r="F48" i="16" s="1"/>
  <c r="E1008" i="2"/>
  <c r="E48" i="16" s="1"/>
  <c r="F865" i="2"/>
  <c r="G865" i="2"/>
  <c r="H865" i="2"/>
  <c r="J865" i="2"/>
  <c r="E865" i="2"/>
  <c r="J830" i="2"/>
  <c r="H830" i="2"/>
  <c r="G830" i="2"/>
  <c r="F830" i="2"/>
  <c r="E830" i="2"/>
  <c r="J829" i="2"/>
  <c r="H829" i="2"/>
  <c r="G829" i="2"/>
  <c r="E829" i="2"/>
  <c r="J828" i="2"/>
  <c r="H828" i="2"/>
  <c r="G828" i="2"/>
  <c r="E828" i="2"/>
  <c r="F311" i="2"/>
  <c r="F717" i="2"/>
  <c r="G717" i="2"/>
  <c r="H717" i="2"/>
  <c r="J717" i="2"/>
  <c r="K717" i="2"/>
  <c r="G688" i="2"/>
  <c r="F688" i="2"/>
  <c r="E688" i="2"/>
  <c r="G687" i="2"/>
  <c r="F687" i="2"/>
  <c r="G686" i="2"/>
  <c r="F686" i="2"/>
  <c r="G112" i="9"/>
  <c r="G844" i="2" s="1"/>
  <c r="E112" i="9"/>
  <c r="E844" i="2" s="1"/>
  <c r="G64" i="10"/>
  <c r="F64" i="10"/>
  <c r="E64" i="10"/>
  <c r="G92" i="9"/>
  <c r="G685" i="2" s="1"/>
  <c r="E92" i="9"/>
  <c r="E685" i="2" s="1"/>
  <c r="F683" i="2"/>
  <c r="G683" i="2"/>
  <c r="H683" i="2"/>
  <c r="I683" i="2"/>
  <c r="J683" i="2"/>
  <c r="F682" i="2"/>
  <c r="G682" i="2"/>
  <c r="H682" i="2"/>
  <c r="I682" i="2"/>
  <c r="J682" i="2"/>
  <c r="E682" i="2"/>
  <c r="L58" i="10"/>
  <c r="AD58" i="10"/>
  <c r="AD67" i="10" s="1"/>
  <c r="AC58" i="10"/>
  <c r="AC67" i="10" s="1"/>
  <c r="AB58" i="10"/>
  <c r="AB67" i="10" s="1"/>
  <c r="AA58" i="10"/>
  <c r="AA65" i="10" s="1"/>
  <c r="Z58" i="10"/>
  <c r="Z65" i="10" s="1"/>
  <c r="Y58" i="10"/>
  <c r="Y65" i="10" s="1"/>
  <c r="X58" i="10"/>
  <c r="X65" i="10" s="1"/>
  <c r="W58" i="10"/>
  <c r="W67" i="10" s="1"/>
  <c r="V58" i="10"/>
  <c r="V67" i="10" s="1"/>
  <c r="U58" i="10"/>
  <c r="U67" i="10" s="1"/>
  <c r="T58" i="10"/>
  <c r="T67" i="10" s="1"/>
  <c r="S58" i="10"/>
  <c r="S65" i="10" s="1"/>
  <c r="R58" i="10"/>
  <c r="R65" i="10" s="1"/>
  <c r="Q58" i="10"/>
  <c r="Q65" i="10" s="1"/>
  <c r="P58" i="10"/>
  <c r="P65" i="10" s="1"/>
  <c r="O58" i="10"/>
  <c r="O67" i="10" s="1"/>
  <c r="N58" i="10"/>
  <c r="N67" i="10" s="1"/>
  <c r="M58" i="10"/>
  <c r="M67" i="10" s="1"/>
  <c r="K58" i="10"/>
  <c r="K65" i="10" s="1"/>
  <c r="F55" i="10"/>
  <c r="G55" i="10"/>
  <c r="H55" i="10"/>
  <c r="I55" i="10"/>
  <c r="J55" i="10"/>
  <c r="J61" i="10"/>
  <c r="I61" i="10"/>
  <c r="H61" i="10"/>
  <c r="G61" i="10"/>
  <c r="F61" i="10"/>
  <c r="AV55" i="10"/>
  <c r="AU55" i="10"/>
  <c r="AT55" i="10"/>
  <c r="E55" i="10"/>
  <c r="F46" i="10"/>
  <c r="E48" i="10" s="1"/>
  <c r="E46" i="10"/>
  <c r="G47" i="10"/>
  <c r="F47" i="10"/>
  <c r="E47" i="10"/>
  <c r="G37" i="10"/>
  <c r="F37" i="10"/>
  <c r="E37" i="10"/>
  <c r="G35" i="10"/>
  <c r="F35" i="10"/>
  <c r="E35" i="10"/>
  <c r="AU28" i="10"/>
  <c r="AU31" i="10" s="1"/>
  <c r="AT28" i="10"/>
  <c r="AT31" i="10" s="1"/>
  <c r="G38" i="10"/>
  <c r="G393" i="2" s="1"/>
  <c r="E29" i="10"/>
  <c r="E30" i="10" s="1"/>
  <c r="E683" i="2" s="1"/>
  <c r="AV28" i="10"/>
  <c r="AV29" i="10" s="1"/>
  <c r="AV61" i="10" s="1"/>
  <c r="J28" i="10"/>
  <c r="I28" i="10"/>
  <c r="H28" i="10"/>
  <c r="G28" i="10"/>
  <c r="F28" i="10"/>
  <c r="E28" i="10"/>
  <c r="F24" i="10"/>
  <c r="H1125" i="2"/>
  <c r="E163" i="18" s="1"/>
  <c r="H1123" i="2"/>
  <c r="E161" i="18" s="1"/>
  <c r="H1084" i="2"/>
  <c r="E146" i="18" s="1"/>
  <c r="E1084" i="2"/>
  <c r="B146" i="18" s="1"/>
  <c r="F1033" i="2"/>
  <c r="G1033" i="2"/>
  <c r="H1033" i="2"/>
  <c r="I1033" i="2"/>
  <c r="J1033" i="2"/>
  <c r="E1033" i="2"/>
  <c r="E1064" i="2"/>
  <c r="B126" i="18" s="1"/>
  <c r="K1090" i="2"/>
  <c r="J1090" i="2"/>
  <c r="H1090" i="2"/>
  <c r="G1090" i="2"/>
  <c r="H1113" i="2" s="1"/>
  <c r="E151" i="18" s="1"/>
  <c r="F1090" i="2"/>
  <c r="F805" i="2"/>
  <c r="G805" i="2"/>
  <c r="H805" i="2"/>
  <c r="J805" i="2"/>
  <c r="K805" i="2"/>
  <c r="F1000" i="2"/>
  <c r="F40" i="16" s="1"/>
  <c r="G1000" i="2"/>
  <c r="G40" i="16" s="1"/>
  <c r="H1000" i="2"/>
  <c r="H40" i="16" s="1"/>
  <c r="J1000" i="2"/>
  <c r="J40" i="16" s="1"/>
  <c r="K1000" i="2"/>
  <c r="K40" i="16" s="1"/>
  <c r="E670" i="2"/>
  <c r="F668" i="2"/>
  <c r="G668" i="2"/>
  <c r="H668" i="2"/>
  <c r="J668" i="2"/>
  <c r="E668" i="2"/>
  <c r="J97" i="18"/>
  <c r="I97" i="18"/>
  <c r="H97" i="18"/>
  <c r="J91" i="18"/>
  <c r="I91" i="18"/>
  <c r="H91" i="18"/>
  <c r="J85" i="18"/>
  <c r="I85" i="18"/>
  <c r="H85" i="18"/>
  <c r="J79" i="18"/>
  <c r="I79" i="18"/>
  <c r="H79" i="18"/>
  <c r="J74" i="18"/>
  <c r="I74" i="18"/>
  <c r="H74" i="18"/>
  <c r="O65" i="10" l="1"/>
  <c r="E61" i="10"/>
  <c r="T65" i="10"/>
  <c r="W65" i="10"/>
  <c r="AB65" i="10"/>
  <c r="G633" i="2"/>
  <c r="AV31" i="10"/>
  <c r="G194" i="4"/>
  <c r="G249" i="4"/>
  <c r="E1000" i="2"/>
  <c r="E40" i="16" s="1"/>
  <c r="E56" i="14"/>
  <c r="N954" i="2"/>
  <c r="N898" i="2"/>
  <c r="N900" i="2" s="1"/>
  <c r="M954" i="2"/>
  <c r="M898" i="2"/>
  <c r="M900" i="2" s="1"/>
  <c r="U954" i="2"/>
  <c r="U898" i="2"/>
  <c r="U900" i="2" s="1"/>
  <c r="AC954" i="2"/>
  <c r="AC898" i="2"/>
  <c r="AC900" i="2" s="1"/>
  <c r="AD954" i="2"/>
  <c r="AD898" i="2"/>
  <c r="AD900" i="2" s="1"/>
  <c r="O954" i="2"/>
  <c r="O898" i="2"/>
  <c r="O900" i="2" s="1"/>
  <c r="W954" i="2"/>
  <c r="W898" i="2"/>
  <c r="W900" i="2" s="1"/>
  <c r="V954" i="2"/>
  <c r="V898" i="2"/>
  <c r="V900" i="2" s="1"/>
  <c r="T954" i="2"/>
  <c r="T898" i="2"/>
  <c r="T900" i="2" s="1"/>
  <c r="AB954" i="2"/>
  <c r="AB898" i="2"/>
  <c r="AB900" i="2" s="1"/>
  <c r="AH255" i="4"/>
  <c r="AE255" i="4"/>
  <c r="G1189" i="2"/>
  <c r="E56" i="11" s="1"/>
  <c r="E22" i="15"/>
  <c r="G22" i="15"/>
  <c r="AG255" i="4"/>
  <c r="AD255" i="4"/>
  <c r="AD200" i="4"/>
  <c r="V200" i="4"/>
  <c r="N200" i="4"/>
  <c r="AE200" i="4"/>
  <c r="W200" i="4"/>
  <c r="O200" i="4"/>
  <c r="AC200" i="4"/>
  <c r="U200" i="4"/>
  <c r="M200" i="4"/>
  <c r="AB200" i="4"/>
  <c r="T200" i="4"/>
  <c r="L200" i="4"/>
  <c r="AA200" i="4"/>
  <c r="S200" i="4"/>
  <c r="K200" i="4"/>
  <c r="AH200" i="4"/>
  <c r="Z200" i="4"/>
  <c r="R200" i="4"/>
  <c r="AG200" i="4"/>
  <c r="Y200" i="4"/>
  <c r="Q200" i="4"/>
  <c r="AF200" i="4"/>
  <c r="X200" i="4"/>
  <c r="E717" i="2"/>
  <c r="AV65" i="10"/>
  <c r="AV67" i="10" s="1"/>
  <c r="L65" i="10"/>
  <c r="L67" i="10"/>
  <c r="M65" i="10"/>
  <c r="U65" i="10"/>
  <c r="AC65" i="10"/>
  <c r="P67" i="10"/>
  <c r="X67" i="10"/>
  <c r="N65" i="10"/>
  <c r="V65" i="10"/>
  <c r="AD65" i="10"/>
  <c r="Q67" i="10"/>
  <c r="Y67" i="10"/>
  <c r="R67" i="10"/>
  <c r="Z67" i="10"/>
  <c r="K67" i="10"/>
  <c r="S67" i="10"/>
  <c r="AA67" i="10"/>
  <c r="AT29" i="10"/>
  <c r="AT61" i="10" s="1"/>
  <c r="AT65" i="10" s="1"/>
  <c r="AT67" i="10" s="1"/>
  <c r="AU38" i="10"/>
  <c r="AU29" i="10"/>
  <c r="AU61" i="10" s="1"/>
  <c r="AU65" i="10" s="1"/>
  <c r="AU67" i="10" s="1"/>
  <c r="AV30" i="10"/>
  <c r="E38" i="10"/>
  <c r="E31" i="10"/>
  <c r="E36" i="10"/>
  <c r="AV38" i="10"/>
  <c r="AT38" i="10"/>
  <c r="E50" i="10"/>
  <c r="G1181" i="2"/>
  <c r="E48" i="11" s="1"/>
  <c r="E1090" i="2"/>
  <c r="E805" i="2"/>
  <c r="AU30" i="10" l="1"/>
  <c r="AT30" i="10"/>
  <c r="R954" i="2"/>
  <c r="R898" i="2"/>
  <c r="R900" i="2" s="1"/>
  <c r="L954" i="2"/>
  <c r="L898" i="2"/>
  <c r="L900" i="2" s="1"/>
  <c r="X954" i="2"/>
  <c r="X898" i="2"/>
  <c r="X900" i="2" s="1"/>
  <c r="P954" i="2"/>
  <c r="P898" i="2"/>
  <c r="P900" i="2" s="1"/>
  <c r="S954" i="2"/>
  <c r="S898" i="2"/>
  <c r="S900" i="2" s="1"/>
  <c r="Q954" i="2"/>
  <c r="Q898" i="2"/>
  <c r="Q900" i="2" s="1"/>
  <c r="Y954" i="2"/>
  <c r="Y898" i="2"/>
  <c r="Y900" i="2" s="1"/>
  <c r="K954" i="2"/>
  <c r="K898" i="2"/>
  <c r="K900" i="2" s="1"/>
  <c r="AA954" i="2"/>
  <c r="AA898" i="2"/>
  <c r="AA900" i="2" s="1"/>
  <c r="Z954" i="2"/>
  <c r="Z898" i="2"/>
  <c r="Z900" i="2" s="1"/>
  <c r="E633" i="2"/>
  <c r="E393" i="2"/>
  <c r="E194" i="4"/>
  <c r="E249" i="4"/>
  <c r="E1181" i="2"/>
  <c r="C48" i="11" s="1"/>
  <c r="E60" i="15" s="1"/>
  <c r="G30" i="9" l="1"/>
  <c r="F30" i="9"/>
  <c r="E30" i="9"/>
  <c r="G46" i="10"/>
  <c r="G129" i="9"/>
  <c r="G962" i="2" s="1"/>
  <c r="E129" i="9"/>
  <c r="E962" i="2" s="1"/>
  <c r="G128" i="9"/>
  <c r="G961" i="2" s="1"/>
  <c r="E128" i="9"/>
  <c r="E961" i="2" s="1"/>
  <c r="G116" i="9"/>
  <c r="E116" i="9"/>
  <c r="G110" i="9"/>
  <c r="G981" i="2" s="1"/>
  <c r="E110" i="9"/>
  <c r="E981" i="2" s="1"/>
  <c r="G109" i="9"/>
  <c r="G917" i="2" s="1"/>
  <c r="E109" i="9"/>
  <c r="E917" i="2" s="1"/>
  <c r="G100" i="9"/>
  <c r="G822" i="2" s="1"/>
  <c r="E100" i="9"/>
  <c r="E822" i="2" s="1"/>
  <c r="G91" i="9"/>
  <c r="E91" i="9"/>
  <c r="G77" i="9"/>
  <c r="G600" i="2" s="1"/>
  <c r="E77" i="9"/>
  <c r="E600" i="2" s="1"/>
  <c r="F16" i="15"/>
  <c r="E16" i="15"/>
  <c r="C45" i="11"/>
  <c r="C32" i="11"/>
  <c r="C19" i="11"/>
  <c r="G21" i="9"/>
  <c r="G16" i="15" s="1"/>
  <c r="F21" i="9"/>
  <c r="F1147" i="2" s="1"/>
  <c r="F1152" i="2" s="1"/>
  <c r="E21" i="9"/>
  <c r="E1147" i="2" s="1"/>
  <c r="G36" i="9"/>
  <c r="G21" i="15" s="1"/>
  <c r="E36" i="9"/>
  <c r="E20" i="4" s="1"/>
  <c r="G35" i="9"/>
  <c r="G20" i="15" s="1"/>
  <c r="E35" i="9"/>
  <c r="E20" i="15" s="1"/>
  <c r="G34" i="9"/>
  <c r="G19" i="15" s="1"/>
  <c r="E34" i="9"/>
  <c r="E19" i="15" s="1"/>
  <c r="G33" i="9"/>
  <c r="G18" i="15" s="1"/>
  <c r="E33" i="9"/>
  <c r="E18" i="15" s="1"/>
  <c r="G46" i="9"/>
  <c r="G390" i="2" s="1"/>
  <c r="E46" i="9"/>
  <c r="E15" i="15" s="1"/>
  <c r="G45" i="9"/>
  <c r="G14" i="15" s="1"/>
  <c r="E45" i="9"/>
  <c r="E14" i="15" s="1"/>
  <c r="G44" i="9"/>
  <c r="G13" i="15" s="1"/>
  <c r="E44" i="9"/>
  <c r="E13" i="15" s="1"/>
  <c r="G43" i="9"/>
  <c r="G12" i="15" s="1"/>
  <c r="E43" i="9"/>
  <c r="E12" i="15" s="1"/>
  <c r="G42" i="9"/>
  <c r="G11" i="15" s="1"/>
  <c r="E42" i="9"/>
  <c r="E184" i="2" s="1"/>
  <c r="G41" i="9"/>
  <c r="G10" i="15" s="1"/>
  <c r="E41" i="9"/>
  <c r="E10" i="15" s="1"/>
  <c r="G40" i="9"/>
  <c r="G9" i="15" s="1"/>
  <c r="E40" i="9"/>
  <c r="E135" i="2" s="1"/>
  <c r="C46" i="18"/>
  <c r="B46" i="18"/>
  <c r="D7" i="18"/>
  <c r="C7" i="18"/>
  <c r="B7" i="18"/>
  <c r="B66" i="18"/>
  <c r="A55" i="18"/>
  <c r="H6" i="18"/>
  <c r="I6" i="18" s="1"/>
  <c r="J6" i="18" s="1"/>
  <c r="K6" i="18" s="1"/>
  <c r="L6" i="18" s="1"/>
  <c r="M6" i="18" s="1"/>
  <c r="N6" i="18" s="1"/>
  <c r="O6" i="18" s="1"/>
  <c r="P6" i="18" s="1"/>
  <c r="Q6" i="18" s="1"/>
  <c r="R6" i="18" s="1"/>
  <c r="S6" i="18" s="1"/>
  <c r="F114" i="14"/>
  <c r="G114" i="14"/>
  <c r="H114" i="14"/>
  <c r="J114" i="14"/>
  <c r="E114" i="14"/>
  <c r="G311" i="2"/>
  <c r="E311" i="2"/>
  <c r="G207" i="2"/>
  <c r="F207" i="2"/>
  <c r="E207" i="2"/>
  <c r="G1227" i="2"/>
  <c r="E1227" i="2"/>
  <c r="E647" i="2"/>
  <c r="E646" i="2"/>
  <c r="G391" i="2"/>
  <c r="F391" i="2"/>
  <c r="E391" i="2"/>
  <c r="J392" i="2"/>
  <c r="H392" i="2"/>
  <c r="G392" i="2"/>
  <c r="F392" i="2"/>
  <c r="E392" i="2"/>
  <c r="F137" i="17"/>
  <c r="G137" i="17"/>
  <c r="H137" i="17"/>
  <c r="I137" i="17"/>
  <c r="J137" i="17"/>
  <c r="G138" i="17"/>
  <c r="E134" i="17" s="1"/>
  <c r="H138" i="17"/>
  <c r="J138" i="17"/>
  <c r="G139" i="17"/>
  <c r="H139" i="17"/>
  <c r="J139" i="17"/>
  <c r="F151" i="17"/>
  <c r="G151" i="17"/>
  <c r="H151" i="17"/>
  <c r="J151" i="17"/>
  <c r="F153" i="17"/>
  <c r="G153" i="17"/>
  <c r="H153" i="17"/>
  <c r="J153" i="17"/>
  <c r="F91" i="17"/>
  <c r="G91" i="17"/>
  <c r="H91" i="17"/>
  <c r="I91" i="17"/>
  <c r="J91" i="17"/>
  <c r="G92" i="17"/>
  <c r="E88" i="17" s="1"/>
  <c r="H92" i="17"/>
  <c r="J92" i="17"/>
  <c r="G93" i="17"/>
  <c r="H93" i="17"/>
  <c r="J93" i="17"/>
  <c r="G95" i="17"/>
  <c r="G100" i="17" s="1"/>
  <c r="H95" i="17"/>
  <c r="J95" i="17"/>
  <c r="G96" i="17"/>
  <c r="G101" i="17" s="1"/>
  <c r="H96" i="17"/>
  <c r="J96" i="17"/>
  <c r="F98" i="17"/>
  <c r="G98" i="17"/>
  <c r="H98" i="17"/>
  <c r="J98" i="17"/>
  <c r="F53" i="17"/>
  <c r="G53" i="17"/>
  <c r="H53" i="17"/>
  <c r="I53" i="17"/>
  <c r="J53" i="17"/>
  <c r="J55" i="17"/>
  <c r="F12" i="17"/>
  <c r="G12" i="17"/>
  <c r="H12" i="17"/>
  <c r="I12" i="17"/>
  <c r="J12" i="17"/>
  <c r="F13" i="17"/>
  <c r="G13" i="17"/>
  <c r="H13" i="17"/>
  <c r="J13" i="17"/>
  <c r="F14" i="17"/>
  <c r="G14" i="17"/>
  <c r="H14" i="17"/>
  <c r="J14" i="17"/>
  <c r="I67" i="2"/>
  <c r="I99" i="2"/>
  <c r="I104" i="2"/>
  <c r="I111" i="2"/>
  <c r="I116" i="2"/>
  <c r="I132" i="2"/>
  <c r="I141" i="2"/>
  <c r="I142" i="2"/>
  <c r="I148" i="2"/>
  <c r="I149" i="2"/>
  <c r="I153" i="2"/>
  <c r="I160" i="2"/>
  <c r="I169" i="2"/>
  <c r="I179" i="2"/>
  <c r="I709" i="2" s="1"/>
  <c r="I180" i="2"/>
  <c r="I181" i="2"/>
  <c r="I195" i="2"/>
  <c r="I204" i="2"/>
  <c r="I210" i="2"/>
  <c r="I211" i="2"/>
  <c r="I212" i="2"/>
  <c r="I213" i="2"/>
  <c r="I214" i="2"/>
  <c r="I215" i="2"/>
  <c r="I225" i="2"/>
  <c r="I231" i="2"/>
  <c r="I246" i="2"/>
  <c r="I255" i="2"/>
  <c r="I256" i="2"/>
  <c r="I263" i="2"/>
  <c r="I267" i="2"/>
  <c r="I274" i="2"/>
  <c r="I280" i="2"/>
  <c r="I297" i="2"/>
  <c r="I302" i="2"/>
  <c r="I303" i="2"/>
  <c r="I304" i="2"/>
  <c r="I314" i="2"/>
  <c r="I330" i="2"/>
  <c r="I345" i="2"/>
  <c r="I349" i="2"/>
  <c r="I353" i="2"/>
  <c r="I357" i="2"/>
  <c r="I361" i="2"/>
  <c r="I439" i="2"/>
  <c r="I445" i="2"/>
  <c r="I478" i="2"/>
  <c r="I578" i="2"/>
  <c r="I607" i="2"/>
  <c r="I676" i="2"/>
  <c r="I678" i="2"/>
  <c r="I697" i="2"/>
  <c r="I698" i="2"/>
  <c r="I777" i="2"/>
  <c r="I809" i="2"/>
  <c r="I820" i="2"/>
  <c r="I855" i="2"/>
  <c r="I1002" i="2"/>
  <c r="I144" i="17" s="1"/>
  <c r="I1092" i="2"/>
  <c r="I1142" i="2"/>
  <c r="F49" i="16"/>
  <c r="G49" i="16"/>
  <c r="H49" i="16"/>
  <c r="J49" i="16"/>
  <c r="F51" i="16"/>
  <c r="G51" i="16"/>
  <c r="H51" i="16"/>
  <c r="J51" i="16"/>
  <c r="E51" i="16"/>
  <c r="E52" i="16" s="1"/>
  <c r="E85" i="16" s="1"/>
  <c r="E49" i="16"/>
  <c r="F9" i="16"/>
  <c r="G9" i="16"/>
  <c r="H9" i="16"/>
  <c r="J9" i="16"/>
  <c r="F10" i="16"/>
  <c r="G10" i="16"/>
  <c r="H10" i="16"/>
  <c r="J10" i="16"/>
  <c r="J14" i="16"/>
  <c r="G17" i="16"/>
  <c r="H17" i="16"/>
  <c r="J17" i="16"/>
  <c r="G18" i="16"/>
  <c r="H18" i="16"/>
  <c r="J18" i="16"/>
  <c r="G19" i="16"/>
  <c r="H19" i="16"/>
  <c r="J19" i="16"/>
  <c r="F23" i="16"/>
  <c r="G23" i="16"/>
  <c r="H23" i="16"/>
  <c r="J23" i="16"/>
  <c r="F24" i="16"/>
  <c r="G24" i="16"/>
  <c r="H24" i="16"/>
  <c r="J24" i="16"/>
  <c r="F25" i="16"/>
  <c r="G25" i="16"/>
  <c r="H25" i="16"/>
  <c r="J25" i="16"/>
  <c r="G28" i="16"/>
  <c r="H28" i="16"/>
  <c r="J28" i="16"/>
  <c r="G29" i="16"/>
  <c r="H29" i="16"/>
  <c r="J29" i="16"/>
  <c r="F30" i="16"/>
  <c r="G30" i="16"/>
  <c r="H30" i="16"/>
  <c r="J30" i="16"/>
  <c r="F33" i="16"/>
  <c r="G33" i="16"/>
  <c r="H33" i="16"/>
  <c r="J33" i="16"/>
  <c r="F55" i="16"/>
  <c r="G55" i="16"/>
  <c r="H55" i="16"/>
  <c r="J55" i="16"/>
  <c r="F58" i="16"/>
  <c r="G58" i="16"/>
  <c r="H58" i="16"/>
  <c r="J58" i="16"/>
  <c r="F59" i="16"/>
  <c r="G59" i="16"/>
  <c r="H59" i="16"/>
  <c r="J59" i="16"/>
  <c r="F63" i="16"/>
  <c r="G63" i="16"/>
  <c r="H63" i="16"/>
  <c r="J63" i="16"/>
  <c r="F64" i="16"/>
  <c r="G64" i="16"/>
  <c r="H64" i="16"/>
  <c r="J64" i="16"/>
  <c r="F68" i="16"/>
  <c r="G68" i="16"/>
  <c r="H68" i="16"/>
  <c r="J68" i="16"/>
  <c r="F69" i="16"/>
  <c r="G69" i="16"/>
  <c r="H69" i="16"/>
  <c r="J69" i="16"/>
  <c r="F70" i="16"/>
  <c r="G70" i="16"/>
  <c r="H70" i="16"/>
  <c r="J70" i="16"/>
  <c r="K420" i="7"/>
  <c r="F96" i="14"/>
  <c r="G96" i="14"/>
  <c r="H96" i="14"/>
  <c r="G101" i="14"/>
  <c r="H101" i="14"/>
  <c r="J101" i="14"/>
  <c r="F108" i="14"/>
  <c r="G108" i="14"/>
  <c r="H108" i="14"/>
  <c r="J108" i="14"/>
  <c r="F38" i="14"/>
  <c r="G38" i="14"/>
  <c r="H38" i="14"/>
  <c r="J38" i="14"/>
  <c r="F71" i="14"/>
  <c r="G71" i="14"/>
  <c r="H71" i="14"/>
  <c r="J71" i="14"/>
  <c r="F79" i="14"/>
  <c r="G79" i="14"/>
  <c r="H79" i="14"/>
  <c r="J79" i="14"/>
  <c r="G84" i="14"/>
  <c r="H84" i="14"/>
  <c r="J84" i="14"/>
  <c r="G85" i="14"/>
  <c r="H85" i="14"/>
  <c r="J85" i="14"/>
  <c r="F86" i="14"/>
  <c r="G86" i="14"/>
  <c r="H86" i="14"/>
  <c r="J86" i="14"/>
  <c r="AO83" i="14"/>
  <c r="AO87" i="14" s="1"/>
  <c r="AP83" i="14"/>
  <c r="AP87" i="14" s="1"/>
  <c r="AQ83" i="14"/>
  <c r="AQ87" i="14" s="1"/>
  <c r="AR83" i="14"/>
  <c r="AR87" i="14" s="1"/>
  <c r="AS83" i="14"/>
  <c r="AS87" i="14" s="1"/>
  <c r="AO95" i="14"/>
  <c r="AO97" i="14" s="1"/>
  <c r="AP95" i="14"/>
  <c r="AP97" i="14" s="1"/>
  <c r="AQ95" i="14"/>
  <c r="AQ97" i="14" s="1"/>
  <c r="AR95" i="14"/>
  <c r="AR97" i="14" s="1"/>
  <c r="AS95" i="14"/>
  <c r="AS97" i="14" s="1"/>
  <c r="AO100" i="14"/>
  <c r="AP100" i="14"/>
  <c r="AQ100" i="14"/>
  <c r="AR100" i="14"/>
  <c r="AS100" i="14"/>
  <c r="AO107" i="14"/>
  <c r="AO109" i="14" s="1"/>
  <c r="AP107" i="14"/>
  <c r="AP109" i="14" s="1"/>
  <c r="AQ107" i="14"/>
  <c r="AQ109" i="14" s="1"/>
  <c r="AR107" i="14"/>
  <c r="AR109" i="14" s="1"/>
  <c r="AS107" i="14"/>
  <c r="AS109" i="14" s="1"/>
  <c r="F321" i="4"/>
  <c r="G321" i="4"/>
  <c r="H321" i="4"/>
  <c r="I321" i="4"/>
  <c r="J321" i="4"/>
  <c r="F855" i="2"/>
  <c r="G855" i="2"/>
  <c r="H855" i="2"/>
  <c r="J855" i="2"/>
  <c r="K781" i="2"/>
  <c r="K615" i="2"/>
  <c r="K590" i="2"/>
  <c r="K608" i="2"/>
  <c r="F149" i="2"/>
  <c r="G149" i="2"/>
  <c r="H149" i="2"/>
  <c r="J149" i="2"/>
  <c r="K149" i="2"/>
  <c r="L149" i="2"/>
  <c r="M149" i="2"/>
  <c r="N149" i="2"/>
  <c r="O149" i="2"/>
  <c r="P149" i="2"/>
  <c r="Q149" i="2"/>
  <c r="R149" i="2"/>
  <c r="S149" i="2"/>
  <c r="T149" i="2"/>
  <c r="U149" i="2"/>
  <c r="V149" i="2"/>
  <c r="W149" i="2"/>
  <c r="X149" i="2"/>
  <c r="Y149" i="2"/>
  <c r="Z149" i="2"/>
  <c r="AA149" i="2"/>
  <c r="AB149" i="2"/>
  <c r="AC149" i="2"/>
  <c r="AD149" i="2"/>
  <c r="AE149" i="2"/>
  <c r="AF149" i="2"/>
  <c r="AG149" i="2"/>
  <c r="AH149" i="2"/>
  <c r="AI149" i="2"/>
  <c r="AJ149" i="2"/>
  <c r="AK149" i="2"/>
  <c r="AL149" i="2"/>
  <c r="AM149" i="2"/>
  <c r="AN149" i="2"/>
  <c r="AO149" i="2"/>
  <c r="AP149" i="2"/>
  <c r="AQ149" i="2"/>
  <c r="AR149" i="2"/>
  <c r="AS149" i="2"/>
  <c r="F132" i="2"/>
  <c r="G132" i="2"/>
  <c r="H132" i="2"/>
  <c r="J132" i="2"/>
  <c r="K132" i="2"/>
  <c r="K138" i="2" s="1"/>
  <c r="L132" i="2"/>
  <c r="L138" i="2" s="1"/>
  <c r="M132" i="2"/>
  <c r="M138" i="2" s="1"/>
  <c r="N132" i="2"/>
  <c r="N138" i="2" s="1"/>
  <c r="O132" i="2"/>
  <c r="O138" i="2" s="1"/>
  <c r="P132" i="2"/>
  <c r="P138" i="2" s="1"/>
  <c r="Q132" i="2"/>
  <c r="Q138" i="2" s="1"/>
  <c r="R132" i="2"/>
  <c r="R138" i="2" s="1"/>
  <c r="S132" i="2"/>
  <c r="S138" i="2" s="1"/>
  <c r="T132" i="2"/>
  <c r="T138" i="2" s="1"/>
  <c r="U132" i="2"/>
  <c r="U138" i="2" s="1"/>
  <c r="V132" i="2"/>
  <c r="V138" i="2" s="1"/>
  <c r="W132" i="2"/>
  <c r="W138" i="2" s="1"/>
  <c r="X132" i="2"/>
  <c r="X138" i="2" s="1"/>
  <c r="Y132" i="2"/>
  <c r="Y138" i="2" s="1"/>
  <c r="Z132" i="2"/>
  <c r="Z138" i="2" s="1"/>
  <c r="AA132" i="2"/>
  <c r="AA138" i="2" s="1"/>
  <c r="AB132" i="2"/>
  <c r="AB138" i="2" s="1"/>
  <c r="AC132" i="2"/>
  <c r="AC138" i="2" s="1"/>
  <c r="AD132" i="2"/>
  <c r="AE132" i="2"/>
  <c r="AF132" i="2"/>
  <c r="AG132" i="2"/>
  <c r="AH132" i="2"/>
  <c r="AI132" i="2"/>
  <c r="AJ132" i="2"/>
  <c r="AK132" i="2"/>
  <c r="AL132" i="2"/>
  <c r="AM132" i="2"/>
  <c r="AN132" i="2"/>
  <c r="AO132" i="2"/>
  <c r="AP132" i="2"/>
  <c r="AQ132" i="2"/>
  <c r="AR132" i="2"/>
  <c r="AS132" i="2"/>
  <c r="K11" i="2"/>
  <c r="L11" i="2"/>
  <c r="M11" i="2"/>
  <c r="N11" i="2"/>
  <c r="O11" i="2"/>
  <c r="K21" i="2"/>
  <c r="L21" i="2"/>
  <c r="M21" i="2"/>
  <c r="N21" i="2"/>
  <c r="O21" i="2"/>
  <c r="K26" i="2"/>
  <c r="L26" i="2"/>
  <c r="M26" i="2"/>
  <c r="N26" i="2"/>
  <c r="O26" i="2"/>
  <c r="K27" i="2"/>
  <c r="L27" i="2"/>
  <c r="M27" i="2"/>
  <c r="N27" i="2"/>
  <c r="O27" i="2"/>
  <c r="K36" i="2"/>
  <c r="L36" i="2"/>
  <c r="M36" i="2"/>
  <c r="N36" i="2"/>
  <c r="O36" i="2"/>
  <c r="K63" i="2"/>
  <c r="L63" i="2"/>
  <c r="M63" i="2"/>
  <c r="N63" i="2"/>
  <c r="O63" i="2"/>
  <c r="K94" i="2"/>
  <c r="L94" i="2"/>
  <c r="M94" i="2"/>
  <c r="N94" i="2"/>
  <c r="O94" i="2"/>
  <c r="K96" i="2"/>
  <c r="L96" i="2"/>
  <c r="M96" i="2"/>
  <c r="N96" i="2"/>
  <c r="O96" i="2"/>
  <c r="K99" i="2"/>
  <c r="L99" i="2"/>
  <c r="M99" i="2"/>
  <c r="N99" i="2"/>
  <c r="O99" i="2"/>
  <c r="K103" i="2"/>
  <c r="L103" i="2"/>
  <c r="M103" i="2"/>
  <c r="N103" i="2"/>
  <c r="O103" i="2"/>
  <c r="K112" i="2"/>
  <c r="L112" i="2"/>
  <c r="M112" i="2"/>
  <c r="N112" i="2"/>
  <c r="O112" i="2"/>
  <c r="K141" i="2"/>
  <c r="L141" i="2"/>
  <c r="M141" i="2"/>
  <c r="N141" i="2"/>
  <c r="O141" i="2"/>
  <c r="K142" i="2"/>
  <c r="L142" i="2"/>
  <c r="M142" i="2"/>
  <c r="N142" i="2"/>
  <c r="O142" i="2"/>
  <c r="K194" i="2"/>
  <c r="L194" i="2"/>
  <c r="M194" i="2"/>
  <c r="N194" i="2"/>
  <c r="O194" i="2"/>
  <c r="K203" i="2"/>
  <c r="L203" i="2"/>
  <c r="M203" i="2"/>
  <c r="N203" i="2"/>
  <c r="O203" i="2"/>
  <c r="K210" i="2"/>
  <c r="L210" i="2"/>
  <c r="M210" i="2"/>
  <c r="N210" i="2"/>
  <c r="O210" i="2"/>
  <c r="K211" i="2"/>
  <c r="L211" i="2"/>
  <c r="M211" i="2"/>
  <c r="N211" i="2"/>
  <c r="O211" i="2"/>
  <c r="K212" i="2"/>
  <c r="L212" i="2"/>
  <c r="M212" i="2"/>
  <c r="N212" i="2"/>
  <c r="O212" i="2"/>
  <c r="K213" i="2"/>
  <c r="L213" i="2"/>
  <c r="M213" i="2"/>
  <c r="N213" i="2"/>
  <c r="O213" i="2"/>
  <c r="K214" i="2"/>
  <c r="L214" i="2"/>
  <c r="M214" i="2"/>
  <c r="N214" i="2"/>
  <c r="O214" i="2"/>
  <c r="K215" i="2"/>
  <c r="L215" i="2"/>
  <c r="M215" i="2"/>
  <c r="N215" i="2"/>
  <c r="O215" i="2"/>
  <c r="L225" i="2"/>
  <c r="M225" i="2"/>
  <c r="N225" i="2"/>
  <c r="O225" i="2"/>
  <c r="K231" i="2"/>
  <c r="L231" i="2"/>
  <c r="M231" i="2"/>
  <c r="N231" i="2"/>
  <c r="O231" i="2"/>
  <c r="K246" i="2"/>
  <c r="K252" i="2" s="1"/>
  <c r="L246" i="2"/>
  <c r="L252" i="2" s="1"/>
  <c r="M246" i="2"/>
  <c r="M252" i="2" s="1"/>
  <c r="N246" i="2"/>
  <c r="N252" i="2" s="1"/>
  <c r="N262" i="2" s="1"/>
  <c r="O246" i="2"/>
  <c r="O252" i="2" s="1"/>
  <c r="K255" i="2"/>
  <c r="L255" i="2"/>
  <c r="M255" i="2"/>
  <c r="N255" i="2"/>
  <c r="O255" i="2"/>
  <c r="K263" i="2"/>
  <c r="L263" i="2"/>
  <c r="M263" i="2"/>
  <c r="N263" i="2"/>
  <c r="O263" i="2"/>
  <c r="K367" i="2"/>
  <c r="K368" i="2"/>
  <c r="L368" i="2"/>
  <c r="K478" i="2"/>
  <c r="L478" i="2"/>
  <c r="M478" i="2"/>
  <c r="N478" i="2"/>
  <c r="O478" i="2"/>
  <c r="K531" i="2"/>
  <c r="L531" i="2"/>
  <c r="M531" i="2"/>
  <c r="N531" i="2"/>
  <c r="O531" i="2"/>
  <c r="K543" i="2"/>
  <c r="L543" i="2"/>
  <c r="M543" i="2"/>
  <c r="N543" i="2"/>
  <c r="O543" i="2"/>
  <c r="K548" i="2"/>
  <c r="L548" i="2"/>
  <c r="M548" i="2"/>
  <c r="N548" i="2"/>
  <c r="O548" i="2"/>
  <c r="K549" i="2"/>
  <c r="L549" i="2"/>
  <c r="M549" i="2"/>
  <c r="N549" i="2"/>
  <c r="O549" i="2"/>
  <c r="K676" i="2"/>
  <c r="L676" i="2"/>
  <c r="M676" i="2"/>
  <c r="N676" i="2"/>
  <c r="O676" i="2"/>
  <c r="K809" i="2"/>
  <c r="L809" i="2"/>
  <c r="M809" i="2"/>
  <c r="N809" i="2"/>
  <c r="O809" i="2"/>
  <c r="K862" i="2"/>
  <c r="L862" i="2"/>
  <c r="M862" i="2"/>
  <c r="N862" i="2"/>
  <c r="O862" i="2"/>
  <c r="K1002" i="2"/>
  <c r="K144" i="17" s="1"/>
  <c r="L1002" i="2"/>
  <c r="L42" i="16" s="1"/>
  <c r="M1002" i="2"/>
  <c r="N1002" i="2"/>
  <c r="N42" i="16" s="1"/>
  <c r="O1002" i="2"/>
  <c r="K1092" i="2"/>
  <c r="L1092" i="2"/>
  <c r="M1092" i="2"/>
  <c r="N1092" i="2"/>
  <c r="O1092" i="2"/>
  <c r="I9" i="14"/>
  <c r="I69" i="14" s="1"/>
  <c r="I11" i="14"/>
  <c r="I113" i="14" s="1"/>
  <c r="I12" i="14"/>
  <c r="I67" i="14" s="1"/>
  <c r="I13" i="14"/>
  <c r="I14" i="14"/>
  <c r="I15" i="14"/>
  <c r="I16" i="14"/>
  <c r="I17" i="14"/>
  <c r="I18" i="14"/>
  <c r="I23" i="14"/>
  <c r="I24" i="14"/>
  <c r="I862" i="2" s="1"/>
  <c r="I1003" i="2" s="1"/>
  <c r="I43" i="16" s="1"/>
  <c r="I25" i="14"/>
  <c r="I26" i="14"/>
  <c r="I27" i="14"/>
  <c r="I83" i="14" s="1"/>
  <c r="I8" i="14"/>
  <c r="K39" i="14"/>
  <c r="L39" i="14"/>
  <c r="M39" i="14"/>
  <c r="N39" i="14"/>
  <c r="O39" i="14"/>
  <c r="K67" i="14"/>
  <c r="L67" i="14"/>
  <c r="M67" i="14"/>
  <c r="N67" i="14"/>
  <c r="O67" i="14"/>
  <c r="K68" i="14"/>
  <c r="L68" i="14"/>
  <c r="M68" i="14"/>
  <c r="N68" i="14"/>
  <c r="O68" i="14"/>
  <c r="K69" i="14"/>
  <c r="L69" i="14"/>
  <c r="M69" i="14"/>
  <c r="N69" i="14"/>
  <c r="O69" i="14"/>
  <c r="K72" i="14"/>
  <c r="L72" i="14"/>
  <c r="M72" i="14"/>
  <c r="N72" i="14"/>
  <c r="O72" i="14"/>
  <c r="K78" i="14"/>
  <c r="K80" i="14" s="1"/>
  <c r="L78" i="14"/>
  <c r="L80" i="14" s="1"/>
  <c r="M78" i="14"/>
  <c r="M80" i="14" s="1"/>
  <c r="N78" i="14"/>
  <c r="N80" i="14" s="1"/>
  <c r="O78" i="14"/>
  <c r="O80" i="14" s="1"/>
  <c r="K83" i="14"/>
  <c r="L83" i="14"/>
  <c r="M83" i="14"/>
  <c r="N83" i="14"/>
  <c r="O83" i="14"/>
  <c r="K95" i="14"/>
  <c r="K97" i="14" s="1"/>
  <c r="L95" i="14"/>
  <c r="L97" i="14" s="1"/>
  <c r="M95" i="14"/>
  <c r="M97" i="14" s="1"/>
  <c r="N95" i="14"/>
  <c r="N97" i="14" s="1"/>
  <c r="O95" i="14"/>
  <c r="O97" i="14" s="1"/>
  <c r="K100" i="14"/>
  <c r="L100" i="14"/>
  <c r="M100" i="14"/>
  <c r="N100" i="14"/>
  <c r="O100" i="14"/>
  <c r="K107" i="14"/>
  <c r="K109" i="14" s="1"/>
  <c r="L107" i="14"/>
  <c r="L109" i="14" s="1"/>
  <c r="M107" i="14"/>
  <c r="M109" i="14" s="1"/>
  <c r="N107" i="14"/>
  <c r="N109" i="14" s="1"/>
  <c r="O107" i="14"/>
  <c r="O109" i="14" s="1"/>
  <c r="K113" i="14"/>
  <c r="L113" i="14"/>
  <c r="M113" i="14"/>
  <c r="N113" i="14"/>
  <c r="O113" i="14"/>
  <c r="I16" i="4"/>
  <c r="I147" i="4"/>
  <c r="I152" i="4"/>
  <c r="I153" i="4"/>
  <c r="I157" i="4"/>
  <c r="I158" i="4"/>
  <c r="I191" i="4"/>
  <c r="I197" i="4"/>
  <c r="I220" i="4"/>
  <c r="I246" i="4"/>
  <c r="I252" i="4"/>
  <c r="I291" i="4"/>
  <c r="I311" i="4"/>
  <c r="I312" i="4"/>
  <c r="I320" i="4"/>
  <c r="K152" i="4"/>
  <c r="K154" i="4" s="1"/>
  <c r="L152" i="4"/>
  <c r="L154" i="4" s="1"/>
  <c r="M152" i="4"/>
  <c r="M154" i="4" s="1"/>
  <c r="N152" i="4"/>
  <c r="N154" i="4" s="1"/>
  <c r="O152" i="4"/>
  <c r="O154" i="4" s="1"/>
  <c r="P152" i="4"/>
  <c r="P154" i="4" s="1"/>
  <c r="Q152" i="4"/>
  <c r="Q154" i="4" s="1"/>
  <c r="R152" i="4"/>
  <c r="R154" i="4" s="1"/>
  <c r="K157" i="4"/>
  <c r="L157" i="4"/>
  <c r="M157" i="4"/>
  <c r="N157" i="4"/>
  <c r="O157" i="4"/>
  <c r="P157" i="4"/>
  <c r="Q157" i="4"/>
  <c r="R157" i="4"/>
  <c r="S157" i="4"/>
  <c r="T157" i="4"/>
  <c r="K158" i="4"/>
  <c r="L158" i="4"/>
  <c r="M158" i="4"/>
  <c r="N158" i="4"/>
  <c r="O158" i="4"/>
  <c r="P158" i="4"/>
  <c r="Q158" i="4"/>
  <c r="R158" i="4"/>
  <c r="S158" i="4"/>
  <c r="T158" i="4"/>
  <c r="K220" i="4"/>
  <c r="K221" i="4" s="1"/>
  <c r="L220" i="4"/>
  <c r="L221" i="4" s="1"/>
  <c r="M220" i="4"/>
  <c r="M221" i="4" s="1"/>
  <c r="N220" i="4"/>
  <c r="N221" i="4" s="1"/>
  <c r="O220" i="4"/>
  <c r="O221" i="4" s="1"/>
  <c r="P220" i="4"/>
  <c r="Q220" i="4"/>
  <c r="Q221" i="4" s="1"/>
  <c r="R220" i="4"/>
  <c r="R221" i="4" s="1"/>
  <c r="P221" i="4"/>
  <c r="R10" i="4"/>
  <c r="Q10" i="4"/>
  <c r="P10" i="4"/>
  <c r="O10" i="4"/>
  <c r="N10" i="4"/>
  <c r="M10" i="4"/>
  <c r="L10" i="4"/>
  <c r="K10" i="4"/>
  <c r="K16" i="4"/>
  <c r="L16" i="4"/>
  <c r="M16" i="4"/>
  <c r="N16" i="4"/>
  <c r="O16" i="4"/>
  <c r="K90" i="4"/>
  <c r="L90" i="4"/>
  <c r="M90" i="4"/>
  <c r="N90" i="4"/>
  <c r="O90" i="4"/>
  <c r="I45" i="7"/>
  <c r="I133" i="7" s="1"/>
  <c r="I64" i="7"/>
  <c r="I65" i="7"/>
  <c r="I79" i="7" s="1"/>
  <c r="I66" i="7"/>
  <c r="I83" i="7" s="1"/>
  <c r="I67" i="7"/>
  <c r="I87" i="7" s="1"/>
  <c r="I68" i="7"/>
  <c r="I91" i="7" s="1"/>
  <c r="I69" i="7"/>
  <c r="I95" i="7" s="1"/>
  <c r="I71" i="7"/>
  <c r="I107" i="7"/>
  <c r="I115" i="7"/>
  <c r="I116" i="7"/>
  <c r="I180" i="7"/>
  <c r="I184" i="7"/>
  <c r="I218" i="7"/>
  <c r="I222" i="7"/>
  <c r="I259" i="7"/>
  <c r="I260" i="7"/>
  <c r="I268" i="7" s="1"/>
  <c r="I276" i="7"/>
  <c r="I380" i="7"/>
  <c r="I398" i="7" s="1"/>
  <c r="I876" i="2" s="1"/>
  <c r="I381" i="7"/>
  <c r="I408" i="7" s="1"/>
  <c r="I880" i="2" s="1"/>
  <c r="I383" i="7"/>
  <c r="I394" i="7" s="1"/>
  <c r="I872" i="2" s="1"/>
  <c r="I388" i="7"/>
  <c r="I395" i="7" s="1"/>
  <c r="I873" i="2" s="1"/>
  <c r="I419" i="7"/>
  <c r="I906" i="2" s="1"/>
  <c r="I428" i="7"/>
  <c r="I436" i="7"/>
  <c r="I444" i="7"/>
  <c r="I519" i="7"/>
  <c r="K445" i="7"/>
  <c r="K437" i="7"/>
  <c r="K429" i="7"/>
  <c r="K335" i="7"/>
  <c r="K294" i="7"/>
  <c r="K277" i="7"/>
  <c r="G196" i="7"/>
  <c r="I113" i="8"/>
  <c r="F114" i="8" s="1"/>
  <c r="I105" i="8"/>
  <c r="I390" i="7" s="1"/>
  <c r="I404" i="7" s="1"/>
  <c r="I893" i="2" s="1"/>
  <c r="I104" i="8"/>
  <c r="I389" i="7" s="1"/>
  <c r="I410" i="7" s="1"/>
  <c r="I882" i="2" s="1"/>
  <c r="I99" i="8"/>
  <c r="I385" i="7" s="1"/>
  <c r="I403" i="7" s="1"/>
  <c r="I892" i="2" s="1"/>
  <c r="I98" i="8"/>
  <c r="I384" i="7" s="1"/>
  <c r="I409" i="7" s="1"/>
  <c r="I881" i="2" s="1"/>
  <c r="I69" i="8"/>
  <c r="I142" i="7" s="1"/>
  <c r="I70" i="8"/>
  <c r="I143" i="7" s="1"/>
  <c r="I71" i="8"/>
  <c r="I144" i="7" s="1"/>
  <c r="I489" i="7" s="1"/>
  <c r="I72" i="8"/>
  <c r="I145" i="7" s="1"/>
  <c r="I73" i="8"/>
  <c r="I146" i="7" s="1"/>
  <c r="I74" i="8"/>
  <c r="I147" i="7" s="1"/>
  <c r="I68" i="8"/>
  <c r="I141" i="7" s="1"/>
  <c r="I60" i="8"/>
  <c r="I121" i="7" s="1"/>
  <c r="F125" i="7" s="1"/>
  <c r="I59" i="8"/>
  <c r="I120" i="7" s="1"/>
  <c r="F124" i="7" s="1"/>
  <c r="I58" i="8"/>
  <c r="I119" i="7" s="1"/>
  <c r="F123" i="7" s="1"/>
  <c r="I55" i="8"/>
  <c r="I311" i="7" s="1"/>
  <c r="I54" i="8"/>
  <c r="I310" i="7" s="1"/>
  <c r="I51" i="8"/>
  <c r="I307" i="7" s="1"/>
  <c r="I50" i="8"/>
  <c r="I306" i="7" s="1"/>
  <c r="I47" i="8"/>
  <c r="I549" i="2" s="1"/>
  <c r="I46" i="8"/>
  <c r="I548" i="2" s="1"/>
  <c r="I16" i="8"/>
  <c r="I17" i="7" s="1"/>
  <c r="F25" i="7" s="1"/>
  <c r="I11" i="8"/>
  <c r="I12" i="7" s="1"/>
  <c r="F20" i="7" s="1"/>
  <c r="I12" i="8"/>
  <c r="I13" i="7" s="1"/>
  <c r="F21" i="7" s="1"/>
  <c r="I13" i="8"/>
  <c r="I14" i="7" s="1"/>
  <c r="F22" i="7" s="1"/>
  <c r="I14" i="8"/>
  <c r="I15" i="7" s="1"/>
  <c r="F23" i="7" s="1"/>
  <c r="I10" i="8"/>
  <c r="I11" i="7" s="1"/>
  <c r="F19" i="7" s="1"/>
  <c r="K11" i="7"/>
  <c r="L11" i="7"/>
  <c r="M11" i="7"/>
  <c r="N11" i="7"/>
  <c r="O11" i="7"/>
  <c r="K12" i="7"/>
  <c r="L12" i="7"/>
  <c r="M12" i="7"/>
  <c r="N12" i="7"/>
  <c r="O12" i="7"/>
  <c r="K13" i="7"/>
  <c r="L13" i="7"/>
  <c r="M13" i="7"/>
  <c r="N13" i="7"/>
  <c r="O13" i="7"/>
  <c r="K14" i="7"/>
  <c r="L14" i="7"/>
  <c r="M14" i="7"/>
  <c r="N14" i="7"/>
  <c r="O14" i="7"/>
  <c r="K15" i="7"/>
  <c r="L15" i="7"/>
  <c r="M15" i="7"/>
  <c r="N15" i="7"/>
  <c r="O15" i="7"/>
  <c r="K17" i="7"/>
  <c r="L17" i="7"/>
  <c r="M17" i="7"/>
  <c r="N17" i="7"/>
  <c r="O17" i="7"/>
  <c r="K64" i="7"/>
  <c r="L64" i="7"/>
  <c r="M64" i="7"/>
  <c r="N64" i="7"/>
  <c r="O64" i="7"/>
  <c r="K65" i="7"/>
  <c r="K79" i="7" s="1"/>
  <c r="L65" i="7"/>
  <c r="L79" i="7" s="1"/>
  <c r="M65" i="7"/>
  <c r="M79" i="7" s="1"/>
  <c r="N65" i="7"/>
  <c r="N79" i="7" s="1"/>
  <c r="O65" i="7"/>
  <c r="O79" i="7" s="1"/>
  <c r="K66" i="7"/>
  <c r="K83" i="7" s="1"/>
  <c r="L66" i="7"/>
  <c r="L83" i="7" s="1"/>
  <c r="M66" i="7"/>
  <c r="M83" i="7" s="1"/>
  <c r="N66" i="7"/>
  <c r="N83" i="7" s="1"/>
  <c r="O66" i="7"/>
  <c r="O83" i="7" s="1"/>
  <c r="K67" i="7"/>
  <c r="K87" i="7" s="1"/>
  <c r="L67" i="7"/>
  <c r="L87" i="7" s="1"/>
  <c r="M67" i="7"/>
  <c r="M87" i="7" s="1"/>
  <c r="N67" i="7"/>
  <c r="N87" i="7" s="1"/>
  <c r="O67" i="7"/>
  <c r="O87" i="7" s="1"/>
  <c r="K68" i="7"/>
  <c r="K91" i="7" s="1"/>
  <c r="L68" i="7"/>
  <c r="L91" i="7" s="1"/>
  <c r="M68" i="7"/>
  <c r="M91" i="7" s="1"/>
  <c r="N68" i="7"/>
  <c r="N91" i="7"/>
  <c r="O68" i="7"/>
  <c r="O91" i="7" s="1"/>
  <c r="K69" i="7"/>
  <c r="K95" i="7" s="1"/>
  <c r="L69" i="7"/>
  <c r="L95" i="7" s="1"/>
  <c r="M69" i="7"/>
  <c r="M95" i="7" s="1"/>
  <c r="N69" i="7"/>
  <c r="N95" i="7" s="1"/>
  <c r="O69" i="7"/>
  <c r="O95" i="7" s="1"/>
  <c r="K71" i="7"/>
  <c r="L71" i="7"/>
  <c r="M71" i="7"/>
  <c r="N71" i="7"/>
  <c r="O71" i="7"/>
  <c r="K115" i="7"/>
  <c r="L115" i="7"/>
  <c r="M115" i="7"/>
  <c r="N115" i="7"/>
  <c r="O115" i="7"/>
  <c r="K116" i="7"/>
  <c r="L116" i="7"/>
  <c r="M116" i="7"/>
  <c r="N116" i="7"/>
  <c r="O116" i="7"/>
  <c r="K119" i="7"/>
  <c r="L119" i="7"/>
  <c r="M119" i="7"/>
  <c r="N119" i="7"/>
  <c r="O119" i="7"/>
  <c r="K120" i="7"/>
  <c r="L120" i="7"/>
  <c r="M120" i="7"/>
  <c r="N120" i="7"/>
  <c r="O120" i="7"/>
  <c r="K121" i="7"/>
  <c r="L121" i="7"/>
  <c r="M121" i="7"/>
  <c r="N121" i="7"/>
  <c r="O121" i="7"/>
  <c r="K141" i="7"/>
  <c r="K344" i="7" s="1"/>
  <c r="L141" i="7"/>
  <c r="M141" i="7"/>
  <c r="M320" i="7" s="1"/>
  <c r="N141" i="7"/>
  <c r="N344" i="7" s="1"/>
  <c r="O141" i="7"/>
  <c r="O486" i="7" s="1"/>
  <c r="K142" i="7"/>
  <c r="K171" i="7" s="1"/>
  <c r="L142" i="7"/>
  <c r="L321" i="7" s="1"/>
  <c r="M142" i="7"/>
  <c r="M171" i="7" s="1"/>
  <c r="N142" i="7"/>
  <c r="N487" i="7" s="1"/>
  <c r="O142" i="7"/>
  <c r="O171" i="7" s="1"/>
  <c r="K143" i="7"/>
  <c r="K322" i="7" s="1"/>
  <c r="L143" i="7"/>
  <c r="L346" i="7" s="1"/>
  <c r="M143" i="7"/>
  <c r="N143" i="7"/>
  <c r="N322" i="7" s="1"/>
  <c r="O143" i="7"/>
  <c r="K144" i="7"/>
  <c r="K347" i="7" s="1"/>
  <c r="L144" i="7"/>
  <c r="L173" i="7" s="1"/>
  <c r="M144" i="7"/>
  <c r="M173" i="7" s="1"/>
  <c r="N144" i="7"/>
  <c r="O144" i="7"/>
  <c r="O347" i="7" s="1"/>
  <c r="K145" i="7"/>
  <c r="L145" i="7"/>
  <c r="L174" i="7" s="1"/>
  <c r="M145" i="7"/>
  <c r="M324" i="7" s="1"/>
  <c r="N145" i="7"/>
  <c r="N490" i="7" s="1"/>
  <c r="O145" i="7"/>
  <c r="O324" i="7" s="1"/>
  <c r="K146" i="7"/>
  <c r="K325" i="7" s="1"/>
  <c r="L146" i="7"/>
  <c r="L325" i="7" s="1"/>
  <c r="M146" i="7"/>
  <c r="M349" i="7" s="1"/>
  <c r="N146" i="7"/>
  <c r="O146" i="7"/>
  <c r="O491" i="7" s="1"/>
  <c r="K147" i="7"/>
  <c r="K326" i="7" s="1"/>
  <c r="L147" i="7"/>
  <c r="M147" i="7"/>
  <c r="M350" i="7" s="1"/>
  <c r="N147" i="7"/>
  <c r="N326" i="7" s="1"/>
  <c r="O147" i="7"/>
  <c r="O326" i="7" s="1"/>
  <c r="K158" i="7"/>
  <c r="L158" i="7"/>
  <c r="M158" i="7"/>
  <c r="N158" i="7"/>
  <c r="O158" i="7"/>
  <c r="O160" i="7" s="1"/>
  <c r="K159" i="7"/>
  <c r="K160" i="7" s="1"/>
  <c r="K165" i="7" s="1"/>
  <c r="L159" i="7"/>
  <c r="M159" i="7"/>
  <c r="N159" i="7"/>
  <c r="O159" i="7"/>
  <c r="K172" i="7"/>
  <c r="L175" i="7"/>
  <c r="O176" i="7"/>
  <c r="K306" i="7"/>
  <c r="L306" i="7"/>
  <c r="M306" i="7"/>
  <c r="N306" i="7"/>
  <c r="O306" i="7"/>
  <c r="K307" i="7"/>
  <c r="L307" i="7"/>
  <c r="M307" i="7"/>
  <c r="N307" i="7"/>
  <c r="O307" i="7"/>
  <c r="K310" i="7"/>
  <c r="L310" i="7"/>
  <c r="M310" i="7"/>
  <c r="N310" i="7"/>
  <c r="N312" i="7" s="1"/>
  <c r="O310" i="7"/>
  <c r="O312" i="7" s="1"/>
  <c r="O629" i="2" s="1"/>
  <c r="K311" i="7"/>
  <c r="L311" i="7"/>
  <c r="L312" i="7" s="1"/>
  <c r="L629" i="2" s="1"/>
  <c r="M311" i="7"/>
  <c r="N311" i="7"/>
  <c r="O311" i="7"/>
  <c r="M321" i="7"/>
  <c r="O321" i="7"/>
  <c r="M345" i="7"/>
  <c r="M347" i="7"/>
  <c r="K380" i="7"/>
  <c r="K398" i="7" s="1"/>
  <c r="K876" i="2" s="1"/>
  <c r="L380" i="7"/>
  <c r="L398" i="7" s="1"/>
  <c r="M380" i="7"/>
  <c r="M398" i="7" s="1"/>
  <c r="M876" i="2" s="1"/>
  <c r="N380" i="7"/>
  <c r="N398" i="7" s="1"/>
  <c r="N876" i="2" s="1"/>
  <c r="O380" i="7"/>
  <c r="O398" i="7" s="1"/>
  <c r="K381" i="7"/>
  <c r="K408" i="7" s="1"/>
  <c r="K880" i="2" s="1"/>
  <c r="L381" i="7"/>
  <c r="L408" i="7" s="1"/>
  <c r="M381" i="7"/>
  <c r="N381" i="7"/>
  <c r="N408" i="7" s="1"/>
  <c r="N880" i="2" s="1"/>
  <c r="O381" i="7"/>
  <c r="O408" i="7" s="1"/>
  <c r="O880" i="2" s="1"/>
  <c r="K383" i="7"/>
  <c r="L383" i="7"/>
  <c r="L394" i="7" s="1"/>
  <c r="M383" i="7"/>
  <c r="N383" i="7"/>
  <c r="O383" i="7"/>
  <c r="K384" i="7"/>
  <c r="L384" i="7"/>
  <c r="M384" i="7"/>
  <c r="N384" i="7"/>
  <c r="O384" i="7"/>
  <c r="K385" i="7"/>
  <c r="K403" i="7" s="1"/>
  <c r="K892" i="2" s="1"/>
  <c r="L385" i="7"/>
  <c r="L403" i="7" s="1"/>
  <c r="L892" i="2" s="1"/>
  <c r="M385" i="7"/>
  <c r="M403" i="7" s="1"/>
  <c r="N385" i="7"/>
  <c r="N403" i="7" s="1"/>
  <c r="O385" i="7"/>
  <c r="O403" i="7" s="1"/>
  <c r="K386" i="7"/>
  <c r="K432" i="7" s="1"/>
  <c r="L386" i="7"/>
  <c r="M386" i="7"/>
  <c r="N386" i="7"/>
  <c r="N432" i="7" s="1"/>
  <c r="O386" i="7"/>
  <c r="O432" i="7" s="1"/>
  <c r="K388" i="7"/>
  <c r="K395" i="7" s="1"/>
  <c r="L388" i="7"/>
  <c r="L395" i="7" s="1"/>
  <c r="L873" i="2" s="1"/>
  <c r="M388" i="7"/>
  <c r="M395" i="7" s="1"/>
  <c r="N388" i="7"/>
  <c r="N395" i="7" s="1"/>
  <c r="O388" i="7"/>
  <c r="K389" i="7"/>
  <c r="K410" i="7" s="1"/>
  <c r="K882" i="2" s="1"/>
  <c r="L389" i="7"/>
  <c r="L410" i="7" s="1"/>
  <c r="L882" i="2" s="1"/>
  <c r="M389" i="7"/>
  <c r="M410" i="7" s="1"/>
  <c r="M882" i="2" s="1"/>
  <c r="N389" i="7"/>
  <c r="N410" i="7" s="1"/>
  <c r="N882" i="2" s="1"/>
  <c r="O389" i="7"/>
  <c r="O410" i="7" s="1"/>
  <c r="O882" i="2" s="1"/>
  <c r="K390" i="7"/>
  <c r="L390" i="7"/>
  <c r="L404" i="7" s="1"/>
  <c r="L893" i="2" s="1"/>
  <c r="M390" i="7"/>
  <c r="M404" i="7" s="1"/>
  <c r="M893" i="2" s="1"/>
  <c r="N390" i="7"/>
  <c r="N404" i="7" s="1"/>
  <c r="N893" i="2" s="1"/>
  <c r="O390" i="7"/>
  <c r="K391" i="7"/>
  <c r="K440" i="7" s="1"/>
  <c r="L391" i="7"/>
  <c r="L440" i="7" s="1"/>
  <c r="M391" i="7"/>
  <c r="M440" i="7" s="1"/>
  <c r="N391" i="7"/>
  <c r="N440" i="7" s="1"/>
  <c r="O391" i="7"/>
  <c r="K394" i="7"/>
  <c r="K872" i="2" s="1"/>
  <c r="M394" i="7"/>
  <c r="M872" i="2" s="1"/>
  <c r="N394" i="7"/>
  <c r="N872" i="2" s="1"/>
  <c r="O394" i="7"/>
  <c r="O872" i="2" s="1"/>
  <c r="O395" i="7"/>
  <c r="O873" i="2" s="1"/>
  <c r="M408" i="7"/>
  <c r="M880" i="2" s="1"/>
  <c r="N486" i="7"/>
  <c r="K489" i="7"/>
  <c r="M489" i="7"/>
  <c r="K491" i="7"/>
  <c r="L491" i="7"/>
  <c r="O492" i="7"/>
  <c r="N345" i="7"/>
  <c r="O489" i="7"/>
  <c r="O345" i="7"/>
  <c r="M323" i="7"/>
  <c r="N176" i="7"/>
  <c r="M432" i="7"/>
  <c r="N350" i="7"/>
  <c r="N492" i="7"/>
  <c r="L488" i="7"/>
  <c r="K349" i="7"/>
  <c r="L344" i="7"/>
  <c r="K175" i="7"/>
  <c r="M491" i="7"/>
  <c r="O348" i="7"/>
  <c r="L160" i="7"/>
  <c r="L550" i="2" s="1"/>
  <c r="L556" i="2" s="1"/>
  <c r="O349" i="7"/>
  <c r="O175" i="7"/>
  <c r="L490" i="7"/>
  <c r="K345" i="7"/>
  <c r="O325" i="7"/>
  <c r="K321" i="7"/>
  <c r="N172" i="7"/>
  <c r="K487" i="7"/>
  <c r="L348" i="7"/>
  <c r="L324" i="7"/>
  <c r="N346" i="7"/>
  <c r="N488" i="7"/>
  <c r="M487" i="7"/>
  <c r="L489" i="7"/>
  <c r="N321" i="7"/>
  <c r="K173" i="7"/>
  <c r="K170" i="7"/>
  <c r="M492" i="7"/>
  <c r="K486" i="7"/>
  <c r="M326" i="7"/>
  <c r="K320" i="7"/>
  <c r="M176" i="7"/>
  <c r="N171" i="7"/>
  <c r="M330" i="7"/>
  <c r="K323" i="7"/>
  <c r="L330" i="7"/>
  <c r="N325" i="7"/>
  <c r="N349" i="7"/>
  <c r="N491" i="7"/>
  <c r="N175" i="7"/>
  <c r="K324" i="7"/>
  <c r="K348" i="7"/>
  <c r="K490" i="7"/>
  <c r="K174" i="7"/>
  <c r="M488" i="7"/>
  <c r="M322" i="7"/>
  <c r="M346" i="7"/>
  <c r="M172" i="7"/>
  <c r="K312" i="7"/>
  <c r="K329" i="7" s="1"/>
  <c r="M160" i="7"/>
  <c r="M550" i="2" s="1"/>
  <c r="M556" i="2" s="1"/>
  <c r="N170" i="7"/>
  <c r="N320" i="7"/>
  <c r="L172" i="7"/>
  <c r="L322" i="7"/>
  <c r="M175" i="7"/>
  <c r="M325" i="7"/>
  <c r="O173" i="7"/>
  <c r="O323" i="7"/>
  <c r="O350" i="7"/>
  <c r="L349" i="7"/>
  <c r="M253" i="7"/>
  <c r="E70" i="11"/>
  <c r="C70" i="11"/>
  <c r="E68" i="11"/>
  <c r="C43" i="11"/>
  <c r="E56" i="15" s="1"/>
  <c r="C42" i="11"/>
  <c r="E55" i="15" s="1"/>
  <c r="C40" i="11"/>
  <c r="C69" i="11" s="1"/>
  <c r="E22" i="11"/>
  <c r="G28" i="15" s="1"/>
  <c r="C22" i="11"/>
  <c r="E28" i="15" s="1"/>
  <c r="G78" i="15"/>
  <c r="G1228" i="2"/>
  <c r="G1229" i="2"/>
  <c r="E1230" i="2"/>
  <c r="G1230" i="2"/>
  <c r="E1231" i="2"/>
  <c r="G1231" i="2"/>
  <c r="E1232" i="2"/>
  <c r="G1232" i="2"/>
  <c r="G1233" i="2"/>
  <c r="E1233" i="2"/>
  <c r="G1234" i="2"/>
  <c r="E1234" i="2"/>
  <c r="G1235" i="2"/>
  <c r="E1235" i="2"/>
  <c r="L1198" i="2"/>
  <c r="M1198" i="2"/>
  <c r="E1191" i="2"/>
  <c r="C58" i="11" s="1"/>
  <c r="E69" i="15" s="1"/>
  <c r="G1191" i="2"/>
  <c r="E58" i="11" s="1"/>
  <c r="E1193" i="2"/>
  <c r="C60" i="11" s="1"/>
  <c r="E71" i="15" s="1"/>
  <c r="G1193" i="2"/>
  <c r="E60" i="11" s="1"/>
  <c r="E1190" i="2"/>
  <c r="C57" i="11" s="1"/>
  <c r="F1190" i="2"/>
  <c r="G1190" i="2"/>
  <c r="H1190" i="2"/>
  <c r="I1190" i="2"/>
  <c r="J1190" i="2"/>
  <c r="K1190" i="2"/>
  <c r="L1190" i="2"/>
  <c r="M1190" i="2"/>
  <c r="N1190" i="2"/>
  <c r="F1179" i="2"/>
  <c r="G1179" i="2"/>
  <c r="H1179" i="2"/>
  <c r="I1179" i="2"/>
  <c r="J1179" i="2"/>
  <c r="K1179" i="2"/>
  <c r="L1179" i="2"/>
  <c r="M1179" i="2"/>
  <c r="N1179" i="2"/>
  <c r="E1179" i="2"/>
  <c r="C46" i="11" s="1"/>
  <c r="E1178" i="2"/>
  <c r="M1178" i="2"/>
  <c r="L1178" i="2"/>
  <c r="G1175" i="2"/>
  <c r="E29" i="11" s="1"/>
  <c r="G35" i="15" s="1"/>
  <c r="E1175" i="2"/>
  <c r="C29" i="11" s="1"/>
  <c r="C30" i="11" s="1"/>
  <c r="C68" i="11" s="1"/>
  <c r="M1156" i="2"/>
  <c r="L1156" i="2"/>
  <c r="H1156" i="2"/>
  <c r="E1149" i="2"/>
  <c r="E1148" i="2"/>
  <c r="F1142" i="2"/>
  <c r="G1142" i="2"/>
  <c r="H1142" i="2"/>
  <c r="J1142" i="2"/>
  <c r="E1142" i="2"/>
  <c r="E1028" i="2"/>
  <c r="E1229" i="2" s="1"/>
  <c r="J1021" i="2"/>
  <c r="J1134" i="2" s="1"/>
  <c r="J79" i="16" s="1"/>
  <c r="H1021" i="2"/>
  <c r="H1134" i="2" s="1"/>
  <c r="H79" i="16" s="1"/>
  <c r="G1021" i="2"/>
  <c r="G1134" i="2" s="1"/>
  <c r="F1021" i="2"/>
  <c r="F1134" i="2" s="1"/>
  <c r="F79" i="16" s="1"/>
  <c r="E1021" i="2"/>
  <c r="E1134" i="2" s="1"/>
  <c r="J1020" i="2"/>
  <c r="J1133" i="2" s="1"/>
  <c r="J78" i="16" s="1"/>
  <c r="H1020" i="2"/>
  <c r="H1133" i="2" s="1"/>
  <c r="H78" i="16" s="1"/>
  <c r="G1020" i="2"/>
  <c r="G1133" i="2" s="1"/>
  <c r="F1020" i="2"/>
  <c r="F1133" i="2" s="1"/>
  <c r="F78" i="16" s="1"/>
  <c r="E1020" i="2"/>
  <c r="E1133" i="2" s="1"/>
  <c r="E1203" i="2" s="1"/>
  <c r="C37" i="11" s="1"/>
  <c r="E52" i="15" s="1"/>
  <c r="J1019" i="2"/>
  <c r="J1132" i="2" s="1"/>
  <c r="J77" i="16" s="1"/>
  <c r="H1019" i="2"/>
  <c r="H1132" i="2" s="1"/>
  <c r="H77" i="16" s="1"/>
  <c r="G1019" i="2"/>
  <c r="G1132" i="2" s="1"/>
  <c r="G77" i="16" s="1"/>
  <c r="F1019" i="2"/>
  <c r="F1132" i="2" s="1"/>
  <c r="F77" i="16" s="1"/>
  <c r="E1019" i="2"/>
  <c r="E1132" i="2" s="1"/>
  <c r="J1017" i="2"/>
  <c r="J1130" i="2" s="1"/>
  <c r="J75" i="16" s="1"/>
  <c r="H1017" i="2"/>
  <c r="G1017" i="2"/>
  <c r="G1130" i="2" s="1"/>
  <c r="F1017" i="2"/>
  <c r="E1017" i="2"/>
  <c r="E1130" i="2" s="1"/>
  <c r="J1016" i="2"/>
  <c r="J1129" i="2" s="1"/>
  <c r="J74" i="16" s="1"/>
  <c r="H1016" i="2"/>
  <c r="G1016" i="2"/>
  <c r="G1129" i="2" s="1"/>
  <c r="F1016" i="2"/>
  <c r="E1016" i="2"/>
  <c r="J1101" i="2"/>
  <c r="H1101" i="2"/>
  <c r="G1101" i="2"/>
  <c r="H1124" i="2" s="1"/>
  <c r="E162" i="18" s="1"/>
  <c r="F1101" i="2"/>
  <c r="E1101" i="2"/>
  <c r="J1097" i="2"/>
  <c r="H1097" i="2"/>
  <c r="G1097" i="2"/>
  <c r="F1097" i="2"/>
  <c r="E1097" i="2"/>
  <c r="J1096" i="2"/>
  <c r="H1096" i="2"/>
  <c r="G1096" i="2"/>
  <c r="F1096" i="2"/>
  <c r="E1096" i="2"/>
  <c r="P1092" i="2"/>
  <c r="H1092" i="2"/>
  <c r="G1092" i="2"/>
  <c r="F1092" i="2"/>
  <c r="E1092" i="2"/>
  <c r="J1091" i="2"/>
  <c r="H1091" i="2"/>
  <c r="G1091" i="2"/>
  <c r="F1091" i="2"/>
  <c r="E1091" i="2"/>
  <c r="J1089" i="2"/>
  <c r="H1089" i="2"/>
  <c r="G1089" i="2"/>
  <c r="F1089" i="2"/>
  <c r="E1089" i="2"/>
  <c r="G1055" i="2"/>
  <c r="E1055" i="2"/>
  <c r="F1052" i="2"/>
  <c r="G1052" i="2"/>
  <c r="H1082" i="2" s="1"/>
  <c r="E144" i="18" s="1"/>
  <c r="H1052" i="2"/>
  <c r="J1052" i="2"/>
  <c r="E1052" i="2"/>
  <c r="E1082" i="2" s="1"/>
  <c r="B144" i="18" s="1"/>
  <c r="F1045" i="2"/>
  <c r="G1045" i="2"/>
  <c r="H1075" i="2" s="1"/>
  <c r="E137" i="18" s="1"/>
  <c r="H1045" i="2"/>
  <c r="J1045" i="2"/>
  <c r="F1046" i="2"/>
  <c r="G1046" i="2"/>
  <c r="H1076" i="2" s="1"/>
  <c r="E138" i="18" s="1"/>
  <c r="H1046" i="2"/>
  <c r="J1046" i="2"/>
  <c r="F1047" i="2"/>
  <c r="G1047" i="2"/>
  <c r="H1077" i="2" s="1"/>
  <c r="E139" i="18" s="1"/>
  <c r="H1047" i="2"/>
  <c r="J1047" i="2"/>
  <c r="E1047" i="2"/>
  <c r="E1077" i="2" s="1"/>
  <c r="B139" i="18" s="1"/>
  <c r="E1046" i="2"/>
  <c r="E1076" i="2" s="1"/>
  <c r="B138" i="18" s="1"/>
  <c r="E1045" i="2"/>
  <c r="E1075" i="2" s="1"/>
  <c r="B137" i="18" s="1"/>
  <c r="F1035" i="2"/>
  <c r="G1035" i="2"/>
  <c r="H1066" i="2" s="1"/>
  <c r="E128" i="18" s="1"/>
  <c r="H1035" i="2"/>
  <c r="J1035" i="2"/>
  <c r="F1036" i="2"/>
  <c r="G1036" i="2"/>
  <c r="H1036" i="2"/>
  <c r="J1036" i="2"/>
  <c r="E1036" i="2"/>
  <c r="E1035" i="2"/>
  <c r="G585" i="2"/>
  <c r="F625" i="2"/>
  <c r="G625" i="2"/>
  <c r="H625" i="2"/>
  <c r="J625" i="2"/>
  <c r="E625" i="2"/>
  <c r="J624" i="2"/>
  <c r="H624" i="2"/>
  <c r="G624" i="2"/>
  <c r="F624" i="2"/>
  <c r="E624" i="2"/>
  <c r="F617" i="2"/>
  <c r="G617" i="2"/>
  <c r="H617" i="2"/>
  <c r="J617" i="2"/>
  <c r="E617" i="2"/>
  <c r="F616" i="2"/>
  <c r="G616" i="2"/>
  <c r="H616" i="2"/>
  <c r="J616" i="2"/>
  <c r="E616" i="2"/>
  <c r="F609" i="2"/>
  <c r="G609" i="2"/>
  <c r="H609" i="2"/>
  <c r="J609" i="2"/>
  <c r="E609" i="2"/>
  <c r="F607" i="2"/>
  <c r="G607" i="2"/>
  <c r="H607" i="2"/>
  <c r="J607" i="2"/>
  <c r="E607" i="2"/>
  <c r="G604" i="2"/>
  <c r="E604" i="2"/>
  <c r="F602" i="2"/>
  <c r="G602" i="2"/>
  <c r="H602" i="2"/>
  <c r="J602" i="2"/>
  <c r="E602" i="2"/>
  <c r="F578" i="2"/>
  <c r="G578" i="2"/>
  <c r="H578" i="2"/>
  <c r="J578" i="2"/>
  <c r="E578" i="2"/>
  <c r="F601" i="2"/>
  <c r="H601" i="2"/>
  <c r="J601" i="2"/>
  <c r="F591" i="2"/>
  <c r="H591" i="2"/>
  <c r="J591" i="2"/>
  <c r="I5" i="15"/>
  <c r="E63" i="16"/>
  <c r="F1011" i="2"/>
  <c r="F50" i="16" s="1"/>
  <c r="G1011" i="2"/>
  <c r="G1018" i="2" s="1"/>
  <c r="G1131" i="2" s="1"/>
  <c r="G76" i="16" s="1"/>
  <c r="H1011" i="2"/>
  <c r="J1011" i="2"/>
  <c r="E1011" i="2"/>
  <c r="E1018" i="2" s="1"/>
  <c r="E1131" i="2" s="1"/>
  <c r="E76" i="16" s="1"/>
  <c r="F978" i="2"/>
  <c r="G978" i="2"/>
  <c r="H978" i="2"/>
  <c r="J978" i="2"/>
  <c r="E978" i="2"/>
  <c r="G964" i="2"/>
  <c r="J964" i="2"/>
  <c r="E964" i="2"/>
  <c r="G959" i="2"/>
  <c r="F959" i="2"/>
  <c r="E959" i="2"/>
  <c r="G958" i="2"/>
  <c r="F958" i="2"/>
  <c r="E958" i="2"/>
  <c r="G953" i="2"/>
  <c r="F953" i="2"/>
  <c r="E953" i="2"/>
  <c r="E25" i="16"/>
  <c r="E24" i="16"/>
  <c r="E23" i="16"/>
  <c r="G1041" i="2"/>
  <c r="H1071" i="2" s="1"/>
  <c r="E133" i="18" s="1"/>
  <c r="H1041" i="2"/>
  <c r="J1041" i="2"/>
  <c r="E1041" i="2"/>
  <c r="E1071" i="2" s="1"/>
  <c r="B133" i="18" s="1"/>
  <c r="E1050" i="2"/>
  <c r="E1080" i="2" s="1"/>
  <c r="B142" i="18" s="1"/>
  <c r="G1050" i="2"/>
  <c r="H1080" i="2" s="1"/>
  <c r="E142" i="18" s="1"/>
  <c r="H1050" i="2"/>
  <c r="E1051" i="2"/>
  <c r="E1081" i="2" s="1"/>
  <c r="B143" i="18" s="1"/>
  <c r="G1051" i="2"/>
  <c r="H1081" i="2" s="1"/>
  <c r="E143" i="18" s="1"/>
  <c r="H1051" i="2"/>
  <c r="F1002" i="2"/>
  <c r="G1002" i="2"/>
  <c r="G42" i="16" s="1"/>
  <c r="H1002" i="2"/>
  <c r="H144" i="17" s="1"/>
  <c r="P1002" i="2"/>
  <c r="P144" i="17" s="1"/>
  <c r="E1002" i="2"/>
  <c r="E144" i="17" s="1"/>
  <c r="F809" i="2"/>
  <c r="G809" i="2"/>
  <c r="H809" i="2"/>
  <c r="P809" i="2"/>
  <c r="E809" i="2"/>
  <c r="J802" i="2"/>
  <c r="H802" i="2"/>
  <c r="G802" i="2"/>
  <c r="F802" i="2"/>
  <c r="E802" i="2"/>
  <c r="J801" i="2"/>
  <c r="H801" i="2"/>
  <c r="G801" i="2"/>
  <c r="F801" i="2"/>
  <c r="E801" i="2"/>
  <c r="E796" i="2"/>
  <c r="F794" i="2"/>
  <c r="G794" i="2"/>
  <c r="H794" i="2"/>
  <c r="J794" i="2"/>
  <c r="E794" i="2"/>
  <c r="F793" i="2"/>
  <c r="G793" i="2"/>
  <c r="H793" i="2"/>
  <c r="J793" i="2"/>
  <c r="E793" i="2"/>
  <c r="G789" i="2"/>
  <c r="F789" i="2"/>
  <c r="E789" i="2"/>
  <c r="J788" i="2"/>
  <c r="H788" i="2"/>
  <c r="G788" i="2"/>
  <c r="F788" i="2"/>
  <c r="E788" i="2"/>
  <c r="E770" i="2"/>
  <c r="E1228" i="2" s="1"/>
  <c r="F768" i="2"/>
  <c r="G768" i="2"/>
  <c r="H768" i="2"/>
  <c r="J768" i="2"/>
  <c r="E768" i="2"/>
  <c r="H766" i="2"/>
  <c r="G766" i="2"/>
  <c r="E766" i="2"/>
  <c r="F658" i="2"/>
  <c r="G658" i="2"/>
  <c r="H658" i="2"/>
  <c r="J658" i="2"/>
  <c r="E658" i="2"/>
  <c r="F457" i="2"/>
  <c r="G457" i="2"/>
  <c r="H457" i="2"/>
  <c r="J457" i="2"/>
  <c r="E457" i="2"/>
  <c r="F453" i="2"/>
  <c r="G453" i="2"/>
  <c r="H453" i="2"/>
  <c r="J453" i="2"/>
  <c r="E453" i="2"/>
  <c r="F436" i="2"/>
  <c r="G436" i="2"/>
  <c r="H436" i="2"/>
  <c r="J436" i="2"/>
  <c r="E436" i="2"/>
  <c r="G417" i="2"/>
  <c r="G414" i="2"/>
  <c r="G415" i="2"/>
  <c r="G416" i="2"/>
  <c r="G398" i="2"/>
  <c r="H398" i="2"/>
  <c r="J398" i="2"/>
  <c r="E398" i="2"/>
  <c r="G396" i="2"/>
  <c r="G1039" i="2" s="1"/>
  <c r="H1069" i="2" s="1"/>
  <c r="E131" i="18" s="1"/>
  <c r="H396" i="2"/>
  <c r="H1039" i="2" s="1"/>
  <c r="J396" i="2"/>
  <c r="J1039" i="2" s="1"/>
  <c r="G397" i="2"/>
  <c r="G1040" i="2" s="1"/>
  <c r="H397" i="2"/>
  <c r="H1040" i="2" s="1"/>
  <c r="J397" i="2"/>
  <c r="J1040" i="2" s="1"/>
  <c r="E397" i="2"/>
  <c r="E1040" i="2" s="1"/>
  <c r="E396" i="2"/>
  <c r="E1039" i="2" s="1"/>
  <c r="E1069" i="2" s="1"/>
  <c r="B131" i="18" s="1"/>
  <c r="J394" i="2"/>
  <c r="E1043" i="2"/>
  <c r="E1073" i="2" s="1"/>
  <c r="B135" i="18" s="1"/>
  <c r="F777" i="2"/>
  <c r="G777" i="2"/>
  <c r="H777" i="2"/>
  <c r="E777" i="2"/>
  <c r="G748" i="2"/>
  <c r="F748" i="2"/>
  <c r="E748" i="2"/>
  <c r="G745" i="2"/>
  <c r="E745" i="2"/>
  <c r="G744" i="2"/>
  <c r="E744" i="2"/>
  <c r="G743" i="2"/>
  <c r="E743" i="2"/>
  <c r="G729" i="2"/>
  <c r="F729" i="2"/>
  <c r="E729" i="2"/>
  <c r="G679" i="2"/>
  <c r="F679" i="2"/>
  <c r="E679" i="2"/>
  <c r="G105" i="7"/>
  <c r="F105" i="7"/>
  <c r="E105" i="7"/>
  <c r="F678" i="2"/>
  <c r="G678" i="2"/>
  <c r="H678" i="2"/>
  <c r="J678" i="2"/>
  <c r="E678" i="2"/>
  <c r="H1043" i="2"/>
  <c r="H21" i="16"/>
  <c r="G1043" i="2"/>
  <c r="H1073" i="2" s="1"/>
  <c r="E135" i="18" s="1"/>
  <c r="G21" i="16"/>
  <c r="F1043" i="2"/>
  <c r="F21" i="16"/>
  <c r="E21" i="16"/>
  <c r="G718" i="2"/>
  <c r="H718" i="2"/>
  <c r="J718" i="2"/>
  <c r="E718" i="2"/>
  <c r="F715" i="2"/>
  <c r="G715" i="2"/>
  <c r="H715" i="2"/>
  <c r="J715" i="2"/>
  <c r="E715" i="2"/>
  <c r="F461" i="2"/>
  <c r="G461" i="2"/>
  <c r="H461" i="2"/>
  <c r="J461" i="2"/>
  <c r="F462" i="2"/>
  <c r="G462" i="2"/>
  <c r="H462" i="2"/>
  <c r="J462" i="2"/>
  <c r="E462" i="2"/>
  <c r="E461" i="2"/>
  <c r="F713" i="2"/>
  <c r="G713" i="2"/>
  <c r="H713" i="2"/>
  <c r="J713" i="2"/>
  <c r="F714" i="2"/>
  <c r="G714" i="2"/>
  <c r="H714" i="2"/>
  <c r="J714" i="2"/>
  <c r="E714" i="2"/>
  <c r="E713" i="2"/>
  <c r="J458" i="2"/>
  <c r="H458" i="2"/>
  <c r="G458" i="2"/>
  <c r="F458" i="2"/>
  <c r="E458" i="2"/>
  <c r="J454" i="2"/>
  <c r="H454" i="2"/>
  <c r="G454" i="2"/>
  <c r="F454" i="2"/>
  <c r="E454" i="2"/>
  <c r="J710" i="2"/>
  <c r="F697" i="2"/>
  <c r="G697" i="2"/>
  <c r="H697" i="2"/>
  <c r="J697" i="2"/>
  <c r="F698" i="2"/>
  <c r="G698" i="2"/>
  <c r="H698" i="2"/>
  <c r="J698" i="2"/>
  <c r="E698" i="2"/>
  <c r="E697" i="2"/>
  <c r="F243" i="7"/>
  <c r="G243" i="7"/>
  <c r="H243" i="7"/>
  <c r="J243" i="7"/>
  <c r="F244" i="7"/>
  <c r="G244" i="7"/>
  <c r="H244" i="7"/>
  <c r="J244" i="7"/>
  <c r="E244" i="7"/>
  <c r="E243" i="7"/>
  <c r="F239" i="7"/>
  <c r="H239" i="7"/>
  <c r="J239" i="7"/>
  <c r="E239" i="7"/>
  <c r="F235" i="7"/>
  <c r="G235" i="7"/>
  <c r="H235" i="7"/>
  <c r="J235" i="7"/>
  <c r="F240" i="7"/>
  <c r="G240" i="7"/>
  <c r="H240" i="7"/>
  <c r="J240" i="7"/>
  <c r="E240" i="7"/>
  <c r="E235" i="7"/>
  <c r="F234" i="7"/>
  <c r="G234" i="7"/>
  <c r="H234" i="7"/>
  <c r="J234" i="7"/>
  <c r="E234" i="7"/>
  <c r="F696" i="2"/>
  <c r="G696" i="2"/>
  <c r="H696" i="2"/>
  <c r="J696" i="2"/>
  <c r="E696" i="2"/>
  <c r="V121" i="8"/>
  <c r="V696" i="2" s="1"/>
  <c r="W121" i="8"/>
  <c r="W696" i="2" s="1"/>
  <c r="X121" i="8"/>
  <c r="X696" i="2" s="1"/>
  <c r="Y121" i="8"/>
  <c r="Y696" i="2" s="1"/>
  <c r="Z121" i="8"/>
  <c r="Z696" i="2" s="1"/>
  <c r="AA121" i="8"/>
  <c r="AA696" i="2" s="1"/>
  <c r="AB121" i="8"/>
  <c r="AB696" i="2" s="1"/>
  <c r="AJ121" i="8"/>
  <c r="AJ696" i="2" s="1"/>
  <c r="AK121" i="8"/>
  <c r="AK696" i="2" s="1"/>
  <c r="AS676" i="2"/>
  <c r="AR676" i="2"/>
  <c r="AQ676" i="2"/>
  <c r="AP676" i="2"/>
  <c r="AO676" i="2"/>
  <c r="AN676" i="2"/>
  <c r="AM676" i="2"/>
  <c r="AL676" i="2"/>
  <c r="AK676" i="2"/>
  <c r="AJ676" i="2"/>
  <c r="AI676" i="2"/>
  <c r="AH676" i="2"/>
  <c r="AG676" i="2"/>
  <c r="AF676" i="2"/>
  <c r="AE676" i="2"/>
  <c r="AD676" i="2"/>
  <c r="AC676" i="2"/>
  <c r="AB676" i="2"/>
  <c r="AA676" i="2"/>
  <c r="Z676" i="2"/>
  <c r="Y676" i="2"/>
  <c r="X676" i="2"/>
  <c r="W676" i="2"/>
  <c r="V676" i="2"/>
  <c r="U676" i="2"/>
  <c r="T676" i="2"/>
  <c r="S676" i="2"/>
  <c r="R676" i="2"/>
  <c r="Q676" i="2"/>
  <c r="P676" i="2"/>
  <c r="J676" i="2"/>
  <c r="G676" i="2"/>
  <c r="F676" i="2"/>
  <c r="E676" i="2"/>
  <c r="G949" i="2"/>
  <c r="F949" i="2"/>
  <c r="E949" i="2"/>
  <c r="F946" i="2"/>
  <c r="G946" i="2"/>
  <c r="H946" i="2"/>
  <c r="J946" i="2"/>
  <c r="E946" i="2"/>
  <c r="J1025" i="2"/>
  <c r="J1135" i="2" s="1"/>
  <c r="H1025" i="2"/>
  <c r="H1135" i="2" s="1"/>
  <c r="G1025" i="2"/>
  <c r="G1135" i="2" s="1"/>
  <c r="G1205" i="2" s="1"/>
  <c r="F1025" i="2"/>
  <c r="F1135" i="2" s="1"/>
  <c r="E1025" i="2"/>
  <c r="E1135" i="2" s="1"/>
  <c r="F863" i="2"/>
  <c r="F1094" i="2" s="1"/>
  <c r="G863" i="2"/>
  <c r="G1004" i="2" s="1"/>
  <c r="H863" i="2"/>
  <c r="J863" i="2"/>
  <c r="J1004" i="2" s="1"/>
  <c r="J44" i="16" s="1"/>
  <c r="F864" i="2"/>
  <c r="F1005" i="2" s="1"/>
  <c r="G864" i="2"/>
  <c r="G1095" i="2" s="1"/>
  <c r="H864" i="2"/>
  <c r="E864" i="2"/>
  <c r="E1005" i="2" s="1"/>
  <c r="E147" i="17" s="1"/>
  <c r="E863" i="2"/>
  <c r="F862" i="2"/>
  <c r="F1003" i="2" s="1"/>
  <c r="G862" i="2"/>
  <c r="H862" i="2"/>
  <c r="H1003" i="2" s="1"/>
  <c r="J862" i="2"/>
  <c r="J1003" i="2" s="1"/>
  <c r="J43" i="16" s="1"/>
  <c r="P862" i="2"/>
  <c r="Q862" i="2"/>
  <c r="R862" i="2"/>
  <c r="S862" i="2"/>
  <c r="T862" i="2"/>
  <c r="U862" i="2"/>
  <c r="V862" i="2"/>
  <c r="W862" i="2"/>
  <c r="X862" i="2"/>
  <c r="Y862" i="2"/>
  <c r="Z862" i="2"/>
  <c r="AA862" i="2"/>
  <c r="AB862" i="2"/>
  <c r="AC862" i="2"/>
  <c r="AD862" i="2"/>
  <c r="AE862" i="2"/>
  <c r="AF862" i="2"/>
  <c r="AG862" i="2"/>
  <c r="AH862" i="2"/>
  <c r="AI862" i="2"/>
  <c r="AJ862" i="2"/>
  <c r="AK862" i="2"/>
  <c r="AL862" i="2"/>
  <c r="AM862" i="2"/>
  <c r="AN862" i="2"/>
  <c r="AO862" i="2"/>
  <c r="AP862" i="2"/>
  <c r="AQ862" i="2"/>
  <c r="AR862" i="2"/>
  <c r="AS862" i="2"/>
  <c r="E862" i="2"/>
  <c r="E1003" i="2" s="1"/>
  <c r="E79" i="14"/>
  <c r="F78" i="14"/>
  <c r="G78" i="14"/>
  <c r="H78" i="14"/>
  <c r="J78" i="14"/>
  <c r="P78" i="14"/>
  <c r="P80" i="14" s="1"/>
  <c r="Q78" i="14"/>
  <c r="Q80" i="14" s="1"/>
  <c r="R78" i="14"/>
  <c r="R80" i="14" s="1"/>
  <c r="S78" i="14"/>
  <c r="S80" i="14" s="1"/>
  <c r="T78" i="14"/>
  <c r="T80" i="14" s="1"/>
  <c r="U78" i="14"/>
  <c r="U80" i="14" s="1"/>
  <c r="V78" i="14"/>
  <c r="V80" i="14" s="1"/>
  <c r="W78" i="14"/>
  <c r="X78" i="14"/>
  <c r="Y78" i="14"/>
  <c r="Z78" i="14"/>
  <c r="AA78" i="14"/>
  <c r="AB78" i="14"/>
  <c r="AB80" i="14" s="1"/>
  <c r="AC78" i="14"/>
  <c r="AC80" i="14" s="1"/>
  <c r="AD78" i="14"/>
  <c r="AD80" i="14" s="1"/>
  <c r="AE78" i="14"/>
  <c r="AE80" i="14" s="1"/>
  <c r="AF78" i="14"/>
  <c r="AF80" i="14" s="1"/>
  <c r="AG78" i="14"/>
  <c r="AG80" i="14" s="1"/>
  <c r="AH78" i="14"/>
  <c r="AH80" i="14" s="1"/>
  <c r="AI78" i="14"/>
  <c r="AI80" i="14" s="1"/>
  <c r="AJ78" i="14"/>
  <c r="AJ80" i="14" s="1"/>
  <c r="AK78" i="14"/>
  <c r="AK80" i="14" s="1"/>
  <c r="AL78" i="14"/>
  <c r="AL80" i="14" s="1"/>
  <c r="AM78" i="14"/>
  <c r="AM80" i="14" s="1"/>
  <c r="AN78" i="14"/>
  <c r="AN80" i="14" s="1"/>
  <c r="AO78" i="14"/>
  <c r="AO80" i="14" s="1"/>
  <c r="AP78" i="14"/>
  <c r="AP80" i="14" s="1"/>
  <c r="AQ78" i="14"/>
  <c r="AQ80" i="14" s="1"/>
  <c r="AR78" i="14"/>
  <c r="AR80" i="14" s="1"/>
  <c r="AS78" i="14"/>
  <c r="AS80" i="14" s="1"/>
  <c r="E78" i="14"/>
  <c r="E108" i="14"/>
  <c r="G857" i="2"/>
  <c r="E857" i="2"/>
  <c r="E855" i="2"/>
  <c r="G324" i="4"/>
  <c r="F324" i="4"/>
  <c r="E324" i="4"/>
  <c r="E321" i="4"/>
  <c r="AN107" i="14"/>
  <c r="AN109" i="14" s="1"/>
  <c r="AM107" i="14"/>
  <c r="AM109" i="14" s="1"/>
  <c r="AL107" i="14"/>
  <c r="AL109" i="14" s="1"/>
  <c r="AK107" i="14"/>
  <c r="AK109" i="14" s="1"/>
  <c r="AJ107" i="14"/>
  <c r="AJ109" i="14" s="1"/>
  <c r="AI107" i="14"/>
  <c r="AI109" i="14" s="1"/>
  <c r="AH107" i="14"/>
  <c r="AH109" i="14" s="1"/>
  <c r="AG107" i="14"/>
  <c r="AG109" i="14" s="1"/>
  <c r="AF107" i="14"/>
  <c r="AF109" i="14" s="1"/>
  <c r="AE107" i="14"/>
  <c r="AE109" i="14" s="1"/>
  <c r="AD107" i="14"/>
  <c r="AD109" i="14" s="1"/>
  <c r="AC107" i="14"/>
  <c r="AC109" i="14" s="1"/>
  <c r="AB107" i="14"/>
  <c r="AB109" i="14" s="1"/>
  <c r="AA107" i="14"/>
  <c r="Z107" i="14"/>
  <c r="Y107" i="14"/>
  <c r="X107" i="14"/>
  <c r="W107" i="14"/>
  <c r="V107" i="14"/>
  <c r="U107" i="14"/>
  <c r="T107" i="14"/>
  <c r="S107" i="14"/>
  <c r="R107" i="14"/>
  <c r="Q107" i="14"/>
  <c r="P107" i="14"/>
  <c r="P109" i="14" s="1"/>
  <c r="J107" i="14"/>
  <c r="H107" i="14"/>
  <c r="G107" i="14"/>
  <c r="F107" i="14"/>
  <c r="E107" i="14"/>
  <c r="G104" i="14"/>
  <c r="F104" i="14"/>
  <c r="E104" i="14"/>
  <c r="E101" i="14"/>
  <c r="F100" i="14"/>
  <c r="G100" i="14"/>
  <c r="H100" i="14"/>
  <c r="J100" i="14"/>
  <c r="P100" i="14"/>
  <c r="Q100" i="14"/>
  <c r="R100" i="14"/>
  <c r="S100" i="14"/>
  <c r="T100" i="14"/>
  <c r="U100" i="14"/>
  <c r="V100" i="14"/>
  <c r="W100" i="14"/>
  <c r="X100" i="14"/>
  <c r="Y100" i="14"/>
  <c r="Z100" i="14"/>
  <c r="AA100" i="14"/>
  <c r="AB100" i="14"/>
  <c r="AC100" i="14"/>
  <c r="AD100" i="14"/>
  <c r="AE100" i="14"/>
  <c r="AF100" i="14"/>
  <c r="AG100" i="14"/>
  <c r="AH100" i="14"/>
  <c r="AI100" i="14"/>
  <c r="AJ100" i="14"/>
  <c r="AK100" i="14"/>
  <c r="AL100" i="14"/>
  <c r="AM100" i="14"/>
  <c r="AN100" i="14"/>
  <c r="E100" i="14"/>
  <c r="J320" i="4"/>
  <c r="H320" i="4"/>
  <c r="G320" i="4"/>
  <c r="F320" i="4"/>
  <c r="E320" i="4"/>
  <c r="J853" i="2"/>
  <c r="H853" i="2"/>
  <c r="G853" i="2"/>
  <c r="E853" i="2"/>
  <c r="E96" i="14"/>
  <c r="F820" i="2"/>
  <c r="G820" i="2"/>
  <c r="H820" i="2"/>
  <c r="J820" i="2"/>
  <c r="E820" i="2"/>
  <c r="G315" i="4"/>
  <c r="E315" i="4"/>
  <c r="AQ39" i="14"/>
  <c r="AR39" i="14"/>
  <c r="AS39" i="14"/>
  <c r="AQ67" i="14"/>
  <c r="AR67" i="14"/>
  <c r="AS67" i="14"/>
  <c r="AQ68" i="14"/>
  <c r="AR68" i="14"/>
  <c r="AS68" i="14"/>
  <c r="AQ69" i="14"/>
  <c r="AR69" i="14"/>
  <c r="AS69" i="14"/>
  <c r="AQ113" i="14"/>
  <c r="AR113" i="14"/>
  <c r="AS113" i="14"/>
  <c r="AO548" i="2"/>
  <c r="AP548" i="2"/>
  <c r="AQ548" i="2"/>
  <c r="AR548" i="2"/>
  <c r="AS548" i="2"/>
  <c r="AO549" i="2"/>
  <c r="AP549" i="2"/>
  <c r="AQ549" i="2"/>
  <c r="AR549" i="2"/>
  <c r="AS549" i="2"/>
  <c r="AR531" i="2"/>
  <c r="AS531" i="2"/>
  <c r="AR543" i="2"/>
  <c r="AS543" i="2"/>
  <c r="AL247" i="4"/>
  <c r="AM247" i="4"/>
  <c r="AN247" i="4"/>
  <c r="AO247" i="4"/>
  <c r="AP247" i="4"/>
  <c r="AQ247" i="4"/>
  <c r="AR247" i="4"/>
  <c r="AS247" i="4"/>
  <c r="AI247" i="4"/>
  <c r="AJ247" i="4"/>
  <c r="AK247" i="4"/>
  <c r="AR246" i="2"/>
  <c r="AS246" i="2"/>
  <c r="AR255" i="2"/>
  <c r="AS255" i="2"/>
  <c r="AO225" i="2"/>
  <c r="AP225" i="2"/>
  <c r="AQ225" i="2"/>
  <c r="AO231" i="2"/>
  <c r="AP231" i="2"/>
  <c r="AQ231" i="2"/>
  <c r="AO203" i="2"/>
  <c r="AP203" i="2"/>
  <c r="AQ203" i="2"/>
  <c r="AO210" i="2"/>
  <c r="AP210" i="2"/>
  <c r="AQ210" i="2"/>
  <c r="AO211" i="2"/>
  <c r="AP211" i="2"/>
  <c r="AQ211" i="2"/>
  <c r="AO212" i="2"/>
  <c r="AP212" i="2"/>
  <c r="AQ212" i="2"/>
  <c r="AO213" i="2"/>
  <c r="AP213" i="2"/>
  <c r="AQ213" i="2"/>
  <c r="AO214" i="2"/>
  <c r="AP214" i="2"/>
  <c r="AQ214" i="2"/>
  <c r="AO215" i="2"/>
  <c r="AP215" i="2"/>
  <c r="AQ215" i="2"/>
  <c r="Q11" i="2"/>
  <c r="R11" i="2"/>
  <c r="S11" i="2"/>
  <c r="T11" i="2"/>
  <c r="U11" i="2"/>
  <c r="V11" i="2"/>
  <c r="W11" i="2"/>
  <c r="X11" i="2"/>
  <c r="Y11" i="2"/>
  <c r="Z11" i="2"/>
  <c r="AA11" i="2"/>
  <c r="AB11" i="2"/>
  <c r="AC11" i="2"/>
  <c r="AD11" i="2"/>
  <c r="AE11" i="2"/>
  <c r="AF11" i="2"/>
  <c r="AG11" i="2"/>
  <c r="AH11" i="2"/>
  <c r="AI11" i="2"/>
  <c r="AJ11" i="2"/>
  <c r="AK11" i="2"/>
  <c r="AL11" i="2"/>
  <c r="AM11" i="2"/>
  <c r="AN11" i="2"/>
  <c r="AO11" i="2"/>
  <c r="AP11" i="2"/>
  <c r="AQ11" i="2"/>
  <c r="AR11" i="2"/>
  <c r="AS11" i="2"/>
  <c r="Q21" i="2"/>
  <c r="R21" i="2"/>
  <c r="S21" i="2"/>
  <c r="T21" i="2"/>
  <c r="U21" i="2"/>
  <c r="V21" i="2"/>
  <c r="V23" i="2" s="1"/>
  <c r="W21" i="2"/>
  <c r="W23" i="2" s="1"/>
  <c r="W31" i="2" s="1"/>
  <c r="X21" i="2"/>
  <c r="X23" i="2" s="1"/>
  <c r="X31" i="2" s="1"/>
  <c r="Y21" i="2"/>
  <c r="Y23" i="2" s="1"/>
  <c r="Y74" i="2" s="1"/>
  <c r="Z21" i="2"/>
  <c r="Z23" i="2" s="1"/>
  <c r="AA21" i="2"/>
  <c r="AA23" i="2" s="1"/>
  <c r="AA31" i="2" s="1"/>
  <c r="AB21" i="2"/>
  <c r="AB23" i="2" s="1"/>
  <c r="AB31" i="2" s="1"/>
  <c r="AC21" i="2"/>
  <c r="AC23" i="2" s="1"/>
  <c r="AC74" i="2" s="1"/>
  <c r="AD21" i="2"/>
  <c r="AE21" i="2"/>
  <c r="AF21" i="2"/>
  <c r="AG21" i="2"/>
  <c r="AH21" i="2"/>
  <c r="AI21" i="2"/>
  <c r="AJ21" i="2"/>
  <c r="AK21" i="2"/>
  <c r="AL21" i="2"/>
  <c r="AM21" i="2"/>
  <c r="AN21" i="2"/>
  <c r="AO21" i="2"/>
  <c r="AP21" i="2"/>
  <c r="AQ21" i="2"/>
  <c r="AR21" i="2"/>
  <c r="AS21" i="2"/>
  <c r="Q26" i="2"/>
  <c r="R26" i="2"/>
  <c r="S26" i="2"/>
  <c r="T26" i="2"/>
  <c r="U26" i="2"/>
  <c r="V26" i="2"/>
  <c r="W26" i="2"/>
  <c r="X26" i="2"/>
  <c r="Y26" i="2"/>
  <c r="Z26" i="2"/>
  <c r="AA26" i="2"/>
  <c r="AB26" i="2"/>
  <c r="AC26" i="2"/>
  <c r="AD26" i="2"/>
  <c r="AE26" i="2"/>
  <c r="AF26" i="2"/>
  <c r="AG26" i="2"/>
  <c r="AH26" i="2"/>
  <c r="AI26" i="2"/>
  <c r="AJ26" i="2"/>
  <c r="AK26" i="2"/>
  <c r="AL26" i="2"/>
  <c r="AM26" i="2"/>
  <c r="AN26" i="2"/>
  <c r="AO26" i="2"/>
  <c r="AP26" i="2"/>
  <c r="AQ26" i="2"/>
  <c r="AR26" i="2"/>
  <c r="AS26" i="2"/>
  <c r="Q27" i="2"/>
  <c r="R27" i="2"/>
  <c r="S27" i="2"/>
  <c r="T27" i="2"/>
  <c r="U27" i="2"/>
  <c r="V27" i="2"/>
  <c r="W27" i="2"/>
  <c r="X27" i="2"/>
  <c r="Y27" i="2"/>
  <c r="Z27" i="2"/>
  <c r="AA27" i="2"/>
  <c r="AB27" i="2"/>
  <c r="AC27" i="2"/>
  <c r="AD27" i="2"/>
  <c r="AE27" i="2"/>
  <c r="AF27" i="2"/>
  <c r="AG27" i="2"/>
  <c r="AH27" i="2"/>
  <c r="AI27" i="2"/>
  <c r="AJ27" i="2"/>
  <c r="AK27" i="2"/>
  <c r="AL27" i="2"/>
  <c r="AM27" i="2"/>
  <c r="AN27" i="2"/>
  <c r="AO27" i="2"/>
  <c r="AP27" i="2"/>
  <c r="AQ27" i="2"/>
  <c r="AR27" i="2"/>
  <c r="AS27" i="2"/>
  <c r="Q36" i="2"/>
  <c r="R36" i="2"/>
  <c r="S36" i="2"/>
  <c r="T36" i="2"/>
  <c r="U36" i="2"/>
  <c r="V36" i="2"/>
  <c r="W36" i="2"/>
  <c r="X36" i="2"/>
  <c r="Y36" i="2"/>
  <c r="Z36" i="2"/>
  <c r="AA36" i="2"/>
  <c r="AB36" i="2"/>
  <c r="AC36" i="2"/>
  <c r="AD36" i="2"/>
  <c r="AE36" i="2"/>
  <c r="AF36" i="2"/>
  <c r="AG36" i="2"/>
  <c r="AH36" i="2"/>
  <c r="AI36" i="2"/>
  <c r="AJ36" i="2"/>
  <c r="AK36" i="2"/>
  <c r="AL36" i="2"/>
  <c r="AM36" i="2"/>
  <c r="AN36" i="2"/>
  <c r="AO36" i="2"/>
  <c r="AP36" i="2"/>
  <c r="AQ36" i="2"/>
  <c r="AR36" i="2"/>
  <c r="AS36" i="2"/>
  <c r="Q63" i="2"/>
  <c r="R63" i="2"/>
  <c r="S63" i="2"/>
  <c r="T63" i="2"/>
  <c r="U63" i="2"/>
  <c r="V63" i="2"/>
  <c r="W63" i="2"/>
  <c r="X63" i="2"/>
  <c r="Y63" i="2"/>
  <c r="Z63" i="2"/>
  <c r="AA63" i="2"/>
  <c r="AB63" i="2"/>
  <c r="AC63" i="2"/>
  <c r="AD63" i="2"/>
  <c r="AE63" i="2"/>
  <c r="AF63" i="2"/>
  <c r="AG63" i="2"/>
  <c r="AH63" i="2"/>
  <c r="AI63" i="2"/>
  <c r="AJ63" i="2"/>
  <c r="AK63" i="2"/>
  <c r="AL63" i="2"/>
  <c r="AM63" i="2"/>
  <c r="AN63" i="2"/>
  <c r="AO63" i="2"/>
  <c r="AP63" i="2"/>
  <c r="AQ63" i="2"/>
  <c r="AR63" i="2"/>
  <c r="AS63" i="2"/>
  <c r="Q94" i="2"/>
  <c r="R94" i="2"/>
  <c r="S94" i="2"/>
  <c r="T94" i="2"/>
  <c r="U94" i="2"/>
  <c r="V94" i="2"/>
  <c r="W94" i="2"/>
  <c r="X94" i="2"/>
  <c r="Y94" i="2"/>
  <c r="Z94" i="2"/>
  <c r="AA94" i="2"/>
  <c r="AB94" i="2"/>
  <c r="AC94" i="2"/>
  <c r="AD94" i="2"/>
  <c r="AE94" i="2"/>
  <c r="AF94" i="2"/>
  <c r="AG94" i="2"/>
  <c r="AH94" i="2"/>
  <c r="AI94" i="2"/>
  <c r="AJ94" i="2"/>
  <c r="AK94" i="2"/>
  <c r="AL94" i="2"/>
  <c r="AM94" i="2"/>
  <c r="AN94" i="2"/>
  <c r="AO94" i="2"/>
  <c r="AP94" i="2"/>
  <c r="AQ94" i="2"/>
  <c r="AR94" i="2"/>
  <c r="AS94" i="2"/>
  <c r="Q96" i="2"/>
  <c r="R96" i="2"/>
  <c r="S96" i="2"/>
  <c r="T96" i="2"/>
  <c r="U96" i="2"/>
  <c r="V96" i="2"/>
  <c r="W96" i="2"/>
  <c r="X96" i="2"/>
  <c r="Y96" i="2"/>
  <c r="Z96" i="2"/>
  <c r="AA96" i="2"/>
  <c r="AB96" i="2"/>
  <c r="AC96" i="2"/>
  <c r="AD96" i="2"/>
  <c r="AE96" i="2"/>
  <c r="AF96" i="2"/>
  <c r="AG96" i="2"/>
  <c r="AH96" i="2"/>
  <c r="AI96" i="2"/>
  <c r="AJ96" i="2"/>
  <c r="AK96" i="2"/>
  <c r="AL96" i="2"/>
  <c r="AM96" i="2"/>
  <c r="AN96" i="2"/>
  <c r="AO96" i="2"/>
  <c r="AP96" i="2"/>
  <c r="AQ96" i="2"/>
  <c r="AR96" i="2"/>
  <c r="AS96" i="2"/>
  <c r="Q99" i="2"/>
  <c r="R99" i="2"/>
  <c r="S99" i="2"/>
  <c r="T99" i="2"/>
  <c r="U99" i="2"/>
  <c r="V99" i="2"/>
  <c r="W99" i="2"/>
  <c r="X99" i="2"/>
  <c r="Y99" i="2"/>
  <c r="Z99" i="2"/>
  <c r="AA99" i="2"/>
  <c r="AB99" i="2"/>
  <c r="AC99" i="2"/>
  <c r="AD99" i="2"/>
  <c r="AE99" i="2"/>
  <c r="AF99" i="2"/>
  <c r="AG99" i="2"/>
  <c r="AH99" i="2"/>
  <c r="AI99" i="2"/>
  <c r="AJ99" i="2"/>
  <c r="AK99" i="2"/>
  <c r="AL99" i="2"/>
  <c r="AM99" i="2"/>
  <c r="AN99" i="2"/>
  <c r="AO99" i="2"/>
  <c r="AP99" i="2"/>
  <c r="AQ99" i="2"/>
  <c r="AR99" i="2"/>
  <c r="AS99" i="2"/>
  <c r="Q103" i="2"/>
  <c r="R103" i="2"/>
  <c r="S103" i="2"/>
  <c r="T103" i="2"/>
  <c r="U103" i="2"/>
  <c r="V103" i="2"/>
  <c r="W103" i="2"/>
  <c r="X103" i="2"/>
  <c r="X105" i="2" s="1"/>
  <c r="X121" i="2" s="1"/>
  <c r="Y103" i="2"/>
  <c r="Y105" i="2" s="1"/>
  <c r="Y121" i="2" s="1"/>
  <c r="Z103" i="2"/>
  <c r="Z105" i="2" s="1"/>
  <c r="AA103" i="2"/>
  <c r="AA105" i="2" s="1"/>
  <c r="AA121" i="2" s="1"/>
  <c r="AB103" i="2"/>
  <c r="AB105" i="2" s="1"/>
  <c r="AB121" i="2" s="1"/>
  <c r="AC103" i="2"/>
  <c r="AC105" i="2" s="1"/>
  <c r="AC121" i="2" s="1"/>
  <c r="AD103" i="2"/>
  <c r="AE103" i="2"/>
  <c r="AF103" i="2"/>
  <c r="AG103" i="2"/>
  <c r="AH103" i="2"/>
  <c r="AI103" i="2"/>
  <c r="AJ103" i="2"/>
  <c r="AK103" i="2"/>
  <c r="AL103" i="2"/>
  <c r="AM103" i="2"/>
  <c r="AN103" i="2"/>
  <c r="AO103" i="2"/>
  <c r="AP103" i="2"/>
  <c r="AQ103" i="2"/>
  <c r="AR103" i="2"/>
  <c r="AS103" i="2"/>
  <c r="Q112" i="2"/>
  <c r="R112" i="2"/>
  <c r="S112" i="2"/>
  <c r="T112" i="2"/>
  <c r="U112" i="2"/>
  <c r="V112" i="2"/>
  <c r="W112" i="2"/>
  <c r="X112" i="2"/>
  <c r="Y112" i="2"/>
  <c r="Z112" i="2"/>
  <c r="AA112" i="2"/>
  <c r="AB112" i="2"/>
  <c r="AC112" i="2"/>
  <c r="AD112" i="2"/>
  <c r="AE112" i="2"/>
  <c r="AF112" i="2"/>
  <c r="AG112" i="2"/>
  <c r="AH112" i="2"/>
  <c r="AI112" i="2"/>
  <c r="AJ112" i="2"/>
  <c r="AK112" i="2"/>
  <c r="AL112" i="2"/>
  <c r="AM112" i="2"/>
  <c r="AN112" i="2"/>
  <c r="AO112" i="2"/>
  <c r="AP112" i="2"/>
  <c r="AQ112" i="2"/>
  <c r="AR112" i="2"/>
  <c r="AS112" i="2"/>
  <c r="Q141" i="2"/>
  <c r="R141" i="2"/>
  <c r="S141" i="2"/>
  <c r="T141" i="2"/>
  <c r="U141" i="2"/>
  <c r="V141" i="2"/>
  <c r="Z141" i="2"/>
  <c r="AA141" i="2"/>
  <c r="AB141" i="2"/>
  <c r="AC141" i="2"/>
  <c r="AD141" i="2"/>
  <c r="AE141" i="2"/>
  <c r="AF141" i="2"/>
  <c r="AG141" i="2"/>
  <c r="AH141" i="2"/>
  <c r="AI141" i="2"/>
  <c r="AJ141" i="2"/>
  <c r="AK141" i="2"/>
  <c r="AL141" i="2"/>
  <c r="AM141" i="2"/>
  <c r="AN141" i="2"/>
  <c r="AO141" i="2"/>
  <c r="AP141" i="2"/>
  <c r="AQ141" i="2"/>
  <c r="AR141" i="2"/>
  <c r="AS141" i="2"/>
  <c r="Q142" i="2"/>
  <c r="R142" i="2"/>
  <c r="S142" i="2"/>
  <c r="T142" i="2"/>
  <c r="U142" i="2"/>
  <c r="V142" i="2"/>
  <c r="W142" i="2"/>
  <c r="X142" i="2"/>
  <c r="Y142" i="2"/>
  <c r="Z142" i="2"/>
  <c r="AA142" i="2"/>
  <c r="AB142" i="2"/>
  <c r="AC142" i="2"/>
  <c r="AD142" i="2"/>
  <c r="AE142" i="2"/>
  <c r="AF142" i="2"/>
  <c r="AG142" i="2"/>
  <c r="AH142" i="2"/>
  <c r="AI142" i="2"/>
  <c r="AJ142" i="2"/>
  <c r="AK142" i="2"/>
  <c r="AL142" i="2"/>
  <c r="AM142" i="2"/>
  <c r="AN142" i="2"/>
  <c r="AO142" i="2"/>
  <c r="AP142" i="2"/>
  <c r="AQ142" i="2"/>
  <c r="AR142" i="2"/>
  <c r="AS142" i="2"/>
  <c r="P11" i="2"/>
  <c r="P21" i="2"/>
  <c r="P26" i="2"/>
  <c r="P27" i="2"/>
  <c r="P36" i="2"/>
  <c r="P63" i="2"/>
  <c r="P94" i="2"/>
  <c r="P96" i="2"/>
  <c r="P99" i="2"/>
  <c r="P103" i="2"/>
  <c r="P112" i="2"/>
  <c r="P141" i="2"/>
  <c r="P142" i="2"/>
  <c r="P194" i="2"/>
  <c r="Q194" i="2"/>
  <c r="R194" i="2"/>
  <c r="P203" i="2"/>
  <c r="Q203" i="2"/>
  <c r="R203" i="2"/>
  <c r="P210" i="2"/>
  <c r="Q210" i="2"/>
  <c r="R210" i="2"/>
  <c r="P211" i="2"/>
  <c r="Q211" i="2"/>
  <c r="R211" i="2"/>
  <c r="P212" i="2"/>
  <c r="Q212" i="2"/>
  <c r="R212" i="2"/>
  <c r="P213" i="2"/>
  <c r="Q213" i="2"/>
  <c r="R213" i="2"/>
  <c r="P214" i="2"/>
  <c r="Q214" i="2"/>
  <c r="R214" i="2"/>
  <c r="P215" i="2"/>
  <c r="Q215" i="2"/>
  <c r="R215" i="2"/>
  <c r="P225" i="2"/>
  <c r="Q225" i="2"/>
  <c r="R225" i="2"/>
  <c r="P231" i="2"/>
  <c r="Q231" i="2"/>
  <c r="R231" i="2"/>
  <c r="P246" i="2"/>
  <c r="P252" i="2" s="1"/>
  <c r="Q246" i="2"/>
  <c r="Q252" i="2" s="1"/>
  <c r="R246" i="2"/>
  <c r="R252" i="2" s="1"/>
  <c r="R262" i="2" s="1"/>
  <c r="P255" i="2"/>
  <c r="Q255" i="2"/>
  <c r="R255" i="2"/>
  <c r="P263" i="2"/>
  <c r="Q263" i="2"/>
  <c r="R263" i="2"/>
  <c r="P478" i="2"/>
  <c r="Q478" i="2"/>
  <c r="R478" i="2"/>
  <c r="P531" i="2"/>
  <c r="Q531" i="2"/>
  <c r="R531" i="2"/>
  <c r="P543" i="2"/>
  <c r="Q543" i="2"/>
  <c r="R543" i="2"/>
  <c r="P548" i="2"/>
  <c r="Q548" i="2"/>
  <c r="R548" i="2"/>
  <c r="P549" i="2"/>
  <c r="Q549" i="2"/>
  <c r="R549" i="2"/>
  <c r="AQ100" i="8"/>
  <c r="AQ386" i="7" s="1"/>
  <c r="AQ432" i="7" s="1"/>
  <c r="AR100" i="8"/>
  <c r="AR386" i="7" s="1"/>
  <c r="AR432" i="7" s="1"/>
  <c r="AS100" i="8"/>
  <c r="AS386" i="7" s="1"/>
  <c r="AS432" i="7" s="1"/>
  <c r="AQ106" i="8"/>
  <c r="AQ391" i="7" s="1"/>
  <c r="AQ440" i="7" s="1"/>
  <c r="AR106" i="8"/>
  <c r="AR391" i="7" s="1"/>
  <c r="AR440" i="7" s="1"/>
  <c r="AS106" i="8"/>
  <c r="AS391" i="7" s="1"/>
  <c r="AQ11" i="7"/>
  <c r="AR11" i="7"/>
  <c r="AS11" i="7"/>
  <c r="AQ12" i="7"/>
  <c r="AR12" i="7"/>
  <c r="AS12" i="7"/>
  <c r="AQ13" i="7"/>
  <c r="AR13" i="7"/>
  <c r="AS13" i="7"/>
  <c r="AQ14" i="7"/>
  <c r="AR14" i="7"/>
  <c r="AS14" i="7"/>
  <c r="AQ15" i="7"/>
  <c r="AR15" i="7"/>
  <c r="AS15" i="7"/>
  <c r="AQ17" i="7"/>
  <c r="AR17" i="7"/>
  <c r="AS17" i="7"/>
  <c r="AQ64" i="7"/>
  <c r="AR64" i="7"/>
  <c r="AS64" i="7"/>
  <c r="AQ65" i="7"/>
  <c r="AQ79" i="7" s="1"/>
  <c r="AR65" i="7"/>
  <c r="AR79" i="7" s="1"/>
  <c r="AS65" i="7"/>
  <c r="AS79" i="7" s="1"/>
  <c r="AQ66" i="7"/>
  <c r="AQ83" i="7" s="1"/>
  <c r="AR66" i="7"/>
  <c r="AR83" i="7" s="1"/>
  <c r="AS66" i="7"/>
  <c r="AS83" i="7" s="1"/>
  <c r="AQ67" i="7"/>
  <c r="AQ87" i="7" s="1"/>
  <c r="AR67" i="7"/>
  <c r="AR87" i="7" s="1"/>
  <c r="AS67" i="7"/>
  <c r="AS87" i="7" s="1"/>
  <c r="AQ68" i="7"/>
  <c r="AQ91" i="7" s="1"/>
  <c r="AR68" i="7"/>
  <c r="AR91" i="7" s="1"/>
  <c r="AS68" i="7"/>
  <c r="AS91" i="7" s="1"/>
  <c r="AQ69" i="7"/>
  <c r="AQ95" i="7"/>
  <c r="AR69" i="7"/>
  <c r="AR95" i="7" s="1"/>
  <c r="AS69" i="7"/>
  <c r="AS95" i="7" s="1"/>
  <c r="AQ71" i="7"/>
  <c r="AQ73" i="7" s="1"/>
  <c r="AQ107" i="7" s="1"/>
  <c r="AR71" i="7"/>
  <c r="AS71" i="7"/>
  <c r="AQ115" i="7"/>
  <c r="AR115" i="7"/>
  <c r="AS115" i="7"/>
  <c r="AQ116" i="7"/>
  <c r="AR116" i="7"/>
  <c r="AS116" i="7"/>
  <c r="AQ119" i="7"/>
  <c r="AR119" i="7"/>
  <c r="AS119" i="7"/>
  <c r="AQ120" i="7"/>
  <c r="AR120" i="7"/>
  <c r="AS120" i="7"/>
  <c r="AQ121" i="7"/>
  <c r="AR121" i="7"/>
  <c r="AS121" i="7"/>
  <c r="AQ141" i="7"/>
  <c r="AQ170" i="7" s="1"/>
  <c r="AR141" i="7"/>
  <c r="AS141" i="7"/>
  <c r="AS344" i="7"/>
  <c r="AQ142" i="7"/>
  <c r="AQ345" i="7" s="1"/>
  <c r="AR142" i="7"/>
  <c r="AR321" i="7" s="1"/>
  <c r="AR487" i="7"/>
  <c r="AS142" i="7"/>
  <c r="AQ143" i="7"/>
  <c r="AQ322" i="7" s="1"/>
  <c r="AR143" i="7"/>
  <c r="AR322" i="7" s="1"/>
  <c r="AS143" i="7"/>
  <c r="AS172" i="7" s="1"/>
  <c r="AQ144" i="7"/>
  <c r="AR144" i="7"/>
  <c r="AR489" i="7" s="1"/>
  <c r="AS144" i="7"/>
  <c r="AS323" i="7" s="1"/>
  <c r="AQ145" i="7"/>
  <c r="AQ490" i="7" s="1"/>
  <c r="AR145" i="7"/>
  <c r="AS145" i="7"/>
  <c r="AS348" i="7" s="1"/>
  <c r="AQ146" i="7"/>
  <c r="AQ175" i="7" s="1"/>
  <c r="AR146" i="7"/>
  <c r="AR325" i="7" s="1"/>
  <c r="AS146" i="7"/>
  <c r="AQ147" i="7"/>
  <c r="AQ350" i="7" s="1"/>
  <c r="AR147" i="7"/>
  <c r="AR326" i="7" s="1"/>
  <c r="AS147" i="7"/>
  <c r="AS492" i="7" s="1"/>
  <c r="AQ158" i="7"/>
  <c r="AQ160" i="7" s="1"/>
  <c r="AR158" i="7"/>
  <c r="AS158" i="7"/>
  <c r="AQ159" i="7"/>
  <c r="AR159" i="7"/>
  <c r="AS159" i="7"/>
  <c r="AQ306" i="7"/>
  <c r="AR306" i="7"/>
  <c r="AS306" i="7"/>
  <c r="AQ307" i="7"/>
  <c r="AR307" i="7"/>
  <c r="AS307" i="7"/>
  <c r="AQ310" i="7"/>
  <c r="AR310" i="7"/>
  <c r="AS310" i="7"/>
  <c r="AQ311" i="7"/>
  <c r="AR311" i="7"/>
  <c r="AS311" i="7"/>
  <c r="AQ380" i="7"/>
  <c r="AQ398" i="7" s="1"/>
  <c r="AQ876" i="2" s="1"/>
  <c r="AR380" i="7"/>
  <c r="AR398" i="7" s="1"/>
  <c r="AS380" i="7"/>
  <c r="AS398" i="7" s="1"/>
  <c r="AQ381" i="7"/>
  <c r="AQ408" i="7" s="1"/>
  <c r="AQ880" i="2" s="1"/>
  <c r="AR381" i="7"/>
  <c r="AR408" i="7" s="1"/>
  <c r="AR880" i="2" s="1"/>
  <c r="AS381" i="7"/>
  <c r="AS408" i="7" s="1"/>
  <c r="AQ383" i="7"/>
  <c r="AQ394" i="7" s="1"/>
  <c r="AR383" i="7"/>
  <c r="AR394" i="7" s="1"/>
  <c r="AR872" i="2" s="1"/>
  <c r="AS383" i="7"/>
  <c r="AS394" i="7" s="1"/>
  <c r="AQ384" i="7"/>
  <c r="AR384" i="7"/>
  <c r="AS384" i="7"/>
  <c r="AS409" i="7" s="1"/>
  <c r="AS881" i="2" s="1"/>
  <c r="AQ385" i="7"/>
  <c r="AQ403" i="7" s="1"/>
  <c r="AQ892" i="2" s="1"/>
  <c r="AR385" i="7"/>
  <c r="AR403" i="7" s="1"/>
  <c r="AS385" i="7"/>
  <c r="AS403" i="7" s="1"/>
  <c r="AS892" i="2" s="1"/>
  <c r="AQ388" i="7"/>
  <c r="AQ395" i="7" s="1"/>
  <c r="AQ873" i="2" s="1"/>
  <c r="AR388" i="7"/>
  <c r="AR395" i="7" s="1"/>
  <c r="AS388" i="7"/>
  <c r="AS395" i="7" s="1"/>
  <c r="AQ389" i="7"/>
  <c r="AQ410" i="7" s="1"/>
  <c r="AR389" i="7"/>
  <c r="AR410" i="7" s="1"/>
  <c r="AR882" i="2" s="1"/>
  <c r="AS389" i="7"/>
  <c r="AS410" i="7" s="1"/>
  <c r="AS882" i="2" s="1"/>
  <c r="AQ390" i="7"/>
  <c r="AR390" i="7"/>
  <c r="AR330" i="7" s="1"/>
  <c r="AS390" i="7"/>
  <c r="AS404" i="7" s="1"/>
  <c r="AS893" i="2" s="1"/>
  <c r="AQ90" i="4"/>
  <c r="AQ147" i="4" s="1"/>
  <c r="AR90" i="4"/>
  <c r="AR147" i="4" s="1"/>
  <c r="AS90" i="4"/>
  <c r="AS147" i="4" s="1"/>
  <c r="AQ146" i="4"/>
  <c r="AR146" i="4"/>
  <c r="AS146" i="4"/>
  <c r="AQ152" i="4"/>
  <c r="AR152" i="4"/>
  <c r="AS152" i="4"/>
  <c r="AQ157" i="4"/>
  <c r="AR157" i="4"/>
  <c r="AS157" i="4"/>
  <c r="AQ158" i="4"/>
  <c r="AR158" i="4"/>
  <c r="AS158" i="4"/>
  <c r="AQ192" i="4"/>
  <c r="AR192" i="4"/>
  <c r="AS192" i="4"/>
  <c r="AQ221" i="4"/>
  <c r="AR221" i="4"/>
  <c r="AS221" i="4"/>
  <c r="AQ291" i="4"/>
  <c r="AR291" i="4"/>
  <c r="AS291" i="4"/>
  <c r="AQ296" i="4"/>
  <c r="AR296" i="4"/>
  <c r="AS296" i="4"/>
  <c r="AQ297" i="4"/>
  <c r="AR297" i="4"/>
  <c r="AS297" i="4"/>
  <c r="F252" i="4"/>
  <c r="G252" i="4"/>
  <c r="H252" i="4"/>
  <c r="J252" i="4"/>
  <c r="F246" i="4"/>
  <c r="G246" i="4"/>
  <c r="H246" i="4"/>
  <c r="J246" i="4"/>
  <c r="AO380" i="7"/>
  <c r="AO398" i="7" s="1"/>
  <c r="AP380" i="7"/>
  <c r="AP398" i="7" s="1"/>
  <c r="AO381" i="7"/>
  <c r="AO408" i="7" s="1"/>
  <c r="AP381" i="7"/>
  <c r="AP408" i="7" s="1"/>
  <c r="AO383" i="7"/>
  <c r="AO394" i="7" s="1"/>
  <c r="AO872" i="2" s="1"/>
  <c r="AP383" i="7"/>
  <c r="AP394" i="7" s="1"/>
  <c r="AO384" i="7"/>
  <c r="AP384" i="7"/>
  <c r="AO385" i="7"/>
  <c r="AO403" i="7" s="1"/>
  <c r="AP385" i="7"/>
  <c r="AP403" i="7" s="1"/>
  <c r="AO388" i="7"/>
  <c r="AO395" i="7" s="1"/>
  <c r="AP388" i="7"/>
  <c r="AP395" i="7" s="1"/>
  <c r="AO389" i="7"/>
  <c r="AO410" i="7" s="1"/>
  <c r="AO882" i="2" s="1"/>
  <c r="AP389" i="7"/>
  <c r="AP410" i="7" s="1"/>
  <c r="AO390" i="7"/>
  <c r="AO404" i="7" s="1"/>
  <c r="AP390" i="7"/>
  <c r="AP404" i="7" s="1"/>
  <c r="AP893" i="2" s="1"/>
  <c r="AO306" i="7"/>
  <c r="AP306" i="7"/>
  <c r="AO307" i="7"/>
  <c r="AP307" i="7"/>
  <c r="AO310" i="7"/>
  <c r="AP310" i="7"/>
  <c r="AO311" i="7"/>
  <c r="AP311" i="7"/>
  <c r="AP312" i="7" s="1"/>
  <c r="AO158" i="7"/>
  <c r="AP158" i="7"/>
  <c r="AO159" i="7"/>
  <c r="AP159" i="7"/>
  <c r="AP160" i="7" s="1"/>
  <c r="AO115" i="7"/>
  <c r="AP115" i="7"/>
  <c r="AO116" i="7"/>
  <c r="AP116" i="7"/>
  <c r="AO119" i="7"/>
  <c r="AP119" i="7"/>
  <c r="AO120" i="7"/>
  <c r="AP120" i="7"/>
  <c r="AO121" i="7"/>
  <c r="AP121" i="7"/>
  <c r="AO141" i="7"/>
  <c r="AO320" i="7" s="1"/>
  <c r="AP141" i="7"/>
  <c r="AP486" i="7" s="1"/>
  <c r="AO142" i="7"/>
  <c r="AP142" i="7"/>
  <c r="AO143" i="7"/>
  <c r="AP143" i="7"/>
  <c r="AO144" i="7"/>
  <c r="AO347" i="7" s="1"/>
  <c r="AP144" i="7"/>
  <c r="AO145" i="7"/>
  <c r="AO490" i="7" s="1"/>
  <c r="AP145" i="7"/>
  <c r="AP348" i="7" s="1"/>
  <c r="AO146" i="7"/>
  <c r="AP146" i="7"/>
  <c r="AO147" i="7"/>
  <c r="AP147" i="7"/>
  <c r="AO64" i="7"/>
  <c r="AP64" i="7"/>
  <c r="AO65" i="7"/>
  <c r="AO79" i="7" s="1"/>
  <c r="AP65" i="7"/>
  <c r="AP79" i="7" s="1"/>
  <c r="AO66" i="7"/>
  <c r="AP66" i="7"/>
  <c r="AO67" i="7"/>
  <c r="AP67" i="7"/>
  <c r="AO68" i="7"/>
  <c r="AO91" i="7" s="1"/>
  <c r="AP68" i="7"/>
  <c r="AO69" i="7"/>
  <c r="AO95" i="7" s="1"/>
  <c r="AP69" i="7"/>
  <c r="AP95" i="7" s="1"/>
  <c r="AO71" i="7"/>
  <c r="AP71" i="7"/>
  <c r="AO11" i="7"/>
  <c r="AP11" i="7"/>
  <c r="AO12" i="7"/>
  <c r="AP12" i="7"/>
  <c r="AO13" i="7"/>
  <c r="AP13" i="7"/>
  <c r="AO14" i="7"/>
  <c r="AP14" i="7"/>
  <c r="AO15" i="7"/>
  <c r="AP15" i="7"/>
  <c r="AO17" i="7"/>
  <c r="AP17" i="7"/>
  <c r="P64" i="7"/>
  <c r="Q64" i="7"/>
  <c r="R64" i="7"/>
  <c r="P65" i="7"/>
  <c r="P79" i="7" s="1"/>
  <c r="Q65" i="7"/>
  <c r="Q79" i="7" s="1"/>
  <c r="R65" i="7"/>
  <c r="R79" i="7" s="1"/>
  <c r="P66" i="7"/>
  <c r="P83" i="7" s="1"/>
  <c r="Q66" i="7"/>
  <c r="Q83" i="7"/>
  <c r="R66" i="7"/>
  <c r="R83" i="7" s="1"/>
  <c r="P67" i="7"/>
  <c r="P87" i="7" s="1"/>
  <c r="Q67" i="7"/>
  <c r="Q87" i="7" s="1"/>
  <c r="R67" i="7"/>
  <c r="R87" i="7" s="1"/>
  <c r="P68" i="7"/>
  <c r="P91" i="7" s="1"/>
  <c r="Q68" i="7"/>
  <c r="Q91" i="7" s="1"/>
  <c r="R68" i="7"/>
  <c r="R91" i="7" s="1"/>
  <c r="P69" i="7"/>
  <c r="P95" i="7" s="1"/>
  <c r="Q69" i="7"/>
  <c r="Q95" i="7" s="1"/>
  <c r="R69" i="7"/>
  <c r="R95" i="7" s="1"/>
  <c r="P71" i="7"/>
  <c r="Q71" i="7"/>
  <c r="R71" i="7"/>
  <c r="P115" i="7"/>
  <c r="Q115" i="7"/>
  <c r="R115" i="7"/>
  <c r="P116" i="7"/>
  <c r="Q116" i="7"/>
  <c r="R116" i="7"/>
  <c r="P119" i="7"/>
  <c r="Q119" i="7"/>
  <c r="R119" i="7"/>
  <c r="P120" i="7"/>
  <c r="Q120" i="7"/>
  <c r="R120" i="7"/>
  <c r="P121" i="7"/>
  <c r="Q121" i="7"/>
  <c r="R121" i="7"/>
  <c r="P141" i="7"/>
  <c r="P170" i="7" s="1"/>
  <c r="Q141" i="7"/>
  <c r="Q486" i="7" s="1"/>
  <c r="R141" i="7"/>
  <c r="R170" i="7" s="1"/>
  <c r="P142" i="7"/>
  <c r="P171" i="7" s="1"/>
  <c r="Q142" i="7"/>
  <c r="Q487" i="7" s="1"/>
  <c r="R142" i="7"/>
  <c r="R321" i="7" s="1"/>
  <c r="P143" i="7"/>
  <c r="P488" i="7" s="1"/>
  <c r="Q143" i="7"/>
  <c r="Q346" i="7" s="1"/>
  <c r="R143" i="7"/>
  <c r="R346" i="7" s="1"/>
  <c r="P144" i="7"/>
  <c r="P323" i="7" s="1"/>
  <c r="Q144" i="7"/>
  <c r="Q173" i="7" s="1"/>
  <c r="R144" i="7"/>
  <c r="R173" i="7" s="1"/>
  <c r="P145" i="7"/>
  <c r="P490" i="7" s="1"/>
  <c r="Q145" i="7"/>
  <c r="Q490" i="7" s="1"/>
  <c r="R145" i="7"/>
  <c r="R490" i="7" s="1"/>
  <c r="P146" i="7"/>
  <c r="Q146" i="7"/>
  <c r="Q491" i="7" s="1"/>
  <c r="R146" i="7"/>
  <c r="R491" i="7" s="1"/>
  <c r="P147" i="7"/>
  <c r="P176" i="7" s="1"/>
  <c r="Q147" i="7"/>
  <c r="Q326" i="7" s="1"/>
  <c r="R147" i="7"/>
  <c r="R492" i="7" s="1"/>
  <c r="P158" i="7"/>
  <c r="P160" i="7" s="1"/>
  <c r="P286" i="7" s="1"/>
  <c r="Q158" i="7"/>
  <c r="R158" i="7"/>
  <c r="P159" i="7"/>
  <c r="Q159" i="7"/>
  <c r="Q160" i="7" s="1"/>
  <c r="R159" i="7"/>
  <c r="R160" i="7" s="1"/>
  <c r="P306" i="7"/>
  <c r="Q306" i="7"/>
  <c r="R306" i="7"/>
  <c r="P307" i="7"/>
  <c r="Q307" i="7"/>
  <c r="R307" i="7"/>
  <c r="P310" i="7"/>
  <c r="Q310" i="7"/>
  <c r="R310" i="7"/>
  <c r="R312" i="7" s="1"/>
  <c r="R329" i="7" s="1"/>
  <c r="P311" i="7"/>
  <c r="Q311" i="7"/>
  <c r="R311" i="7"/>
  <c r="P380" i="7"/>
  <c r="P398" i="7" s="1"/>
  <c r="P876" i="2" s="1"/>
  <c r="Q380" i="7"/>
  <c r="Q398" i="7" s="1"/>
  <c r="R380" i="7"/>
  <c r="R398" i="7" s="1"/>
  <c r="R876" i="2" s="1"/>
  <c r="P381" i="7"/>
  <c r="P408" i="7" s="1"/>
  <c r="Q381" i="7"/>
  <c r="Q408" i="7" s="1"/>
  <c r="Q880" i="2" s="1"/>
  <c r="R381" i="7"/>
  <c r="R408" i="7" s="1"/>
  <c r="R880" i="2" s="1"/>
  <c r="P383" i="7"/>
  <c r="P394" i="7" s="1"/>
  <c r="P872" i="2" s="1"/>
  <c r="Q383" i="7"/>
  <c r="Q394" i="7" s="1"/>
  <c r="Q872" i="2" s="1"/>
  <c r="R383" i="7"/>
  <c r="R394" i="7" s="1"/>
  <c r="P384" i="7"/>
  <c r="Q384" i="7"/>
  <c r="R384" i="7"/>
  <c r="P385" i="7"/>
  <c r="P403" i="7" s="1"/>
  <c r="P892" i="2" s="1"/>
  <c r="Q385" i="7"/>
  <c r="Q403" i="7" s="1"/>
  <c r="R385" i="7"/>
  <c r="R403" i="7" s="1"/>
  <c r="P386" i="7"/>
  <c r="P432" i="7" s="1"/>
  <c r="Q386" i="7"/>
  <c r="Q432" i="7" s="1"/>
  <c r="R386" i="7"/>
  <c r="P388" i="7"/>
  <c r="P395" i="7" s="1"/>
  <c r="P873" i="2" s="1"/>
  <c r="Q388" i="7"/>
  <c r="Q395" i="7" s="1"/>
  <c r="Q873" i="2" s="1"/>
  <c r="R388" i="7"/>
  <c r="R395" i="7" s="1"/>
  <c r="R873" i="2" s="1"/>
  <c r="P389" i="7"/>
  <c r="P410" i="7" s="1"/>
  <c r="P882" i="2" s="1"/>
  <c r="Q389" i="7"/>
  <c r="Q410" i="7" s="1"/>
  <c r="Q882" i="2" s="1"/>
  <c r="R389" i="7"/>
  <c r="R410" i="7" s="1"/>
  <c r="R882" i="2" s="1"/>
  <c r="P390" i="7"/>
  <c r="P404" i="7" s="1"/>
  <c r="Q390" i="7"/>
  <c r="Q404" i="7" s="1"/>
  <c r="Q893" i="2" s="1"/>
  <c r="R390" i="7"/>
  <c r="P391" i="7"/>
  <c r="P440" i="7" s="1"/>
  <c r="Q391" i="7"/>
  <c r="Q440" i="7" s="1"/>
  <c r="R391" i="7"/>
  <c r="P11" i="7"/>
  <c r="Q11" i="7"/>
  <c r="R11" i="7"/>
  <c r="P12" i="7"/>
  <c r="Q12" i="7"/>
  <c r="R12" i="7"/>
  <c r="P13" i="7"/>
  <c r="Q13" i="7"/>
  <c r="R13" i="7"/>
  <c r="P14" i="7"/>
  <c r="Q14" i="7"/>
  <c r="R14" i="7"/>
  <c r="P15" i="7"/>
  <c r="Q15" i="7"/>
  <c r="R15" i="7"/>
  <c r="P17" i="7"/>
  <c r="Q17" i="7"/>
  <c r="R17" i="7"/>
  <c r="S296" i="4"/>
  <c r="S297" i="4"/>
  <c r="AI192" i="4"/>
  <c r="AJ192" i="4"/>
  <c r="AK192" i="4"/>
  <c r="P90" i="4"/>
  <c r="Q90" i="4"/>
  <c r="R90" i="4"/>
  <c r="R488" i="7"/>
  <c r="Q325" i="7"/>
  <c r="AQ346" i="7"/>
  <c r="AR323" i="7"/>
  <c r="AQ312" i="7"/>
  <c r="AQ329" i="7" s="1"/>
  <c r="P326" i="7"/>
  <c r="AQ488" i="7"/>
  <c r="AQ172" i="7"/>
  <c r="AS489" i="7"/>
  <c r="AR175" i="7"/>
  <c r="AQ486" i="7"/>
  <c r="AR491" i="7"/>
  <c r="AR349" i="7"/>
  <c r="AQ344" i="7"/>
  <c r="AQ320" i="7"/>
  <c r="Q345" i="7"/>
  <c r="AQ349" i="7"/>
  <c r="R344" i="7"/>
  <c r="Q174" i="7"/>
  <c r="R486" i="7"/>
  <c r="AQ492" i="7"/>
  <c r="AQ176" i="7"/>
  <c r="AR347" i="7"/>
  <c r="AR173" i="7"/>
  <c r="AS170" i="7"/>
  <c r="AS320" i="7"/>
  <c r="AS486" i="7"/>
  <c r="Q323" i="7"/>
  <c r="P312" i="7"/>
  <c r="P329" i="7" s="1"/>
  <c r="AS325" i="7"/>
  <c r="P492" i="7"/>
  <c r="R320" i="7"/>
  <c r="AS326" i="7"/>
  <c r="AQ487" i="7"/>
  <c r="AQ404" i="7"/>
  <c r="AQ893" i="2" s="1"/>
  <c r="AS176" i="7"/>
  <c r="AR171" i="7"/>
  <c r="AS350" i="7"/>
  <c r="AQ325" i="7"/>
  <c r="AR176" i="7"/>
  <c r="AS173" i="7"/>
  <c r="AQ491" i="7"/>
  <c r="AS347" i="7"/>
  <c r="P344" i="7"/>
  <c r="R172" i="7"/>
  <c r="R322" i="7"/>
  <c r="P486" i="7"/>
  <c r="R350" i="7"/>
  <c r="P346" i="7"/>
  <c r="R348" i="7"/>
  <c r="P175" i="7"/>
  <c r="P491" i="7"/>
  <c r="R440" i="7"/>
  <c r="Q322" i="7"/>
  <c r="P349" i="7"/>
  <c r="P325" i="7"/>
  <c r="Q488" i="7"/>
  <c r="Q172" i="7"/>
  <c r="R174" i="7"/>
  <c r="P172" i="7"/>
  <c r="R324" i="7"/>
  <c r="P322" i="7"/>
  <c r="R176" i="7"/>
  <c r="P174" i="7"/>
  <c r="P324" i="7"/>
  <c r="Q321" i="7"/>
  <c r="P550" i="2"/>
  <c r="F312" i="4"/>
  <c r="G312" i="4"/>
  <c r="H312" i="4"/>
  <c r="J312" i="4"/>
  <c r="E312" i="4"/>
  <c r="AN95" i="14"/>
  <c r="AN97" i="14" s="1"/>
  <c r="AM95" i="14"/>
  <c r="AM97" i="14" s="1"/>
  <c r="AL95" i="14"/>
  <c r="AL97" i="14" s="1"/>
  <c r="AK95" i="14"/>
  <c r="AK97" i="14" s="1"/>
  <c r="AJ95" i="14"/>
  <c r="AJ97" i="14" s="1"/>
  <c r="AI95" i="14"/>
  <c r="AI97" i="14" s="1"/>
  <c r="AH95" i="14"/>
  <c r="AH97" i="14" s="1"/>
  <c r="AG95" i="14"/>
  <c r="AG97" i="14" s="1"/>
  <c r="AF95" i="14"/>
  <c r="AF97" i="14" s="1"/>
  <c r="AE95" i="14"/>
  <c r="AE97" i="14" s="1"/>
  <c r="AD95" i="14"/>
  <c r="AD97" i="14" s="1"/>
  <c r="AC95" i="14"/>
  <c r="AC97" i="14" s="1"/>
  <c r="AB95" i="14"/>
  <c r="AB97" i="14" s="1"/>
  <c r="AA95" i="14"/>
  <c r="Z95" i="14"/>
  <c r="Z97" i="14" s="1"/>
  <c r="Y95" i="14"/>
  <c r="X95" i="14"/>
  <c r="W95" i="14"/>
  <c r="V95" i="14"/>
  <c r="U95" i="14"/>
  <c r="T95" i="14"/>
  <c r="S95" i="14"/>
  <c r="S97" i="14" s="1"/>
  <c r="R95" i="14"/>
  <c r="Q95" i="14"/>
  <c r="Q97" i="14" s="1"/>
  <c r="P95" i="14"/>
  <c r="P97" i="14" s="1"/>
  <c r="J95" i="14"/>
  <c r="H95" i="14"/>
  <c r="G95" i="14"/>
  <c r="F95" i="14"/>
  <c r="E95" i="14"/>
  <c r="E86" i="14"/>
  <c r="E85" i="14"/>
  <c r="E84" i="14"/>
  <c r="F311" i="4"/>
  <c r="G311" i="4"/>
  <c r="H311" i="4"/>
  <c r="J311" i="4"/>
  <c r="E311" i="4"/>
  <c r="F818" i="2"/>
  <c r="G818" i="2"/>
  <c r="H818" i="2"/>
  <c r="J818" i="2"/>
  <c r="E818" i="2"/>
  <c r="G816" i="2"/>
  <c r="H816" i="2"/>
  <c r="J816" i="2"/>
  <c r="G817" i="2"/>
  <c r="H817" i="2"/>
  <c r="J817" i="2"/>
  <c r="E816" i="2"/>
  <c r="E817" i="2"/>
  <c r="E38" i="14"/>
  <c r="J999" i="2"/>
  <c r="J39" i="16" s="1"/>
  <c r="H999" i="2"/>
  <c r="H39" i="16" s="1"/>
  <c r="G999" i="2"/>
  <c r="G39" i="16" s="1"/>
  <c r="F999" i="2"/>
  <c r="F39" i="16" s="1"/>
  <c r="E999" i="2"/>
  <c r="E39" i="16" s="1"/>
  <c r="J804" i="2"/>
  <c r="H804" i="2"/>
  <c r="G804" i="2"/>
  <c r="F804" i="2"/>
  <c r="E804" i="2"/>
  <c r="J773" i="2"/>
  <c r="H773" i="2"/>
  <c r="G773" i="2"/>
  <c r="F773" i="2"/>
  <c r="E773" i="2"/>
  <c r="F494" i="2"/>
  <c r="G494" i="2"/>
  <c r="H494" i="2"/>
  <c r="J494" i="2"/>
  <c r="E494" i="2"/>
  <c r="F113" i="14"/>
  <c r="G113" i="14"/>
  <c r="H113" i="14"/>
  <c r="J113" i="14"/>
  <c r="P113" i="14"/>
  <c r="Q113" i="14"/>
  <c r="R113" i="14"/>
  <c r="S113" i="14"/>
  <c r="T113" i="14"/>
  <c r="U113" i="14"/>
  <c r="V113" i="14"/>
  <c r="W113" i="14"/>
  <c r="X113" i="14"/>
  <c r="Y113" i="14"/>
  <c r="Z113" i="14"/>
  <c r="AA113" i="14"/>
  <c r="AB113" i="14"/>
  <c r="AC113" i="14"/>
  <c r="AD113" i="14"/>
  <c r="AE113" i="14"/>
  <c r="AF113" i="14"/>
  <c r="AG113" i="14"/>
  <c r="AH113" i="14"/>
  <c r="AI113" i="14"/>
  <c r="AJ113" i="14"/>
  <c r="AK113" i="14"/>
  <c r="AL113" i="14"/>
  <c r="AM113" i="14"/>
  <c r="AN113" i="14"/>
  <c r="AO113" i="14"/>
  <c r="AP113" i="14"/>
  <c r="E113" i="14"/>
  <c r="F83" i="14"/>
  <c r="G83" i="14"/>
  <c r="H83" i="14"/>
  <c r="J83" i="14"/>
  <c r="P83" i="14"/>
  <c r="Q83" i="14"/>
  <c r="Q87" i="14" s="1"/>
  <c r="R83" i="14"/>
  <c r="R87" i="14" s="1"/>
  <c r="S83" i="14"/>
  <c r="S87" i="14" s="1"/>
  <c r="T83" i="14"/>
  <c r="T87" i="14" s="1"/>
  <c r="U83" i="14"/>
  <c r="U87" i="14" s="1"/>
  <c r="V83" i="14"/>
  <c r="V87" i="14" s="1"/>
  <c r="W83" i="14"/>
  <c r="W87" i="14" s="1"/>
  <c r="X83" i="14"/>
  <c r="X87" i="14" s="1"/>
  <c r="Y83" i="14"/>
  <c r="Y87" i="14" s="1"/>
  <c r="Z83" i="14"/>
  <c r="Z87" i="14" s="1"/>
  <c r="AA83" i="14"/>
  <c r="AA87" i="14" s="1"/>
  <c r="AB83" i="14"/>
  <c r="AB87" i="14" s="1"/>
  <c r="AC83" i="14"/>
  <c r="AC87" i="14" s="1"/>
  <c r="AD83" i="14"/>
  <c r="AD87" i="14" s="1"/>
  <c r="AE83" i="14"/>
  <c r="AE87" i="14" s="1"/>
  <c r="AF83" i="14"/>
  <c r="AF87" i="14" s="1"/>
  <c r="AG83" i="14"/>
  <c r="AG87" i="14" s="1"/>
  <c r="AH83" i="14"/>
  <c r="AH87" i="14" s="1"/>
  <c r="AI83" i="14"/>
  <c r="AI87" i="14" s="1"/>
  <c r="AJ83" i="14"/>
  <c r="AJ87" i="14" s="1"/>
  <c r="AK83" i="14"/>
  <c r="AK87" i="14" s="1"/>
  <c r="AL83" i="14"/>
  <c r="AL87" i="14" s="1"/>
  <c r="AM83" i="14"/>
  <c r="AM87" i="14" s="1"/>
  <c r="AN83" i="14"/>
  <c r="AN87" i="14" s="1"/>
  <c r="E83" i="14"/>
  <c r="P72" i="14"/>
  <c r="E71" i="14"/>
  <c r="P67" i="14"/>
  <c r="F67" i="14"/>
  <c r="G67" i="14"/>
  <c r="H67" i="14"/>
  <c r="J67" i="14"/>
  <c r="Q67" i="14"/>
  <c r="R67" i="14"/>
  <c r="S67" i="14"/>
  <c r="T67" i="14"/>
  <c r="U67" i="14"/>
  <c r="V67" i="14"/>
  <c r="W67" i="14"/>
  <c r="X67" i="14"/>
  <c r="Y67" i="14"/>
  <c r="Z67" i="14"/>
  <c r="AA67" i="14"/>
  <c r="AB67" i="14"/>
  <c r="AC67" i="14"/>
  <c r="AD67" i="14"/>
  <c r="AE67" i="14"/>
  <c r="AF67" i="14"/>
  <c r="AG67" i="14"/>
  <c r="AH67" i="14"/>
  <c r="AI67" i="14"/>
  <c r="AJ67" i="14"/>
  <c r="AK67" i="14"/>
  <c r="AL67" i="14"/>
  <c r="AM67" i="14"/>
  <c r="AN67" i="14"/>
  <c r="AO67" i="14"/>
  <c r="AP67" i="14"/>
  <c r="F68" i="14"/>
  <c r="G68" i="14"/>
  <c r="H68" i="14"/>
  <c r="J68" i="14"/>
  <c r="P68" i="14"/>
  <c r="Q68" i="14"/>
  <c r="R68" i="14"/>
  <c r="S68" i="14"/>
  <c r="T68" i="14"/>
  <c r="U68" i="14"/>
  <c r="V68" i="14"/>
  <c r="W68" i="14"/>
  <c r="X68" i="14"/>
  <c r="Y68" i="14"/>
  <c r="Z68" i="14"/>
  <c r="AA68" i="14"/>
  <c r="AB68" i="14"/>
  <c r="AC68" i="14"/>
  <c r="AD68" i="14"/>
  <c r="AE68" i="14"/>
  <c r="AF68" i="14"/>
  <c r="AG68" i="14"/>
  <c r="AH68" i="14"/>
  <c r="AI68" i="14"/>
  <c r="AJ68" i="14"/>
  <c r="AK68" i="14"/>
  <c r="AL68" i="14"/>
  <c r="AM68" i="14"/>
  <c r="AN68" i="14"/>
  <c r="AO68" i="14"/>
  <c r="AP68" i="14"/>
  <c r="F69" i="14"/>
  <c r="G69" i="14"/>
  <c r="H69" i="14"/>
  <c r="J69" i="14"/>
  <c r="P69" i="14"/>
  <c r="Q69" i="14"/>
  <c r="R69" i="14"/>
  <c r="S69" i="14"/>
  <c r="T69" i="14"/>
  <c r="U69" i="14"/>
  <c r="V69" i="14"/>
  <c r="W69" i="14"/>
  <c r="X69" i="14"/>
  <c r="Y69" i="14"/>
  <c r="Z69" i="14"/>
  <c r="AA69" i="14"/>
  <c r="AB69" i="14"/>
  <c r="AC69" i="14"/>
  <c r="AD69" i="14"/>
  <c r="AE69" i="14"/>
  <c r="AF69" i="14"/>
  <c r="AG69" i="14"/>
  <c r="AH69" i="14"/>
  <c r="AI69" i="14"/>
  <c r="AJ69" i="14"/>
  <c r="AK69" i="14"/>
  <c r="AL69" i="14"/>
  <c r="AM69" i="14"/>
  <c r="AN69" i="14"/>
  <c r="AO69" i="14"/>
  <c r="AP69" i="14"/>
  <c r="E69" i="14"/>
  <c r="E68" i="14"/>
  <c r="E67" i="14"/>
  <c r="P39" i="14"/>
  <c r="Q39" i="14"/>
  <c r="R39" i="14"/>
  <c r="S39" i="14"/>
  <c r="T39" i="14"/>
  <c r="U39" i="14"/>
  <c r="AB39" i="14"/>
  <c r="AC39" i="14"/>
  <c r="AD39" i="14"/>
  <c r="AE39" i="14"/>
  <c r="AF39" i="14"/>
  <c r="AG39" i="14"/>
  <c r="AH39" i="14"/>
  <c r="AI39" i="14"/>
  <c r="AJ39" i="14"/>
  <c r="AK39" i="14"/>
  <c r="AL39" i="14"/>
  <c r="AM39" i="14"/>
  <c r="AN39" i="14"/>
  <c r="AO39" i="14"/>
  <c r="AP39" i="14"/>
  <c r="I78" i="14"/>
  <c r="I100" i="14"/>
  <c r="I107" i="14"/>
  <c r="I68" i="14"/>
  <c r="X212" i="2"/>
  <c r="E153" i="17"/>
  <c r="E151" i="17"/>
  <c r="E137" i="17"/>
  <c r="E139" i="17"/>
  <c r="E138" i="17"/>
  <c r="E133" i="17"/>
  <c r="E98" i="17"/>
  <c r="E96" i="17"/>
  <c r="E101" i="17" s="1"/>
  <c r="E95" i="17"/>
  <c r="E100" i="17" s="1"/>
  <c r="E93" i="17"/>
  <c r="E92" i="17"/>
  <c r="E91" i="17"/>
  <c r="E87" i="17"/>
  <c r="E53" i="17"/>
  <c r="E48" i="17"/>
  <c r="E14" i="17"/>
  <c r="E13" i="17"/>
  <c r="E12" i="17"/>
  <c r="G76" i="15"/>
  <c r="G77" i="15"/>
  <c r="G88" i="16"/>
  <c r="G87" i="16"/>
  <c r="G86" i="16"/>
  <c r="G85" i="16"/>
  <c r="G84" i="16"/>
  <c r="E70" i="16"/>
  <c r="E71" i="16" s="1"/>
  <c r="E88" i="16" s="1"/>
  <c r="E69" i="16"/>
  <c r="E68" i="16"/>
  <c r="E64" i="16"/>
  <c r="E65" i="16" s="1"/>
  <c r="E87" i="16" s="1"/>
  <c r="E59" i="16"/>
  <c r="E60" i="16" s="1"/>
  <c r="E86" i="16" s="1"/>
  <c r="E58" i="16"/>
  <c r="E55" i="16"/>
  <c r="E34" i="16"/>
  <c r="E36" i="16" s="1"/>
  <c r="E84" i="16" s="1"/>
  <c r="E33" i="16"/>
  <c r="E30" i="16"/>
  <c r="G653" i="2"/>
  <c r="H653" i="2"/>
  <c r="J653" i="2"/>
  <c r="E653" i="2"/>
  <c r="G654" i="2"/>
  <c r="H654" i="2"/>
  <c r="J654" i="2"/>
  <c r="E654" i="2"/>
  <c r="E29" i="16"/>
  <c r="E28" i="16"/>
  <c r="E19" i="16"/>
  <c r="E18" i="16"/>
  <c r="E17" i="16"/>
  <c r="E10" i="16"/>
  <c r="E9" i="16"/>
  <c r="F937" i="2"/>
  <c r="G937" i="2"/>
  <c r="H937" i="2"/>
  <c r="J937" i="2"/>
  <c r="E937" i="2"/>
  <c r="F931" i="2"/>
  <c r="G931" i="2"/>
  <c r="H931" i="2"/>
  <c r="J931" i="2"/>
  <c r="E931" i="2"/>
  <c r="F122" i="2"/>
  <c r="G122" i="2"/>
  <c r="H122" i="2"/>
  <c r="J122" i="2"/>
  <c r="E122" i="2"/>
  <c r="F121" i="2"/>
  <c r="G121" i="2"/>
  <c r="H121" i="2"/>
  <c r="J121" i="2"/>
  <c r="E121" i="2"/>
  <c r="G120" i="2"/>
  <c r="F120" i="2"/>
  <c r="E120" i="2"/>
  <c r="F75" i="2"/>
  <c r="G75" i="2"/>
  <c r="H75" i="2"/>
  <c r="J75" i="2"/>
  <c r="E75" i="2"/>
  <c r="F74" i="2"/>
  <c r="G74" i="2"/>
  <c r="H74" i="2"/>
  <c r="J74" i="2"/>
  <c r="G73" i="2"/>
  <c r="F73" i="2"/>
  <c r="E73" i="2"/>
  <c r="J379" i="2"/>
  <c r="F256" i="2"/>
  <c r="G256" i="2"/>
  <c r="H256" i="2"/>
  <c r="J256" i="2"/>
  <c r="E256" i="2"/>
  <c r="J297" i="2"/>
  <c r="H297" i="2"/>
  <c r="G297" i="2"/>
  <c r="F297" i="2"/>
  <c r="G303" i="2"/>
  <c r="H303" i="2"/>
  <c r="J303" i="2"/>
  <c r="G302" i="2"/>
  <c r="H302" i="2"/>
  <c r="J302" i="2"/>
  <c r="F295" i="2"/>
  <c r="F304" i="2" s="1"/>
  <c r="E295" i="2"/>
  <c r="J280" i="2"/>
  <c r="H280" i="2"/>
  <c r="G280" i="2"/>
  <c r="F280" i="2"/>
  <c r="F275" i="2"/>
  <c r="E275" i="2" s="1"/>
  <c r="E303" i="2" s="1"/>
  <c r="J274" i="2"/>
  <c r="H274" i="2"/>
  <c r="G274" i="2"/>
  <c r="F274" i="2"/>
  <c r="F268" i="2"/>
  <c r="F302" i="2" s="1"/>
  <c r="J267" i="2"/>
  <c r="H267" i="2"/>
  <c r="G267" i="2"/>
  <c r="F267" i="2"/>
  <c r="F263" i="2"/>
  <c r="G263" i="2"/>
  <c r="H263" i="2"/>
  <c r="J263" i="2"/>
  <c r="S263" i="2"/>
  <c r="E263" i="2"/>
  <c r="F255" i="2"/>
  <c r="G255" i="2"/>
  <c r="J255" i="2"/>
  <c r="S255" i="2"/>
  <c r="T255" i="2"/>
  <c r="U255" i="2"/>
  <c r="V255" i="2"/>
  <c r="W255" i="2"/>
  <c r="Z255" i="2"/>
  <c r="AA255" i="2"/>
  <c r="AB255" i="2"/>
  <c r="AC255" i="2"/>
  <c r="AD255" i="2"/>
  <c r="AE255" i="2"/>
  <c r="AF255" i="2"/>
  <c r="AG255" i="2"/>
  <c r="AH255" i="2"/>
  <c r="AI255" i="2"/>
  <c r="AJ255" i="2"/>
  <c r="AK255" i="2"/>
  <c r="AL255" i="2"/>
  <c r="AM255" i="2"/>
  <c r="AN255" i="2"/>
  <c r="AO255" i="2"/>
  <c r="AP255" i="2"/>
  <c r="AQ255" i="2"/>
  <c r="E255" i="2"/>
  <c r="F258" i="4"/>
  <c r="F257" i="4"/>
  <c r="F256" i="4"/>
  <c r="F255" i="4"/>
  <c r="F254" i="4"/>
  <c r="E252" i="4"/>
  <c r="J247" i="4"/>
  <c r="H247" i="4"/>
  <c r="F247" i="4"/>
  <c r="E246" i="4"/>
  <c r="G243" i="4"/>
  <c r="F243" i="4"/>
  <c r="E243" i="4"/>
  <c r="G242" i="4"/>
  <c r="F242" i="4"/>
  <c r="E242" i="4"/>
  <c r="AH234" i="4"/>
  <c r="AG234" i="4"/>
  <c r="AF234" i="4"/>
  <c r="AE234" i="4"/>
  <c r="AD234" i="4"/>
  <c r="E237" i="4"/>
  <c r="E236" i="4"/>
  <c r="E258" i="4" s="1"/>
  <c r="E235" i="4"/>
  <c r="E257" i="4" s="1"/>
  <c r="E234" i="4"/>
  <c r="E256" i="4" s="1"/>
  <c r="E233" i="4"/>
  <c r="E255" i="4" s="1"/>
  <c r="E232" i="4"/>
  <c r="E254" i="4" s="1"/>
  <c r="G228" i="4"/>
  <c r="F228" i="4"/>
  <c r="E228" i="4"/>
  <c r="G226" i="4"/>
  <c r="F226" i="4"/>
  <c r="AF232" i="4" s="1"/>
  <c r="AF254" i="4" s="1"/>
  <c r="E226" i="4"/>
  <c r="E225" i="4"/>
  <c r="G222" i="4"/>
  <c r="G229" i="4" s="1"/>
  <c r="E222" i="4"/>
  <c r="E229" i="4" s="1"/>
  <c r="F220" i="4"/>
  <c r="G220" i="4"/>
  <c r="H220" i="4"/>
  <c r="J220" i="4"/>
  <c r="S220" i="4"/>
  <c r="S221" i="4" s="1"/>
  <c r="T220" i="4"/>
  <c r="T221" i="4" s="1"/>
  <c r="U220" i="4"/>
  <c r="U221" i="4" s="1"/>
  <c r="V220" i="4"/>
  <c r="V221" i="4" s="1"/>
  <c r="W220" i="4"/>
  <c r="W221" i="4" s="1"/>
  <c r="X220" i="4"/>
  <c r="X221" i="4" s="1"/>
  <c r="Y220" i="4"/>
  <c r="Y221" i="4" s="1"/>
  <c r="Z220" i="4"/>
  <c r="Z221" i="4" s="1"/>
  <c r="AA220" i="4"/>
  <c r="AA221" i="4" s="1"/>
  <c r="AB220" i="4"/>
  <c r="AB221" i="4" s="1"/>
  <c r="AC220" i="4"/>
  <c r="AC221" i="4" s="1"/>
  <c r="AD220" i="4"/>
  <c r="AD221" i="4" s="1"/>
  <c r="AE220" i="4"/>
  <c r="AE221" i="4" s="1"/>
  <c r="AF220" i="4"/>
  <c r="AF221" i="4" s="1"/>
  <c r="AG220" i="4"/>
  <c r="AG221" i="4" s="1"/>
  <c r="AH220" i="4"/>
  <c r="AH221" i="4" s="1"/>
  <c r="AI220" i="4"/>
  <c r="AI221" i="4" s="1"/>
  <c r="AJ220" i="4"/>
  <c r="AJ221" i="4" s="1"/>
  <c r="AK220" i="4"/>
  <c r="AK221" i="4" s="1"/>
  <c r="AL220" i="4"/>
  <c r="AL221" i="4" s="1"/>
  <c r="AM220" i="4"/>
  <c r="AM221" i="4" s="1"/>
  <c r="AN220" i="4"/>
  <c r="AN221" i="4" s="1"/>
  <c r="AO221" i="4"/>
  <c r="AP221" i="4"/>
  <c r="E220" i="4"/>
  <c r="E225" i="2"/>
  <c r="F225" i="2"/>
  <c r="G225" i="2"/>
  <c r="J225" i="2"/>
  <c r="S225" i="2"/>
  <c r="T225" i="2"/>
  <c r="U225" i="2"/>
  <c r="V225" i="2"/>
  <c r="W225" i="2"/>
  <c r="X225" i="2"/>
  <c r="Y225" i="2"/>
  <c r="Z225" i="2"/>
  <c r="AA225" i="2"/>
  <c r="AB225" i="2"/>
  <c r="AC225" i="2"/>
  <c r="AD225" i="2"/>
  <c r="AE225" i="2"/>
  <c r="AF225" i="2"/>
  <c r="AG225" i="2"/>
  <c r="AH225" i="2"/>
  <c r="AI225" i="2"/>
  <c r="AJ225" i="2"/>
  <c r="AK225" i="2"/>
  <c r="AL225" i="2"/>
  <c r="AM225" i="2"/>
  <c r="AN225" i="2"/>
  <c r="AR225" i="2"/>
  <c r="AS225" i="2"/>
  <c r="G226" i="2"/>
  <c r="J226" i="2"/>
  <c r="E231" i="2"/>
  <c r="F231" i="2"/>
  <c r="G231" i="2"/>
  <c r="J231" i="2"/>
  <c r="S231" i="2"/>
  <c r="T231" i="2"/>
  <c r="U231" i="2"/>
  <c r="V231" i="2"/>
  <c r="W231" i="2"/>
  <c r="X231" i="2"/>
  <c r="Y231" i="2"/>
  <c r="Z231" i="2"/>
  <c r="AA231" i="2"/>
  <c r="AB231" i="2"/>
  <c r="AC231" i="2"/>
  <c r="AD231" i="2"/>
  <c r="AE231" i="2"/>
  <c r="AF231" i="2"/>
  <c r="AG231" i="2"/>
  <c r="AH231" i="2"/>
  <c r="AI231" i="2"/>
  <c r="AJ231" i="2"/>
  <c r="AK231" i="2"/>
  <c r="AL231" i="2"/>
  <c r="AM231" i="2"/>
  <c r="AN231" i="2"/>
  <c r="AR231" i="2"/>
  <c r="AS231" i="2"/>
  <c r="J160" i="2"/>
  <c r="H160" i="2"/>
  <c r="G160" i="2"/>
  <c r="F160" i="2"/>
  <c r="G179" i="2"/>
  <c r="G709" i="2" s="1"/>
  <c r="H179" i="2"/>
  <c r="H709" i="2" s="1"/>
  <c r="J179" i="2"/>
  <c r="J709" i="2" s="1"/>
  <c r="G180" i="2"/>
  <c r="H180" i="2"/>
  <c r="J180" i="2"/>
  <c r="G170" i="2"/>
  <c r="E170" i="2"/>
  <c r="J169" i="2"/>
  <c r="H169" i="2"/>
  <c r="G169" i="2"/>
  <c r="F169" i="2"/>
  <c r="F161" i="2"/>
  <c r="F154" i="2"/>
  <c r="F179" i="2" s="1"/>
  <c r="F709" i="2" s="1"/>
  <c r="F153" i="2"/>
  <c r="G153" i="2"/>
  <c r="H153" i="2"/>
  <c r="J153" i="2"/>
  <c r="E149" i="2"/>
  <c r="F148" i="2"/>
  <c r="G148" i="2"/>
  <c r="H148" i="2"/>
  <c r="E148" i="2"/>
  <c r="F141" i="2"/>
  <c r="G141" i="2"/>
  <c r="J141" i="2"/>
  <c r="E141" i="2"/>
  <c r="J142" i="2"/>
  <c r="G142" i="2"/>
  <c r="F142" i="2"/>
  <c r="E142" i="2"/>
  <c r="F203" i="4"/>
  <c r="F202" i="4"/>
  <c r="F201" i="4"/>
  <c r="F200" i="4"/>
  <c r="F199" i="4"/>
  <c r="J197" i="4"/>
  <c r="H197" i="4"/>
  <c r="G197" i="4"/>
  <c r="F197" i="4"/>
  <c r="E197" i="4"/>
  <c r="F192" i="4"/>
  <c r="H192" i="4"/>
  <c r="J192" i="4"/>
  <c r="AL192" i="4"/>
  <c r="AM192" i="4"/>
  <c r="AN192" i="4"/>
  <c r="AO192" i="4"/>
  <c r="AP192" i="4"/>
  <c r="F191" i="4"/>
  <c r="G191" i="4"/>
  <c r="H191" i="4"/>
  <c r="J191" i="4"/>
  <c r="E191" i="4"/>
  <c r="G188" i="4"/>
  <c r="F188" i="4"/>
  <c r="E188" i="4"/>
  <c r="G187" i="4"/>
  <c r="F187" i="4"/>
  <c r="E187" i="4"/>
  <c r="AE179" i="4"/>
  <c r="AF179" i="4"/>
  <c r="AG179" i="4"/>
  <c r="AH179" i="4"/>
  <c r="AD179" i="4"/>
  <c r="G174" i="4"/>
  <c r="F174" i="4"/>
  <c r="E174" i="4"/>
  <c r="E182" i="4"/>
  <c r="E181" i="4"/>
  <c r="E203" i="4" s="1"/>
  <c r="E180" i="4"/>
  <c r="E202" i="4" s="1"/>
  <c r="E179" i="4"/>
  <c r="E201" i="4" s="1"/>
  <c r="E178" i="4"/>
  <c r="E200" i="4" s="1"/>
  <c r="E177" i="4"/>
  <c r="E199" i="4" s="1"/>
  <c r="F172" i="4"/>
  <c r="AH177" i="4" s="1"/>
  <c r="AH199" i="4" s="1"/>
  <c r="G172" i="4"/>
  <c r="E172" i="4"/>
  <c r="AE171" i="4"/>
  <c r="E171" i="4"/>
  <c r="G943" i="2"/>
  <c r="E943" i="2"/>
  <c r="B117" i="18" s="1"/>
  <c r="G942" i="2"/>
  <c r="F942" i="2"/>
  <c r="E942" i="2"/>
  <c r="G784" i="2"/>
  <c r="F784" i="2"/>
  <c r="E784" i="2"/>
  <c r="F1006" i="2"/>
  <c r="F46" i="16" s="1"/>
  <c r="G1006" i="2"/>
  <c r="G46" i="16" s="1"/>
  <c r="H1006" i="2"/>
  <c r="H46" i="16" s="1"/>
  <c r="J1006" i="2"/>
  <c r="J46" i="16" s="1"/>
  <c r="E1006" i="2"/>
  <c r="E46" i="16" s="1"/>
  <c r="G914" i="2"/>
  <c r="F914" i="2"/>
  <c r="E914" i="2"/>
  <c r="F776" i="2"/>
  <c r="H776" i="2"/>
  <c r="A1" i="17"/>
  <c r="B9" i="23" s="1"/>
  <c r="A1" i="16"/>
  <c r="E90" i="16" s="1"/>
  <c r="E77" i="15" s="1"/>
  <c r="F85" i="15"/>
  <c r="F84" i="15"/>
  <c r="F83" i="15"/>
  <c r="A1" i="15"/>
  <c r="A1" i="14"/>
  <c r="G659" i="2"/>
  <c r="H659" i="2"/>
  <c r="E659" i="2"/>
  <c r="G660" i="2"/>
  <c r="H660" i="2"/>
  <c r="E660" i="2"/>
  <c r="J977" i="2"/>
  <c r="H977" i="2"/>
  <c r="G977" i="2"/>
  <c r="F977" i="2"/>
  <c r="E977" i="2"/>
  <c r="F936" i="2"/>
  <c r="G936" i="2"/>
  <c r="H936" i="2"/>
  <c r="J936" i="2"/>
  <c r="E936" i="2"/>
  <c r="E874" i="2"/>
  <c r="E877" i="2" s="1"/>
  <c r="G807" i="2"/>
  <c r="H807" i="2"/>
  <c r="J807" i="2"/>
  <c r="E807" i="2"/>
  <c r="J872" i="2"/>
  <c r="J873" i="2"/>
  <c r="F874" i="2"/>
  <c r="F877" i="2" s="1"/>
  <c r="H874" i="2"/>
  <c r="H877" i="2" s="1"/>
  <c r="J874" i="2"/>
  <c r="J877" i="2" s="1"/>
  <c r="J876" i="2"/>
  <c r="F878" i="2"/>
  <c r="F922" i="2" s="1"/>
  <c r="H878" i="2"/>
  <c r="H930" i="2" s="1"/>
  <c r="J878" i="2"/>
  <c r="J892" i="2"/>
  <c r="J893" i="2"/>
  <c r="J880" i="2"/>
  <c r="J881" i="2"/>
  <c r="J882" i="2"/>
  <c r="F883" i="2"/>
  <c r="H883" i="2"/>
  <c r="J883" i="2"/>
  <c r="J906" i="2"/>
  <c r="G761" i="2"/>
  <c r="G763" i="2" s="1"/>
  <c r="G776" i="2" s="1"/>
  <c r="H761" i="2"/>
  <c r="J909" i="2"/>
  <c r="G910" i="2"/>
  <c r="H910" i="2"/>
  <c r="J910" i="2"/>
  <c r="E910" i="2"/>
  <c r="E761" i="2"/>
  <c r="E883" i="2"/>
  <c r="E878" i="2"/>
  <c r="E930" i="2" s="1"/>
  <c r="G775" i="2"/>
  <c r="H775" i="2"/>
  <c r="E775" i="2"/>
  <c r="F581" i="2"/>
  <c r="G640" i="2"/>
  <c r="H640" i="2"/>
  <c r="J640" i="2"/>
  <c r="E640" i="2"/>
  <c r="F629" i="2"/>
  <c r="G629" i="2"/>
  <c r="H629" i="2"/>
  <c r="J629" i="2"/>
  <c r="E629" i="2"/>
  <c r="F548" i="2"/>
  <c r="G548" i="2"/>
  <c r="J548" i="2"/>
  <c r="S548" i="2"/>
  <c r="T548" i="2"/>
  <c r="U548" i="2"/>
  <c r="V548" i="2"/>
  <c r="W548" i="2"/>
  <c r="X548" i="2"/>
  <c r="Y548" i="2"/>
  <c r="Z548" i="2"/>
  <c r="AA548" i="2"/>
  <c r="AB548" i="2"/>
  <c r="AC548" i="2"/>
  <c r="AD548" i="2"/>
  <c r="AE548" i="2"/>
  <c r="AF548" i="2"/>
  <c r="AG548" i="2"/>
  <c r="AH548" i="2"/>
  <c r="AI548" i="2"/>
  <c r="AJ548" i="2"/>
  <c r="AK548" i="2"/>
  <c r="AL548" i="2"/>
  <c r="AM548" i="2"/>
  <c r="AN548" i="2"/>
  <c r="F549" i="2"/>
  <c r="G549" i="2"/>
  <c r="J549" i="2"/>
  <c r="S549" i="2"/>
  <c r="T549" i="2"/>
  <c r="U549" i="2"/>
  <c r="V549" i="2"/>
  <c r="W549" i="2"/>
  <c r="X549" i="2"/>
  <c r="Y549" i="2"/>
  <c r="Z549" i="2"/>
  <c r="AA549" i="2"/>
  <c r="AB549" i="2"/>
  <c r="AC549" i="2"/>
  <c r="AD549" i="2"/>
  <c r="AE549" i="2"/>
  <c r="AF549" i="2"/>
  <c r="AG549" i="2"/>
  <c r="AH549" i="2"/>
  <c r="AI549" i="2"/>
  <c r="AJ549" i="2"/>
  <c r="AK549" i="2"/>
  <c r="AL549" i="2"/>
  <c r="AM549" i="2"/>
  <c r="AN549" i="2"/>
  <c r="F550" i="2"/>
  <c r="F556" i="2" s="1"/>
  <c r="G550" i="2"/>
  <c r="G556" i="2" s="1"/>
  <c r="H550" i="2"/>
  <c r="H556" i="2" s="1"/>
  <c r="J550" i="2"/>
  <c r="J556" i="2" s="1"/>
  <c r="E550" i="2"/>
  <c r="E556" i="2" s="1"/>
  <c r="E549" i="2"/>
  <c r="E548" i="2"/>
  <c r="J800" i="2"/>
  <c r="H800" i="2"/>
  <c r="G800" i="2"/>
  <c r="E800" i="2"/>
  <c r="J806" i="2"/>
  <c r="H806" i="2"/>
  <c r="G806" i="2"/>
  <c r="E806" i="2"/>
  <c r="G774" i="2"/>
  <c r="H774" i="2"/>
  <c r="E774" i="2"/>
  <c r="F505" i="2"/>
  <c r="G505" i="2"/>
  <c r="H505" i="2"/>
  <c r="J505" i="2"/>
  <c r="E505" i="2"/>
  <c r="G502" i="2"/>
  <c r="F502" i="2"/>
  <c r="E502" i="2"/>
  <c r="F499" i="2"/>
  <c r="G499" i="2"/>
  <c r="H499" i="2"/>
  <c r="J499" i="2"/>
  <c r="F500" i="2"/>
  <c r="F506" i="2" s="1"/>
  <c r="G500" i="2"/>
  <c r="G506" i="2" s="1"/>
  <c r="H500" i="2"/>
  <c r="H506" i="2" s="1"/>
  <c r="J500" i="2"/>
  <c r="J506" i="2" s="1"/>
  <c r="E500" i="2"/>
  <c r="E506" i="2" s="1"/>
  <c r="E499" i="2"/>
  <c r="F493" i="2"/>
  <c r="G493" i="2"/>
  <c r="H493" i="2"/>
  <c r="J493" i="2"/>
  <c r="F495" i="2"/>
  <c r="F498" i="2" s="1"/>
  <c r="G495" i="2"/>
  <c r="G498" i="2" s="1"/>
  <c r="H495" i="2"/>
  <c r="H498" i="2" s="1"/>
  <c r="J495" i="2"/>
  <c r="J498" i="2" s="1"/>
  <c r="E493" i="2"/>
  <c r="E495" i="2"/>
  <c r="E498" i="2" s="1"/>
  <c r="G444" i="2"/>
  <c r="H444" i="2"/>
  <c r="J444" i="2"/>
  <c r="E444" i="2"/>
  <c r="G435" i="2"/>
  <c r="H435" i="2"/>
  <c r="J435" i="2"/>
  <c r="E435" i="2"/>
  <c r="J368" i="2"/>
  <c r="H368" i="2"/>
  <c r="G368" i="2"/>
  <c r="F368" i="2"/>
  <c r="E368" i="2"/>
  <c r="J367" i="2"/>
  <c r="H367" i="2"/>
  <c r="G367" i="2"/>
  <c r="F367" i="2"/>
  <c r="E367" i="2"/>
  <c r="J366" i="2"/>
  <c r="H366" i="2"/>
  <c r="G366" i="2"/>
  <c r="F366" i="2"/>
  <c r="E366" i="2"/>
  <c r="J365" i="2"/>
  <c r="H365" i="2"/>
  <c r="G365" i="2"/>
  <c r="F365" i="2"/>
  <c r="E365" i="2"/>
  <c r="J364" i="2"/>
  <c r="H364" i="2"/>
  <c r="G364" i="2"/>
  <c r="F364" i="2"/>
  <c r="E364" i="2"/>
  <c r="F339" i="2"/>
  <c r="G339" i="2"/>
  <c r="H339" i="2"/>
  <c r="J339" i="2"/>
  <c r="F340" i="2"/>
  <c r="G340" i="2"/>
  <c r="H340" i="2"/>
  <c r="J340" i="2"/>
  <c r="E340" i="2"/>
  <c r="E339" i="2"/>
  <c r="F361" i="2"/>
  <c r="G361" i="2"/>
  <c r="H361" i="2"/>
  <c r="J361" i="2"/>
  <c r="F357" i="2"/>
  <c r="G357" i="2"/>
  <c r="H357" i="2"/>
  <c r="J357" i="2"/>
  <c r="F353" i="2"/>
  <c r="G353" i="2"/>
  <c r="H353" i="2"/>
  <c r="J353" i="2"/>
  <c r="F349" i="2"/>
  <c r="G349" i="2"/>
  <c r="H349" i="2"/>
  <c r="J349" i="2"/>
  <c r="F345" i="2"/>
  <c r="G345" i="2"/>
  <c r="H345" i="2"/>
  <c r="J345" i="2"/>
  <c r="F315" i="2"/>
  <c r="G315" i="2"/>
  <c r="E315" i="2"/>
  <c r="F314" i="2"/>
  <c r="G314" i="2"/>
  <c r="H314" i="2"/>
  <c r="J314" i="2"/>
  <c r="E314" i="2"/>
  <c r="AS210" i="2"/>
  <c r="AR210" i="2"/>
  <c r="AN210" i="2"/>
  <c r="AM210" i="2"/>
  <c r="AL210" i="2"/>
  <c r="AK210" i="2"/>
  <c r="AJ210" i="2"/>
  <c r="AI210" i="2"/>
  <c r="AH210" i="2"/>
  <c r="AG210" i="2"/>
  <c r="AF210" i="2"/>
  <c r="AE210" i="2"/>
  <c r="AD210" i="2"/>
  <c r="AC210" i="2"/>
  <c r="AB210" i="2"/>
  <c r="AA210" i="2"/>
  <c r="Z210" i="2"/>
  <c r="Y210" i="2"/>
  <c r="X210" i="2"/>
  <c r="W210" i="2"/>
  <c r="V210" i="2"/>
  <c r="U210" i="2"/>
  <c r="T210" i="2"/>
  <c r="S210" i="2"/>
  <c r="J210" i="2"/>
  <c r="G210" i="2"/>
  <c r="F210" i="2"/>
  <c r="E210" i="2"/>
  <c r="AS215" i="2"/>
  <c r="AR215" i="2"/>
  <c r="AN215" i="2"/>
  <c r="AM215" i="2"/>
  <c r="AL215" i="2"/>
  <c r="AK215" i="2"/>
  <c r="AJ215" i="2"/>
  <c r="AI215" i="2"/>
  <c r="AH215" i="2"/>
  <c r="AG215" i="2"/>
  <c r="AF215" i="2"/>
  <c r="AE215" i="2"/>
  <c r="AD215" i="2"/>
  <c r="AC215" i="2"/>
  <c r="AB215" i="2"/>
  <c r="AA215" i="2"/>
  <c r="Z215" i="2"/>
  <c r="Y215" i="2"/>
  <c r="X215" i="2"/>
  <c r="W215" i="2"/>
  <c r="V215" i="2"/>
  <c r="U215" i="2"/>
  <c r="T215" i="2"/>
  <c r="S215" i="2"/>
  <c r="J215" i="2"/>
  <c r="G215" i="2"/>
  <c r="F215" i="2"/>
  <c r="E215" i="2"/>
  <c r="E240" i="2" s="1"/>
  <c r="E361" i="2" s="1"/>
  <c r="AS214" i="2"/>
  <c r="AR214" i="2"/>
  <c r="AN214" i="2"/>
  <c r="AM214" i="2"/>
  <c r="AL214" i="2"/>
  <c r="AK214" i="2"/>
  <c r="AJ214" i="2"/>
  <c r="AI214" i="2"/>
  <c r="AH214" i="2"/>
  <c r="AG214" i="2"/>
  <c r="AF214" i="2"/>
  <c r="AE214" i="2"/>
  <c r="AD214" i="2"/>
  <c r="AC214" i="2"/>
  <c r="AB214" i="2"/>
  <c r="AB222" i="2" s="1"/>
  <c r="AA214" i="2"/>
  <c r="Z214" i="2"/>
  <c r="Z222" i="2" s="1"/>
  <c r="Y214" i="2"/>
  <c r="Y222" i="2" s="1"/>
  <c r="X214" i="2"/>
  <c r="W214" i="2"/>
  <c r="W222" i="2" s="1"/>
  <c r="V214" i="2"/>
  <c r="V222" i="2" s="1"/>
  <c r="U214" i="2"/>
  <c r="T214" i="2"/>
  <c r="S214" i="2"/>
  <c r="J214" i="2"/>
  <c r="G214" i="2"/>
  <c r="F214" i="2"/>
  <c r="E214" i="2"/>
  <c r="E222" i="2" s="1"/>
  <c r="C15" i="23" s="1"/>
  <c r="AS213" i="2"/>
  <c r="AR213" i="2"/>
  <c r="AN213" i="2"/>
  <c r="AM213" i="2"/>
  <c r="AL213" i="2"/>
  <c r="AK213" i="2"/>
  <c r="AJ213" i="2"/>
  <c r="AI213" i="2"/>
  <c r="AH213" i="2"/>
  <c r="AG213" i="2"/>
  <c r="AF213" i="2"/>
  <c r="AE213" i="2"/>
  <c r="AD213" i="2"/>
  <c r="AC213" i="2"/>
  <c r="AB213" i="2"/>
  <c r="AA213" i="2"/>
  <c r="Z213" i="2"/>
  <c r="Y213" i="2"/>
  <c r="X213" i="2"/>
  <c r="W213" i="2"/>
  <c r="V213" i="2"/>
  <c r="U213" i="2"/>
  <c r="T213" i="2"/>
  <c r="S213" i="2"/>
  <c r="J213" i="2"/>
  <c r="G213" i="2"/>
  <c r="F213" i="2"/>
  <c r="E213" i="2"/>
  <c r="E238" i="2" s="1"/>
  <c r="E353" i="2" s="1"/>
  <c r="AS212" i="2"/>
  <c r="AR212" i="2"/>
  <c r="AN212" i="2"/>
  <c r="AM212" i="2"/>
  <c r="AL212" i="2"/>
  <c r="AK212" i="2"/>
  <c r="AJ212" i="2"/>
  <c r="AI212" i="2"/>
  <c r="AH212" i="2"/>
  <c r="AG212" i="2"/>
  <c r="AF212" i="2"/>
  <c r="AE212" i="2"/>
  <c r="AD212" i="2"/>
  <c r="AC212" i="2"/>
  <c r="AB212" i="2"/>
  <c r="AB220" i="2" s="1"/>
  <c r="AA212" i="2"/>
  <c r="AA220" i="2" s="1"/>
  <c r="Z212" i="2"/>
  <c r="Z220" i="2" s="1"/>
  <c r="Y212" i="2"/>
  <c r="Y220" i="2" s="1"/>
  <c r="W212" i="2"/>
  <c r="V212" i="2"/>
  <c r="U212" i="2"/>
  <c r="T212" i="2"/>
  <c r="S212" i="2"/>
  <c r="J212" i="2"/>
  <c r="G212" i="2"/>
  <c r="F212" i="2"/>
  <c r="E212" i="2"/>
  <c r="E237" i="2" s="1"/>
  <c r="E349" i="2" s="1"/>
  <c r="AS211" i="2"/>
  <c r="AR211" i="2"/>
  <c r="AN211" i="2"/>
  <c r="AM211" i="2"/>
  <c r="AL211" i="2"/>
  <c r="AK211" i="2"/>
  <c r="AJ211" i="2"/>
  <c r="AI211" i="2"/>
  <c r="AH211" i="2"/>
  <c r="AG211" i="2"/>
  <c r="AF211" i="2"/>
  <c r="AE211" i="2"/>
  <c r="AD211" i="2"/>
  <c r="AC211" i="2"/>
  <c r="AB211" i="2"/>
  <c r="AA211" i="2"/>
  <c r="Z211" i="2"/>
  <c r="Y211" i="2"/>
  <c r="X211" i="2"/>
  <c r="W211" i="2"/>
  <c r="V211" i="2"/>
  <c r="U211" i="2"/>
  <c r="T211" i="2"/>
  <c r="S211" i="2"/>
  <c r="J211" i="2"/>
  <c r="G211" i="2"/>
  <c r="F211" i="2"/>
  <c r="E211" i="2"/>
  <c r="E219" i="2" s="1"/>
  <c r="F116" i="2"/>
  <c r="G116" i="2"/>
  <c r="H116" i="2"/>
  <c r="J116" i="2"/>
  <c r="E116" i="2"/>
  <c r="J115" i="2"/>
  <c r="H115" i="2"/>
  <c r="G115" i="2"/>
  <c r="F115" i="2"/>
  <c r="E115" i="2"/>
  <c r="J112" i="2"/>
  <c r="G112" i="2"/>
  <c r="E112" i="2"/>
  <c r="F111" i="2"/>
  <c r="G111" i="2"/>
  <c r="H111" i="2"/>
  <c r="J111" i="2"/>
  <c r="E111" i="2"/>
  <c r="F109" i="2"/>
  <c r="G109" i="2"/>
  <c r="H109" i="2"/>
  <c r="J109" i="2"/>
  <c r="E109" i="2"/>
  <c r="F67" i="2"/>
  <c r="G67" i="2"/>
  <c r="H67" i="2"/>
  <c r="J67" i="2"/>
  <c r="E67" i="2"/>
  <c r="J66" i="2"/>
  <c r="H66" i="2"/>
  <c r="G66" i="2"/>
  <c r="F66" i="2"/>
  <c r="E66" i="2"/>
  <c r="J63" i="2"/>
  <c r="G63" i="2"/>
  <c r="E63" i="2"/>
  <c r="F56" i="2"/>
  <c r="G56" i="2"/>
  <c r="H56" i="2"/>
  <c r="J56" i="2"/>
  <c r="F57" i="2"/>
  <c r="G57" i="2"/>
  <c r="H57" i="2"/>
  <c r="J57" i="2"/>
  <c r="F58" i="2"/>
  <c r="G58" i="2"/>
  <c r="H58" i="2"/>
  <c r="J58" i="2"/>
  <c r="F59" i="2"/>
  <c r="G59" i="2"/>
  <c r="H59" i="2"/>
  <c r="J59" i="2"/>
  <c r="F60" i="2"/>
  <c r="G60" i="2"/>
  <c r="H60" i="2"/>
  <c r="J60" i="2"/>
  <c r="E60" i="2"/>
  <c r="E59" i="2"/>
  <c r="E58" i="2"/>
  <c r="E57" i="2"/>
  <c r="E56" i="2"/>
  <c r="F66" i="9"/>
  <c r="F416" i="2" s="1"/>
  <c r="F16" i="4"/>
  <c r="G16" i="4"/>
  <c r="H16" i="4"/>
  <c r="J16" i="4"/>
  <c r="E16" i="4"/>
  <c r="AH10" i="4"/>
  <c r="AH247" i="4" s="1"/>
  <c r="AG10" i="4"/>
  <c r="AG192" i="4" s="1"/>
  <c r="AF10" i="4"/>
  <c r="AF247" i="4" s="1"/>
  <c r="AE10" i="4"/>
  <c r="AE247" i="4" s="1"/>
  <c r="AD10" i="4"/>
  <c r="AD192" i="4" s="1"/>
  <c r="AC10" i="4"/>
  <c r="AC192" i="4" s="1"/>
  <c r="AB10" i="4"/>
  <c r="AB247" i="4" s="1"/>
  <c r="AA10" i="4"/>
  <c r="AA247" i="4" s="1"/>
  <c r="Z10" i="4"/>
  <c r="Z192" i="4" s="1"/>
  <c r="Y10" i="4"/>
  <c r="Y247" i="4" s="1"/>
  <c r="X10" i="4"/>
  <c r="X247" i="4" s="1"/>
  <c r="W10" i="4"/>
  <c r="W247" i="4" s="1"/>
  <c r="V10" i="4"/>
  <c r="V192" i="4" s="1"/>
  <c r="U10" i="4"/>
  <c r="U247" i="4" s="1"/>
  <c r="T10" i="4"/>
  <c r="T192" i="4" s="1"/>
  <c r="S10" i="4"/>
  <c r="S192" i="4" s="1"/>
  <c r="F9" i="4"/>
  <c r="E9" i="4"/>
  <c r="E11" i="4"/>
  <c r="G10" i="4"/>
  <c r="G192" i="4" s="1"/>
  <c r="G193" i="4" s="1"/>
  <c r="E10" i="4"/>
  <c r="E192" i="4" s="1"/>
  <c r="E69" i="11"/>
  <c r="G307" i="2"/>
  <c r="A1" i="12"/>
  <c r="B25" i="15"/>
  <c r="G2" i="11"/>
  <c r="A1" i="11"/>
  <c r="C72" i="11" s="1"/>
  <c r="E76" i="15" s="1"/>
  <c r="K11" i="10"/>
  <c r="K607" i="2" s="1"/>
  <c r="A1" i="8"/>
  <c r="A1" i="9"/>
  <c r="A1" i="10"/>
  <c r="AP106" i="8"/>
  <c r="AP391" i="7" s="1"/>
  <c r="AP440" i="7" s="1"/>
  <c r="AO106" i="8"/>
  <c r="AO391" i="7" s="1"/>
  <c r="AO440" i="7" s="1"/>
  <c r="AN106" i="8"/>
  <c r="AN391" i="7" s="1"/>
  <c r="AN440" i="7" s="1"/>
  <c r="AM106" i="8"/>
  <c r="AL106" i="8"/>
  <c r="AK106" i="8"/>
  <c r="AJ106" i="8"/>
  <c r="AJ391" i="7" s="1"/>
  <c r="AJ440" i="7" s="1"/>
  <c r="AI106" i="8"/>
  <c r="AH106" i="8"/>
  <c r="AH391" i="7" s="1"/>
  <c r="AH440" i="7" s="1"/>
  <c r="AG106" i="8"/>
  <c r="AF106" i="8"/>
  <c r="AF391" i="7" s="1"/>
  <c r="AF440" i="7" s="1"/>
  <c r="AE106" i="8"/>
  <c r="AD106" i="8"/>
  <c r="AD391" i="7" s="1"/>
  <c r="AD440" i="7" s="1"/>
  <c r="AC106" i="8"/>
  <c r="AB106" i="8"/>
  <c r="AB391" i="7" s="1"/>
  <c r="AB440" i="7" s="1"/>
  <c r="AA106" i="8"/>
  <c r="Z106" i="8"/>
  <c r="Z391" i="7" s="1"/>
  <c r="Z440" i="7" s="1"/>
  <c r="Y106" i="8"/>
  <c r="X106" i="8"/>
  <c r="X391" i="7" s="1"/>
  <c r="X440" i="7" s="1"/>
  <c r="W106" i="8"/>
  <c r="V106" i="8"/>
  <c r="V391" i="7" s="1"/>
  <c r="V440" i="7" s="1"/>
  <c r="U106" i="8"/>
  <c r="T106" i="8"/>
  <c r="T391" i="7" s="1"/>
  <c r="T440" i="7" s="1"/>
  <c r="S106" i="8"/>
  <c r="AP100" i="8"/>
  <c r="AP386" i="7" s="1"/>
  <c r="AP432" i="7" s="1"/>
  <c r="AO100" i="8"/>
  <c r="AO386" i="7" s="1"/>
  <c r="AO432" i="7" s="1"/>
  <c r="AO448" i="7" s="1"/>
  <c r="AN100" i="8"/>
  <c r="AM100" i="8"/>
  <c r="AL100" i="8"/>
  <c r="AL386" i="7" s="1"/>
  <c r="AL432" i="7" s="1"/>
  <c r="AK100" i="8"/>
  <c r="AJ100" i="8"/>
  <c r="AJ386" i="7" s="1"/>
  <c r="AJ432" i="7" s="1"/>
  <c r="AJ448" i="7" s="1"/>
  <c r="AI100" i="8"/>
  <c r="AH100" i="8"/>
  <c r="AG100" i="8"/>
  <c r="AF100" i="8"/>
  <c r="AE100" i="8"/>
  <c r="AD100" i="8"/>
  <c r="AD386" i="7" s="1"/>
  <c r="AD432" i="7" s="1"/>
  <c r="AC100" i="8"/>
  <c r="AB100" i="8"/>
  <c r="AA100" i="8"/>
  <c r="Z100" i="8"/>
  <c r="Z386" i="7" s="1"/>
  <c r="Z432" i="7" s="1"/>
  <c r="Y100" i="8"/>
  <c r="X100" i="8"/>
  <c r="W100" i="8"/>
  <c r="V100" i="8"/>
  <c r="V386" i="7" s="1"/>
  <c r="V432" i="7" s="1"/>
  <c r="U100" i="8"/>
  <c r="T100" i="8"/>
  <c r="T386" i="7" s="1"/>
  <c r="T432" i="7" s="1"/>
  <c r="S100" i="8"/>
  <c r="K4" i="14"/>
  <c r="G135" i="2"/>
  <c r="G206" i="4"/>
  <c r="L11" i="10"/>
  <c r="L607" i="2" s="1"/>
  <c r="K4" i="17"/>
  <c r="J776" i="2"/>
  <c r="F377" i="7"/>
  <c r="G377" i="7"/>
  <c r="F378" i="7"/>
  <c r="G378" i="7"/>
  <c r="E378" i="7"/>
  <c r="E377" i="7"/>
  <c r="F380" i="7"/>
  <c r="G380" i="7"/>
  <c r="J380" i="7"/>
  <c r="S380" i="7"/>
  <c r="T380" i="7"/>
  <c r="U380" i="7"/>
  <c r="V380" i="7"/>
  <c r="V398" i="7" s="1"/>
  <c r="V876" i="2" s="1"/>
  <c r="W380" i="7"/>
  <c r="W398" i="7" s="1"/>
  <c r="W876" i="2" s="1"/>
  <c r="X380" i="7"/>
  <c r="X398" i="7" s="1"/>
  <c r="X876" i="2" s="1"/>
  <c r="Y380" i="7"/>
  <c r="Z380" i="7"/>
  <c r="Z398" i="7" s="1"/>
  <c r="Z876" i="2" s="1"/>
  <c r="AA380" i="7"/>
  <c r="AB380" i="7"/>
  <c r="AC380" i="7"/>
  <c r="AD380" i="7"/>
  <c r="AD398" i="7" s="1"/>
  <c r="AD876" i="2" s="1"/>
  <c r="AE380" i="7"/>
  <c r="AE398" i="7" s="1"/>
  <c r="AE876" i="2" s="1"/>
  <c r="AF380" i="7"/>
  <c r="AF398" i="7" s="1"/>
  <c r="AF876" i="2" s="1"/>
  <c r="AG380" i="7"/>
  <c r="AH380" i="7"/>
  <c r="AH398" i="7" s="1"/>
  <c r="AH876" i="2" s="1"/>
  <c r="AI380" i="7"/>
  <c r="AJ380" i="7"/>
  <c r="AK380" i="7"/>
  <c r="AL380" i="7"/>
  <c r="AL398" i="7" s="1"/>
  <c r="AL876" i="2" s="1"/>
  <c r="AM380" i="7"/>
  <c r="AM398" i="7" s="1"/>
  <c r="AM876" i="2" s="1"/>
  <c r="AN380" i="7"/>
  <c r="AN398" i="7" s="1"/>
  <c r="AN876" i="2" s="1"/>
  <c r="F381" i="7"/>
  <c r="G381" i="7"/>
  <c r="G408" i="7" s="1"/>
  <c r="G880" i="2" s="1"/>
  <c r="J381" i="7"/>
  <c r="S381" i="7"/>
  <c r="T381" i="7"/>
  <c r="U381" i="7"/>
  <c r="U408" i="7" s="1"/>
  <c r="U880" i="2" s="1"/>
  <c r="V381" i="7"/>
  <c r="V408" i="7" s="1"/>
  <c r="V880" i="2" s="1"/>
  <c r="W381" i="7"/>
  <c r="X381" i="7"/>
  <c r="Y381" i="7"/>
  <c r="Y408" i="7" s="1"/>
  <c r="Z381" i="7"/>
  <c r="AA381" i="7"/>
  <c r="AB381" i="7"/>
  <c r="AC381" i="7"/>
  <c r="AC408" i="7" s="1"/>
  <c r="AC880" i="2" s="1"/>
  <c r="AD381" i="7"/>
  <c r="AD408" i="7" s="1"/>
  <c r="AE381" i="7"/>
  <c r="AE408" i="7" s="1"/>
  <c r="AE880" i="2" s="1"/>
  <c r="AF381" i="7"/>
  <c r="AG381" i="7"/>
  <c r="AG408" i="7" s="1"/>
  <c r="AH381" i="7"/>
  <c r="AI381" i="7"/>
  <c r="AJ381" i="7"/>
  <c r="AK381" i="7"/>
  <c r="AK408" i="7" s="1"/>
  <c r="AK880" i="2" s="1"/>
  <c r="AL381" i="7"/>
  <c r="AL408" i="7" s="1"/>
  <c r="AL880" i="2" s="1"/>
  <c r="AM381" i="7"/>
  <c r="AM408" i="7" s="1"/>
  <c r="AM880" i="2" s="1"/>
  <c r="AN381" i="7"/>
  <c r="F383" i="7"/>
  <c r="F394" i="7" s="1"/>
  <c r="F872" i="2" s="1"/>
  <c r="G383" i="7"/>
  <c r="J383" i="7"/>
  <c r="S383" i="7"/>
  <c r="T383" i="7"/>
  <c r="T394" i="7" s="1"/>
  <c r="U383" i="7"/>
  <c r="U394" i="7" s="1"/>
  <c r="V383" i="7"/>
  <c r="W383" i="7"/>
  <c r="X383" i="7"/>
  <c r="X394" i="7" s="1"/>
  <c r="Y383" i="7"/>
  <c r="Z383" i="7"/>
  <c r="AA383" i="7"/>
  <c r="AB383" i="7"/>
  <c r="AB394" i="7" s="1"/>
  <c r="AB396" i="7" s="1"/>
  <c r="AB874" i="2" s="1"/>
  <c r="AB877" i="2" s="1"/>
  <c r="AC383" i="7"/>
  <c r="AC394" i="7" s="1"/>
  <c r="AD383" i="7"/>
  <c r="AD394" i="7" s="1"/>
  <c r="AE383" i="7"/>
  <c r="AF383" i="7"/>
  <c r="AF394" i="7" s="1"/>
  <c r="AG383" i="7"/>
  <c r="AH383" i="7"/>
  <c r="AI383" i="7"/>
  <c r="AJ383" i="7"/>
  <c r="AJ394" i="7" s="1"/>
  <c r="AJ872" i="2" s="1"/>
  <c r="AK383" i="7"/>
  <c r="AK394" i="7" s="1"/>
  <c r="AL383" i="7"/>
  <c r="AL394" i="7" s="1"/>
  <c r="AL872" i="2" s="1"/>
  <c r="AM383" i="7"/>
  <c r="AN383" i="7"/>
  <c r="AN394" i="7" s="1"/>
  <c r="F384" i="7"/>
  <c r="G384" i="7"/>
  <c r="J384" i="7"/>
  <c r="S384" i="7"/>
  <c r="S409" i="7" s="1"/>
  <c r="S881" i="2" s="1"/>
  <c r="T384" i="7"/>
  <c r="U384" i="7"/>
  <c r="U409" i="7" s="1"/>
  <c r="U881" i="2" s="1"/>
  <c r="V384" i="7"/>
  <c r="W384" i="7"/>
  <c r="X384" i="7"/>
  <c r="X424" i="7" s="1"/>
  <c r="Y384" i="7"/>
  <c r="Z384" i="7"/>
  <c r="AA384" i="7"/>
  <c r="AA409" i="7" s="1"/>
  <c r="AB384" i="7"/>
  <c r="AC384" i="7"/>
  <c r="AC409" i="7" s="1"/>
  <c r="AD384" i="7"/>
  <c r="AE384" i="7"/>
  <c r="AF384" i="7"/>
  <c r="AF424" i="7" s="1"/>
  <c r="AG384" i="7"/>
  <c r="AH384" i="7"/>
  <c r="AI384" i="7"/>
  <c r="AI409" i="7" s="1"/>
  <c r="AJ384" i="7"/>
  <c r="AK384" i="7"/>
  <c r="AK409" i="7" s="1"/>
  <c r="AK881" i="2" s="1"/>
  <c r="AL384" i="7"/>
  <c r="AM384" i="7"/>
  <c r="AN384" i="7"/>
  <c r="AN424" i="7" s="1"/>
  <c r="F385" i="7"/>
  <c r="G385" i="7"/>
  <c r="J385" i="7"/>
  <c r="S385" i="7"/>
  <c r="T385" i="7"/>
  <c r="T330" i="7" s="1"/>
  <c r="U385" i="7"/>
  <c r="V385" i="7"/>
  <c r="V403" i="7" s="1"/>
  <c r="W385" i="7"/>
  <c r="X385" i="7"/>
  <c r="Y385" i="7"/>
  <c r="Z385" i="7"/>
  <c r="AA385" i="7"/>
  <c r="AB385" i="7"/>
  <c r="AB330" i="7" s="1"/>
  <c r="AC385" i="7"/>
  <c r="AD385" i="7"/>
  <c r="AE385" i="7"/>
  <c r="AF385" i="7"/>
  <c r="AG385" i="7"/>
  <c r="AH385" i="7"/>
  <c r="AH403" i="7" s="1"/>
  <c r="AH892" i="2" s="1"/>
  <c r="AI385" i="7"/>
  <c r="AJ385" i="7"/>
  <c r="AJ330" i="7" s="1"/>
  <c r="AK385" i="7"/>
  <c r="AL385" i="7"/>
  <c r="AL403" i="7" s="1"/>
  <c r="AM385" i="7"/>
  <c r="AN385" i="7"/>
  <c r="F386" i="7"/>
  <c r="G386" i="7"/>
  <c r="J386" i="7"/>
  <c r="F388" i="7"/>
  <c r="G388" i="7"/>
  <c r="J388" i="7"/>
  <c r="S388" i="7"/>
  <c r="T388" i="7"/>
  <c r="U388" i="7"/>
  <c r="V388" i="7"/>
  <c r="W388" i="7"/>
  <c r="W395" i="7" s="1"/>
  <c r="X388" i="7"/>
  <c r="X395" i="7" s="1"/>
  <c r="X873" i="2" s="1"/>
  <c r="Y388" i="7"/>
  <c r="Z388" i="7"/>
  <c r="Z395" i="7" s="1"/>
  <c r="AA388" i="7"/>
  <c r="AB388" i="7"/>
  <c r="AC388" i="7"/>
  <c r="AD388" i="7"/>
  <c r="AD395" i="7" s="1"/>
  <c r="AD873" i="2" s="1"/>
  <c r="AE388" i="7"/>
  <c r="AE395" i="7" s="1"/>
  <c r="AE873" i="2" s="1"/>
  <c r="AF388" i="7"/>
  <c r="AF395" i="7" s="1"/>
  <c r="AF873" i="2" s="1"/>
  <c r="AG388" i="7"/>
  <c r="AH388" i="7"/>
  <c r="AH395" i="7" s="1"/>
  <c r="AI388" i="7"/>
  <c r="AJ388" i="7"/>
  <c r="AK388" i="7"/>
  <c r="AL388" i="7"/>
  <c r="AL395" i="7" s="1"/>
  <c r="AL873" i="2" s="1"/>
  <c r="AM388" i="7"/>
  <c r="AM395" i="7" s="1"/>
  <c r="AN388" i="7"/>
  <c r="AN395" i="7" s="1"/>
  <c r="AN873" i="2" s="1"/>
  <c r="F389" i="7"/>
  <c r="G389" i="7"/>
  <c r="G410" i="7" s="1"/>
  <c r="G882" i="2" s="1"/>
  <c r="J389" i="7"/>
  <c r="S389" i="7"/>
  <c r="T389" i="7"/>
  <c r="U389" i="7"/>
  <c r="V389" i="7"/>
  <c r="V410" i="7" s="1"/>
  <c r="V882" i="2" s="1"/>
  <c r="W389" i="7"/>
  <c r="W410" i="7" s="1"/>
  <c r="W882" i="2" s="1"/>
  <c r="X389" i="7"/>
  <c r="Y389" i="7"/>
  <c r="Y410" i="7" s="1"/>
  <c r="Y882" i="2" s="1"/>
  <c r="Z389" i="7"/>
  <c r="AA389" i="7"/>
  <c r="AB389" i="7"/>
  <c r="AC389" i="7"/>
  <c r="AC410" i="7" s="1"/>
  <c r="AC882" i="2" s="1"/>
  <c r="AD389" i="7"/>
  <c r="AD410" i="7" s="1"/>
  <c r="AD882" i="2" s="1"/>
  <c r="AE389" i="7"/>
  <c r="AE410" i="7" s="1"/>
  <c r="AE882" i="2" s="1"/>
  <c r="AF389" i="7"/>
  <c r="AG389" i="7"/>
  <c r="AH389" i="7"/>
  <c r="AI389" i="7"/>
  <c r="AJ389" i="7"/>
  <c r="AK389" i="7"/>
  <c r="AK410" i="7" s="1"/>
  <c r="AL389" i="7"/>
  <c r="AL410" i="7" s="1"/>
  <c r="AL882" i="2" s="1"/>
  <c r="AM389" i="7"/>
  <c r="AN389" i="7"/>
  <c r="F390" i="7"/>
  <c r="F404" i="7" s="1"/>
  <c r="F893" i="2" s="1"/>
  <c r="G390" i="7"/>
  <c r="J390" i="7"/>
  <c r="S390" i="7"/>
  <c r="T390" i="7"/>
  <c r="T404" i="7" s="1"/>
  <c r="U390" i="7"/>
  <c r="V390" i="7"/>
  <c r="V330" i="7" s="1"/>
  <c r="W390" i="7"/>
  <c r="X390" i="7"/>
  <c r="X404" i="7" s="1"/>
  <c r="Y390" i="7"/>
  <c r="Z390" i="7"/>
  <c r="AA390" i="7"/>
  <c r="AB390" i="7"/>
  <c r="AB404" i="7" s="1"/>
  <c r="AB893" i="2" s="1"/>
  <c r="AC390" i="7"/>
  <c r="AD390" i="7"/>
  <c r="AE390" i="7"/>
  <c r="AF390" i="7"/>
  <c r="AF404" i="7" s="1"/>
  <c r="AG390" i="7"/>
  <c r="AH390" i="7"/>
  <c r="AI390" i="7"/>
  <c r="AJ390" i="7"/>
  <c r="AJ404" i="7" s="1"/>
  <c r="AK390" i="7"/>
  <c r="AL390" i="7"/>
  <c r="AL404" i="7" s="1"/>
  <c r="AL893" i="2" s="1"/>
  <c r="AM390" i="7"/>
  <c r="AN390" i="7"/>
  <c r="AN330" i="7" s="1"/>
  <c r="F391" i="7"/>
  <c r="G391" i="7"/>
  <c r="J391" i="7"/>
  <c r="E391" i="7"/>
  <c r="E390" i="7"/>
  <c r="E404" i="7" s="1"/>
  <c r="E893" i="2" s="1"/>
  <c r="E389" i="7"/>
  <c r="E410" i="7" s="1"/>
  <c r="E882" i="2" s="1"/>
  <c r="E388" i="7"/>
  <c r="E386" i="7"/>
  <c r="E385" i="7"/>
  <c r="E384" i="7"/>
  <c r="E383" i="7"/>
  <c r="E381" i="7"/>
  <c r="E408" i="7" s="1"/>
  <c r="E880" i="2" s="1"/>
  <c r="E380" i="7"/>
  <c r="E398" i="7" s="1"/>
  <c r="E876" i="2" s="1"/>
  <c r="AM391" i="7"/>
  <c r="AM440" i="7" s="1"/>
  <c r="AL391" i="7"/>
  <c r="AL440" i="7" s="1"/>
  <c r="AK391" i="7"/>
  <c r="AI391" i="7"/>
  <c r="AG391" i="7"/>
  <c r="AG440" i="7" s="1"/>
  <c r="AE391" i="7"/>
  <c r="AC391" i="7"/>
  <c r="AC440" i="7" s="1"/>
  <c r="AA391" i="7"/>
  <c r="AA440" i="7" s="1"/>
  <c r="Y391" i="7"/>
  <c r="Y440" i="7" s="1"/>
  <c r="W391" i="7"/>
  <c r="U391" i="7"/>
  <c r="U440" i="7" s="1"/>
  <c r="S391" i="7"/>
  <c r="AN386" i="7"/>
  <c r="AM386" i="7"/>
  <c r="AK386" i="7"/>
  <c r="AK432" i="7" s="1"/>
  <c r="AI386" i="7"/>
  <c r="AH386" i="7"/>
  <c r="AH432" i="7" s="1"/>
  <c r="AG386" i="7"/>
  <c r="AF386" i="7"/>
  <c r="AE386" i="7"/>
  <c r="AC386" i="7"/>
  <c r="AB386" i="7"/>
  <c r="AB432" i="7" s="1"/>
  <c r="AA386" i="7"/>
  <c r="AA432" i="7" s="1"/>
  <c r="Y386" i="7"/>
  <c r="Y432" i="7" s="1"/>
  <c r="Y448" i="7" s="1"/>
  <c r="X386" i="7"/>
  <c r="W386" i="7"/>
  <c r="U386" i="7"/>
  <c r="S386" i="7"/>
  <c r="F374" i="7"/>
  <c r="G374" i="7"/>
  <c r="F375" i="7"/>
  <c r="G375" i="7"/>
  <c r="E375" i="7"/>
  <c r="E374" i="7"/>
  <c r="F371" i="7"/>
  <c r="G371" i="7"/>
  <c r="F372" i="7"/>
  <c r="G372" i="7"/>
  <c r="E372" i="7"/>
  <c r="E371" i="7"/>
  <c r="F366" i="7"/>
  <c r="G366" i="7"/>
  <c r="E366" i="7"/>
  <c r="F359" i="7"/>
  <c r="G359" i="7"/>
  <c r="F360" i="7"/>
  <c r="G360" i="7"/>
  <c r="F361" i="7"/>
  <c r="G361" i="7"/>
  <c r="E361" i="7"/>
  <c r="E360" i="7"/>
  <c r="E359" i="7"/>
  <c r="F310" i="7"/>
  <c r="G310" i="7"/>
  <c r="J310" i="7"/>
  <c r="S310" i="7"/>
  <c r="T310" i="7"/>
  <c r="U310" i="7"/>
  <c r="V310" i="7"/>
  <c r="W310" i="7"/>
  <c r="X310" i="7"/>
  <c r="Y310" i="7"/>
  <c r="Z310" i="7"/>
  <c r="AA310" i="7"/>
  <c r="AB310" i="7"/>
  <c r="AC310" i="7"/>
  <c r="AD310" i="7"/>
  <c r="AE310" i="7"/>
  <c r="AF310" i="7"/>
  <c r="AG310" i="7"/>
  <c r="AH310" i="7"/>
  <c r="AI310" i="7"/>
  <c r="AJ310" i="7"/>
  <c r="AK310" i="7"/>
  <c r="AL310" i="7"/>
  <c r="AM310" i="7"/>
  <c r="AN310" i="7"/>
  <c r="F311" i="7"/>
  <c r="G311" i="7"/>
  <c r="J311" i="7"/>
  <c r="S311" i="7"/>
  <c r="T311" i="7"/>
  <c r="U311" i="7"/>
  <c r="V311" i="7"/>
  <c r="W311" i="7"/>
  <c r="X311" i="7"/>
  <c r="Y311" i="7"/>
  <c r="Y312" i="7" s="1"/>
  <c r="Z311" i="7"/>
  <c r="AA311" i="7"/>
  <c r="AB311" i="7"/>
  <c r="AC311" i="7"/>
  <c r="AD311" i="7"/>
  <c r="AE311" i="7"/>
  <c r="AF311" i="7"/>
  <c r="AG311" i="7"/>
  <c r="AG312" i="7" s="1"/>
  <c r="AH311" i="7"/>
  <c r="AI311" i="7"/>
  <c r="AJ311" i="7"/>
  <c r="AK311" i="7"/>
  <c r="AL311" i="7"/>
  <c r="AM311" i="7"/>
  <c r="AN311" i="7"/>
  <c r="E311" i="7"/>
  <c r="E310" i="7"/>
  <c r="F306" i="7"/>
  <c r="G306" i="7"/>
  <c r="J306" i="7"/>
  <c r="S306" i="7"/>
  <c r="T306" i="7"/>
  <c r="U306" i="7"/>
  <c r="V306" i="7"/>
  <c r="W306" i="7"/>
  <c r="X306" i="7"/>
  <c r="Y306" i="7"/>
  <c r="Z306" i="7"/>
  <c r="AA306" i="7"/>
  <c r="AB306" i="7"/>
  <c r="AC306" i="7"/>
  <c r="AD306" i="7"/>
  <c r="AE306" i="7"/>
  <c r="AF306" i="7"/>
  <c r="AG306" i="7"/>
  <c r="AH306" i="7"/>
  <c r="AI306" i="7"/>
  <c r="AJ306" i="7"/>
  <c r="AK306" i="7"/>
  <c r="AL306" i="7"/>
  <c r="AM306" i="7"/>
  <c r="AN306" i="7"/>
  <c r="F307" i="7"/>
  <c r="G307" i="7"/>
  <c r="J307" i="7"/>
  <c r="S307" i="7"/>
  <c r="T307" i="7"/>
  <c r="U307" i="7"/>
  <c r="V307" i="7"/>
  <c r="W307" i="7"/>
  <c r="X307" i="7"/>
  <c r="Y307" i="7"/>
  <c r="Z307" i="7"/>
  <c r="AA307" i="7"/>
  <c r="AB307" i="7"/>
  <c r="AC307" i="7"/>
  <c r="AD307" i="7"/>
  <c r="AE307" i="7"/>
  <c r="AF307" i="7"/>
  <c r="AG307" i="7"/>
  <c r="AH307" i="7"/>
  <c r="AI307" i="7"/>
  <c r="AJ307" i="7"/>
  <c r="AK307" i="7"/>
  <c r="AL307" i="7"/>
  <c r="AM307" i="7"/>
  <c r="AN307" i="7"/>
  <c r="E307" i="7"/>
  <c r="E306" i="7"/>
  <c r="F158" i="7"/>
  <c r="G158" i="7"/>
  <c r="J158" i="7"/>
  <c r="S158" i="7"/>
  <c r="T158" i="7"/>
  <c r="U158" i="7"/>
  <c r="W158" i="7"/>
  <c r="X158" i="7"/>
  <c r="Y158" i="7"/>
  <c r="Z158" i="7"/>
  <c r="AA158" i="7"/>
  <c r="AB158" i="7"/>
  <c r="AC158" i="7"/>
  <c r="AD158" i="7"/>
  <c r="AE158" i="7"/>
  <c r="AF158" i="7"/>
  <c r="AG158" i="7"/>
  <c r="AH158" i="7"/>
  <c r="AI158" i="7"/>
  <c r="AJ158" i="7"/>
  <c r="AK158" i="7"/>
  <c r="AL158" i="7"/>
  <c r="AM158" i="7"/>
  <c r="AN158" i="7"/>
  <c r="F159" i="7"/>
  <c r="G159" i="7"/>
  <c r="J159" i="7"/>
  <c r="S159" i="7"/>
  <c r="T159" i="7"/>
  <c r="U159" i="7"/>
  <c r="V159" i="7"/>
  <c r="W159" i="7"/>
  <c r="X159" i="7"/>
  <c r="Y159" i="7"/>
  <c r="Y160" i="7" s="1"/>
  <c r="Z159" i="7"/>
  <c r="AA159" i="7"/>
  <c r="AB159" i="7"/>
  <c r="AC159" i="7"/>
  <c r="AD159" i="7"/>
  <c r="AE159" i="7"/>
  <c r="AF159" i="7"/>
  <c r="AG159" i="7"/>
  <c r="AG160" i="7" s="1"/>
  <c r="AH159" i="7"/>
  <c r="AI159" i="7"/>
  <c r="AJ159" i="7"/>
  <c r="AK159" i="7"/>
  <c r="AL159" i="7"/>
  <c r="AM159" i="7"/>
  <c r="AN159" i="7"/>
  <c r="E159" i="7"/>
  <c r="E158" i="7"/>
  <c r="F141" i="7"/>
  <c r="G141" i="7"/>
  <c r="J141" i="7"/>
  <c r="S141" i="7"/>
  <c r="T141" i="7"/>
  <c r="T320" i="7" s="1"/>
  <c r="U141" i="7"/>
  <c r="V141" i="7"/>
  <c r="V486" i="7" s="1"/>
  <c r="W141" i="7"/>
  <c r="X141" i="7"/>
  <c r="Y141" i="7"/>
  <c r="Z141" i="7"/>
  <c r="AA141" i="7"/>
  <c r="AB141" i="7"/>
  <c r="AB320" i="7" s="1"/>
  <c r="AC141" i="7"/>
  <c r="AD141" i="7"/>
  <c r="AD344" i="7" s="1"/>
  <c r="AE141" i="7"/>
  <c r="AF141" i="7"/>
  <c r="AG141" i="7"/>
  <c r="AH141" i="7"/>
  <c r="AI141" i="7"/>
  <c r="AJ141" i="7"/>
  <c r="AJ344" i="7" s="1"/>
  <c r="AK141" i="7"/>
  <c r="AL141" i="7"/>
  <c r="AL344" i="7" s="1"/>
  <c r="AM141" i="7"/>
  <c r="AN141" i="7"/>
  <c r="F142" i="7"/>
  <c r="G142" i="7"/>
  <c r="J142" i="7"/>
  <c r="S142" i="7"/>
  <c r="S487" i="7" s="1"/>
  <c r="T142" i="7"/>
  <c r="U142" i="7"/>
  <c r="U487" i="7" s="1"/>
  <c r="V142" i="7"/>
  <c r="W142" i="7"/>
  <c r="X142" i="7"/>
  <c r="Y142" i="7"/>
  <c r="Z142" i="7"/>
  <c r="AA142" i="7"/>
  <c r="AA345" i="7" s="1"/>
  <c r="AB142" i="7"/>
  <c r="AC142" i="7"/>
  <c r="AC345" i="7" s="1"/>
  <c r="AD142" i="7"/>
  <c r="AE142" i="7"/>
  <c r="AF142" i="7"/>
  <c r="AG142" i="7"/>
  <c r="AH142" i="7"/>
  <c r="AI142" i="7"/>
  <c r="AI171" i="7" s="1"/>
  <c r="AJ142" i="7"/>
  <c r="AK142" i="7"/>
  <c r="AK345" i="7" s="1"/>
  <c r="AL142" i="7"/>
  <c r="AM142" i="7"/>
  <c r="AN142" i="7"/>
  <c r="F143" i="7"/>
  <c r="G143" i="7"/>
  <c r="J143" i="7"/>
  <c r="J346" i="7" s="1"/>
  <c r="S143" i="7"/>
  <c r="T143" i="7"/>
  <c r="T322" i="7" s="1"/>
  <c r="U143" i="7"/>
  <c r="V143" i="7"/>
  <c r="W143" i="7"/>
  <c r="X143" i="7"/>
  <c r="Y143" i="7"/>
  <c r="Z143" i="7"/>
  <c r="Z172" i="7" s="1"/>
  <c r="AA143" i="7"/>
  <c r="AB143" i="7"/>
  <c r="AB346" i="7" s="1"/>
  <c r="AC143" i="7"/>
  <c r="AD143" i="7"/>
  <c r="AE143" i="7"/>
  <c r="AF143" i="7"/>
  <c r="AG143" i="7"/>
  <c r="AH143" i="7"/>
  <c r="AH488" i="7" s="1"/>
  <c r="AI143" i="7"/>
  <c r="AJ143" i="7"/>
  <c r="AJ346" i="7" s="1"/>
  <c r="AK143" i="7"/>
  <c r="AL143" i="7"/>
  <c r="AM143" i="7"/>
  <c r="AN143" i="7"/>
  <c r="F144" i="7"/>
  <c r="G144" i="7"/>
  <c r="G173" i="7" s="1"/>
  <c r="J144" i="7"/>
  <c r="S144" i="7"/>
  <c r="S323" i="7" s="1"/>
  <c r="T144" i="7"/>
  <c r="U144" i="7"/>
  <c r="V144" i="7"/>
  <c r="W144" i="7"/>
  <c r="X144" i="7"/>
  <c r="X489" i="7" s="1"/>
  <c r="Y144" i="7"/>
  <c r="Y323" i="7" s="1"/>
  <c r="Z144" i="7"/>
  <c r="AA144" i="7"/>
  <c r="AA347" i="7" s="1"/>
  <c r="AB144" i="7"/>
  <c r="AC144" i="7"/>
  <c r="AD144" i="7"/>
  <c r="AE144" i="7"/>
  <c r="AF144" i="7"/>
  <c r="AG144" i="7"/>
  <c r="AG347" i="7" s="1"/>
  <c r="AH144" i="7"/>
  <c r="AI144" i="7"/>
  <c r="AI347" i="7" s="1"/>
  <c r="AJ144" i="7"/>
  <c r="AK144" i="7"/>
  <c r="AL144" i="7"/>
  <c r="AM144" i="7"/>
  <c r="AN144" i="7"/>
  <c r="F145" i="7"/>
  <c r="F348" i="7" s="1"/>
  <c r="G145" i="7"/>
  <c r="J145" i="7"/>
  <c r="J324" i="7" s="1"/>
  <c r="S145" i="7"/>
  <c r="T145" i="7"/>
  <c r="U145" i="7"/>
  <c r="V145" i="7"/>
  <c r="W145" i="7"/>
  <c r="W490" i="7" s="1"/>
  <c r="X145" i="7"/>
  <c r="X348" i="7" s="1"/>
  <c r="Y145" i="7"/>
  <c r="Z145" i="7"/>
  <c r="Z348" i="7" s="1"/>
  <c r="AA145" i="7"/>
  <c r="AB145" i="7"/>
  <c r="AC145" i="7"/>
  <c r="AD145" i="7"/>
  <c r="AE145" i="7"/>
  <c r="AF145" i="7"/>
  <c r="AF490" i="7" s="1"/>
  <c r="AG145" i="7"/>
  <c r="AH145" i="7"/>
  <c r="AH348" i="7" s="1"/>
  <c r="AI145" i="7"/>
  <c r="AJ145" i="7"/>
  <c r="AK145" i="7"/>
  <c r="AL145" i="7"/>
  <c r="AM145" i="7"/>
  <c r="AN145" i="7"/>
  <c r="AN324" i="7" s="1"/>
  <c r="F146" i="7"/>
  <c r="G146" i="7"/>
  <c r="G325" i="7" s="1"/>
  <c r="J146" i="7"/>
  <c r="S146" i="7"/>
  <c r="T146" i="7"/>
  <c r="U146" i="7"/>
  <c r="V146" i="7"/>
  <c r="V491" i="7" s="1"/>
  <c r="W146" i="7"/>
  <c r="W325" i="7" s="1"/>
  <c r="X146" i="7"/>
  <c r="Y146" i="7"/>
  <c r="Y349" i="7" s="1"/>
  <c r="Z146" i="7"/>
  <c r="AA146" i="7"/>
  <c r="AB146" i="7"/>
  <c r="AC146" i="7"/>
  <c r="AD146" i="7"/>
  <c r="AE146" i="7"/>
  <c r="AE349" i="7" s="1"/>
  <c r="AF146" i="7"/>
  <c r="AG146" i="7"/>
  <c r="AG349" i="7" s="1"/>
  <c r="AH146" i="7"/>
  <c r="AI146" i="7"/>
  <c r="AJ146" i="7"/>
  <c r="AK146" i="7"/>
  <c r="AL146" i="7"/>
  <c r="AM146" i="7"/>
  <c r="AM349" i="7" s="1"/>
  <c r="AN146" i="7"/>
  <c r="F147" i="7"/>
  <c r="F350" i="7" s="1"/>
  <c r="G147" i="7"/>
  <c r="J147" i="7"/>
  <c r="S147" i="7"/>
  <c r="T147" i="7"/>
  <c r="U147" i="7"/>
  <c r="V147" i="7"/>
  <c r="V350" i="7" s="1"/>
  <c r="W147" i="7"/>
  <c r="X147" i="7"/>
  <c r="X350" i="7" s="1"/>
  <c r="Y147" i="7"/>
  <c r="Z147" i="7"/>
  <c r="AA147" i="7"/>
  <c r="AB147" i="7"/>
  <c r="AC147" i="7"/>
  <c r="AD147" i="7"/>
  <c r="AD176" i="7" s="1"/>
  <c r="AE147" i="7"/>
  <c r="AF147" i="7"/>
  <c r="AF492" i="7" s="1"/>
  <c r="AG147" i="7"/>
  <c r="AH147" i="7"/>
  <c r="AI147" i="7"/>
  <c r="AJ147" i="7"/>
  <c r="AK147" i="7"/>
  <c r="AK492" i="7" s="1"/>
  <c r="AL147" i="7"/>
  <c r="AL326" i="7" s="1"/>
  <c r="AM147" i="7"/>
  <c r="AN147" i="7"/>
  <c r="AN492" i="7" s="1"/>
  <c r="E147" i="7"/>
  <c r="E146" i="7"/>
  <c r="E145" i="7"/>
  <c r="E144" i="7"/>
  <c r="E143" i="7"/>
  <c r="E142" i="7"/>
  <c r="E321" i="7" s="1"/>
  <c r="E141" i="7"/>
  <c r="F128" i="7"/>
  <c r="G128" i="7"/>
  <c r="F129" i="7"/>
  <c r="G129" i="7"/>
  <c r="F130" i="7"/>
  <c r="G130" i="7"/>
  <c r="E130" i="7"/>
  <c r="E129" i="7"/>
  <c r="E128" i="7"/>
  <c r="F119" i="7"/>
  <c r="G119" i="7"/>
  <c r="J119" i="7"/>
  <c r="S119" i="7"/>
  <c r="T119" i="7"/>
  <c r="U119" i="7"/>
  <c r="V119" i="7"/>
  <c r="W119" i="7"/>
  <c r="W140" i="7" s="1"/>
  <c r="W493" i="2" s="1"/>
  <c r="X119" i="7"/>
  <c r="X140" i="7" s="1"/>
  <c r="X493" i="2" s="1"/>
  <c r="Y119" i="7"/>
  <c r="Z119" i="7"/>
  <c r="AA119" i="7"/>
  <c r="AB119" i="7"/>
  <c r="AC119" i="7"/>
  <c r="AD119" i="7"/>
  <c r="AE119" i="7"/>
  <c r="AF119" i="7"/>
  <c r="AG119" i="7"/>
  <c r="AH119" i="7"/>
  <c r="AI119" i="7"/>
  <c r="AJ119" i="7"/>
  <c r="AK119" i="7"/>
  <c r="AK140" i="7" s="1"/>
  <c r="AK493" i="2" s="1"/>
  <c r="AL119" i="7"/>
  <c r="AM119" i="7"/>
  <c r="AN119" i="7"/>
  <c r="F120" i="7"/>
  <c r="G120" i="7"/>
  <c r="J120" i="7"/>
  <c r="S120" i="7"/>
  <c r="T120" i="7"/>
  <c r="U120" i="7"/>
  <c r="V120" i="7"/>
  <c r="V153" i="7" s="1"/>
  <c r="V499" i="2" s="1"/>
  <c r="W120" i="7"/>
  <c r="W153" i="7" s="1"/>
  <c r="W499" i="2" s="1"/>
  <c r="X120" i="7"/>
  <c r="Y120" i="7"/>
  <c r="Z120" i="7"/>
  <c r="AA120" i="7"/>
  <c r="AB120" i="7"/>
  <c r="AB153" i="7" s="1"/>
  <c r="AB499" i="2" s="1"/>
  <c r="AC120" i="7"/>
  <c r="AD120" i="7"/>
  <c r="AE120" i="7"/>
  <c r="AF120" i="7"/>
  <c r="AG120" i="7"/>
  <c r="AH120" i="7"/>
  <c r="AI120" i="7"/>
  <c r="AJ120" i="7"/>
  <c r="AJ153" i="7" s="1"/>
  <c r="AJ499" i="2" s="1"/>
  <c r="AK120" i="7"/>
  <c r="AL120" i="7"/>
  <c r="AM120" i="7"/>
  <c r="AN120" i="7"/>
  <c r="F121" i="7"/>
  <c r="G121" i="7"/>
  <c r="J121" i="7"/>
  <c r="S121" i="7"/>
  <c r="T121" i="7"/>
  <c r="U121" i="7"/>
  <c r="V121" i="7"/>
  <c r="V154" i="7" s="1"/>
  <c r="W121" i="7"/>
  <c r="X121" i="7"/>
  <c r="Y121" i="7"/>
  <c r="Z121" i="7"/>
  <c r="AA121" i="7"/>
  <c r="AA154" i="7" s="1"/>
  <c r="AA392" i="2" s="1"/>
  <c r="AB121" i="7"/>
  <c r="AC121" i="7"/>
  <c r="AD121" i="7"/>
  <c r="AE121" i="7"/>
  <c r="AF121" i="7"/>
  <c r="AG121" i="7"/>
  <c r="AH121" i="7"/>
  <c r="AI121" i="7"/>
  <c r="AJ121" i="7"/>
  <c r="AK121" i="7"/>
  <c r="AK154" i="7" s="1"/>
  <c r="AK392" i="2" s="1"/>
  <c r="AL121" i="7"/>
  <c r="AM121" i="7"/>
  <c r="AN121" i="7"/>
  <c r="E121" i="7"/>
  <c r="E120" i="7"/>
  <c r="E119" i="7"/>
  <c r="F115" i="7"/>
  <c r="G115" i="7"/>
  <c r="J115" i="7"/>
  <c r="S115" i="7"/>
  <c r="T115" i="7"/>
  <c r="U115" i="7"/>
  <c r="V115" i="7"/>
  <c r="W115" i="7"/>
  <c r="X115" i="7"/>
  <c r="Y115" i="7"/>
  <c r="Z115" i="7"/>
  <c r="AA115" i="7"/>
  <c r="AB115" i="7"/>
  <c r="AC115" i="7"/>
  <c r="AD115" i="7"/>
  <c r="AE115" i="7"/>
  <c r="AF115" i="7"/>
  <c r="AG115" i="7"/>
  <c r="AH115" i="7"/>
  <c r="AI115" i="7"/>
  <c r="AJ115" i="7"/>
  <c r="AK115" i="7"/>
  <c r="AL115" i="7"/>
  <c r="AM115" i="7"/>
  <c r="AN115" i="7"/>
  <c r="F116" i="7"/>
  <c r="G116" i="7"/>
  <c r="J116" i="7"/>
  <c r="S116" i="7"/>
  <c r="T116" i="7"/>
  <c r="U116" i="7"/>
  <c r="V116" i="7"/>
  <c r="W116" i="7"/>
  <c r="X116" i="7"/>
  <c r="Y116" i="7"/>
  <c r="Z116" i="7"/>
  <c r="AA116" i="7"/>
  <c r="AB116" i="7"/>
  <c r="AC116" i="7"/>
  <c r="AD116" i="7"/>
  <c r="AE116" i="7"/>
  <c r="AF116" i="7"/>
  <c r="AG116" i="7"/>
  <c r="AH116" i="7"/>
  <c r="AI116" i="7"/>
  <c r="AJ116" i="7"/>
  <c r="AK116" i="7"/>
  <c r="AL116" i="7"/>
  <c r="AM116" i="7"/>
  <c r="AN116" i="7"/>
  <c r="E116" i="7"/>
  <c r="E115" i="7"/>
  <c r="F64" i="7"/>
  <c r="G64" i="7"/>
  <c r="J64" i="7"/>
  <c r="S64" i="7"/>
  <c r="T64" i="7"/>
  <c r="U64" i="7"/>
  <c r="V64" i="7"/>
  <c r="W64" i="7"/>
  <c r="X64" i="7"/>
  <c r="Y64" i="7"/>
  <c r="Z64" i="7"/>
  <c r="AA64" i="7"/>
  <c r="AB64" i="7"/>
  <c r="AC64" i="7"/>
  <c r="AD64" i="7"/>
  <c r="AE64" i="7"/>
  <c r="AF64" i="7"/>
  <c r="AG64" i="7"/>
  <c r="AH64" i="7"/>
  <c r="AI64" i="7"/>
  <c r="AJ64" i="7"/>
  <c r="AK64" i="7"/>
  <c r="AL64" i="7"/>
  <c r="AM64" i="7"/>
  <c r="AN64" i="7"/>
  <c r="F65" i="7"/>
  <c r="G65" i="7"/>
  <c r="J65" i="7"/>
  <c r="S65" i="7"/>
  <c r="T65" i="7"/>
  <c r="T79" i="7" s="1"/>
  <c r="U65" i="7"/>
  <c r="U79" i="7" s="1"/>
  <c r="V65" i="7"/>
  <c r="W65" i="7"/>
  <c r="X65" i="7"/>
  <c r="Y65" i="7"/>
  <c r="Z65" i="7"/>
  <c r="Z79" i="7" s="1"/>
  <c r="AA65" i="7"/>
  <c r="AB65" i="7"/>
  <c r="AB79" i="7" s="1"/>
  <c r="AC65" i="7"/>
  <c r="AC79" i="7" s="1"/>
  <c r="AD65" i="7"/>
  <c r="AE65" i="7"/>
  <c r="AF65" i="7"/>
  <c r="AG65" i="7"/>
  <c r="AH65" i="7"/>
  <c r="AH79" i="7" s="1"/>
  <c r="AI65" i="7"/>
  <c r="AJ65" i="7"/>
  <c r="AJ79" i="7" s="1"/>
  <c r="AK65" i="7"/>
  <c r="AK79" i="7" s="1"/>
  <c r="AL65" i="7"/>
  <c r="AM65" i="7"/>
  <c r="AN65" i="7"/>
  <c r="F66" i="7"/>
  <c r="G66" i="7"/>
  <c r="G83" i="7" s="1"/>
  <c r="J66" i="7"/>
  <c r="S66" i="7"/>
  <c r="S83" i="7" s="1"/>
  <c r="T66" i="7"/>
  <c r="T83" i="7" s="1"/>
  <c r="U66" i="7"/>
  <c r="V66" i="7"/>
  <c r="W66" i="7"/>
  <c r="X66" i="7"/>
  <c r="Y66" i="7"/>
  <c r="Y83" i="7" s="1"/>
  <c r="Z66" i="7"/>
  <c r="AA66" i="7"/>
  <c r="AA83" i="7" s="1"/>
  <c r="AB66" i="7"/>
  <c r="AB83" i="7" s="1"/>
  <c r="AC66" i="7"/>
  <c r="AD66" i="7"/>
  <c r="AE66" i="7"/>
  <c r="AF66" i="7"/>
  <c r="AG66" i="7"/>
  <c r="AH66" i="7"/>
  <c r="AI66" i="7"/>
  <c r="AI83" i="7" s="1"/>
  <c r="AJ66" i="7"/>
  <c r="AJ83" i="7" s="1"/>
  <c r="AK66" i="7"/>
  <c r="AL66" i="7"/>
  <c r="AM66" i="7"/>
  <c r="AN66" i="7"/>
  <c r="F67" i="7"/>
  <c r="F87" i="7" s="1"/>
  <c r="G67" i="7"/>
  <c r="J67" i="7"/>
  <c r="S67" i="7"/>
  <c r="S87" i="7" s="1"/>
  <c r="T67" i="7"/>
  <c r="U67" i="7"/>
  <c r="V67" i="7"/>
  <c r="W67" i="7"/>
  <c r="X67" i="7"/>
  <c r="X87" i="7" s="1"/>
  <c r="Y67" i="7"/>
  <c r="Z67" i="7"/>
  <c r="Z87" i="7" s="1"/>
  <c r="AA67" i="7"/>
  <c r="AA87" i="7" s="1"/>
  <c r="AB67" i="7"/>
  <c r="AC67" i="7"/>
  <c r="AD67" i="7"/>
  <c r="AE67" i="7"/>
  <c r="AF67" i="7"/>
  <c r="AG67" i="7"/>
  <c r="AH67" i="7"/>
  <c r="AH87" i="7" s="1"/>
  <c r="AI67" i="7"/>
  <c r="AI87" i="7" s="1"/>
  <c r="AJ67" i="7"/>
  <c r="AK67" i="7"/>
  <c r="AL67" i="7"/>
  <c r="AM67" i="7"/>
  <c r="AN67" i="7"/>
  <c r="AN87" i="7" s="1"/>
  <c r="F68" i="7"/>
  <c r="G68" i="7"/>
  <c r="G91" i="7" s="1"/>
  <c r="J68" i="7"/>
  <c r="S68" i="7"/>
  <c r="T68" i="7"/>
  <c r="U68" i="7"/>
  <c r="V68" i="7"/>
  <c r="W68" i="7"/>
  <c r="W91" i="7" s="1"/>
  <c r="X68" i="7"/>
  <c r="Y68" i="7"/>
  <c r="Y91" i="7" s="1"/>
  <c r="Z68" i="7"/>
  <c r="Z91" i="7" s="1"/>
  <c r="AA68" i="7"/>
  <c r="AB68" i="7"/>
  <c r="AC68" i="7"/>
  <c r="AD68" i="7"/>
  <c r="AE68" i="7"/>
  <c r="AE91" i="7" s="1"/>
  <c r="AF68" i="7"/>
  <c r="AG68" i="7"/>
  <c r="AG91" i="7" s="1"/>
  <c r="AH68" i="7"/>
  <c r="AH91" i="7" s="1"/>
  <c r="AI68" i="7"/>
  <c r="AJ68" i="7"/>
  <c r="AK68" i="7"/>
  <c r="AL68" i="7"/>
  <c r="AM68" i="7"/>
  <c r="AM91" i="7" s="1"/>
  <c r="AN68" i="7"/>
  <c r="F69" i="7"/>
  <c r="F95" i="7" s="1"/>
  <c r="G69" i="7"/>
  <c r="G95" i="7" s="1"/>
  <c r="J69" i="7"/>
  <c r="S69" i="7"/>
  <c r="T69" i="7"/>
  <c r="U69" i="7"/>
  <c r="V69" i="7"/>
  <c r="V95" i="7" s="1"/>
  <c r="W69" i="7"/>
  <c r="X69" i="7"/>
  <c r="X95" i="7" s="1"/>
  <c r="Y69" i="7"/>
  <c r="Y95" i="7" s="1"/>
  <c r="Z69" i="7"/>
  <c r="AA69" i="7"/>
  <c r="AB69" i="7"/>
  <c r="AC69" i="7"/>
  <c r="AD69" i="7"/>
  <c r="AD95" i="7" s="1"/>
  <c r="AE69" i="7"/>
  <c r="AF69" i="7"/>
  <c r="AF95" i="7" s="1"/>
  <c r="AG69" i="7"/>
  <c r="AG95" i="7" s="1"/>
  <c r="AH69" i="7"/>
  <c r="AI69" i="7"/>
  <c r="AJ69" i="7"/>
  <c r="AK69" i="7"/>
  <c r="AL69" i="7"/>
  <c r="AM69" i="7"/>
  <c r="AN69" i="7"/>
  <c r="AN95" i="7" s="1"/>
  <c r="F71" i="7"/>
  <c r="G71" i="7"/>
  <c r="J71" i="7"/>
  <c r="S71" i="7"/>
  <c r="T71" i="7"/>
  <c r="U71" i="7"/>
  <c r="V71" i="7"/>
  <c r="W71" i="7"/>
  <c r="W73" i="7" s="1"/>
  <c r="W678" i="2" s="1"/>
  <c r="X71" i="7"/>
  <c r="Y71" i="7"/>
  <c r="Z71" i="7"/>
  <c r="AA71" i="7"/>
  <c r="AB71" i="7"/>
  <c r="AC71" i="7"/>
  <c r="AD71" i="7"/>
  <c r="AE71" i="7"/>
  <c r="AE73" i="7" s="1"/>
  <c r="AF71" i="7"/>
  <c r="AG71" i="7"/>
  <c r="AH71" i="7"/>
  <c r="AI71" i="7"/>
  <c r="AJ71" i="7"/>
  <c r="AK71" i="7"/>
  <c r="AL71" i="7"/>
  <c r="AM71" i="7"/>
  <c r="AM73" i="7" s="1"/>
  <c r="AN71" i="7"/>
  <c r="AN73" i="7" s="1"/>
  <c r="F72" i="7"/>
  <c r="N73" i="7" s="1"/>
  <c r="N107" i="7" s="1"/>
  <c r="G72" i="7"/>
  <c r="E72" i="7"/>
  <c r="E71" i="7"/>
  <c r="E69" i="7"/>
  <c r="E95" i="7" s="1"/>
  <c r="E68" i="7"/>
  <c r="E67" i="7"/>
  <c r="E87" i="7" s="1"/>
  <c r="E66" i="7"/>
  <c r="E83" i="7" s="1"/>
  <c r="E65" i="7"/>
  <c r="E64" i="7"/>
  <c r="F28" i="7"/>
  <c r="G28" i="7"/>
  <c r="F29" i="7"/>
  <c r="G29" i="7"/>
  <c r="F30" i="7"/>
  <c r="G30" i="7"/>
  <c r="F31" i="7"/>
  <c r="G31" i="7"/>
  <c r="F32" i="7"/>
  <c r="G32" i="7"/>
  <c r="F34" i="7"/>
  <c r="G34" i="7"/>
  <c r="E34" i="7"/>
  <c r="E32" i="7"/>
  <c r="E31" i="7"/>
  <c r="E30" i="7"/>
  <c r="E29" i="7"/>
  <c r="E28" i="7"/>
  <c r="F11" i="7"/>
  <c r="G11" i="7"/>
  <c r="J11" i="7"/>
  <c r="S11" i="7"/>
  <c r="T11" i="7"/>
  <c r="U11" i="7"/>
  <c r="V11" i="7"/>
  <c r="W11" i="7"/>
  <c r="X11" i="7"/>
  <c r="X50" i="7" s="1"/>
  <c r="Y11" i="7"/>
  <c r="Z11" i="7"/>
  <c r="Z50" i="7" s="1"/>
  <c r="Z78" i="7" s="1"/>
  <c r="AA11" i="7"/>
  <c r="AA50" i="7" s="1"/>
  <c r="AB11" i="7"/>
  <c r="AC11" i="7"/>
  <c r="AD11" i="7"/>
  <c r="AE11" i="7"/>
  <c r="AF11" i="7"/>
  <c r="AG11" i="7"/>
  <c r="AH11" i="7"/>
  <c r="AI11" i="7"/>
  <c r="AI50" i="7" s="1"/>
  <c r="AJ11" i="7"/>
  <c r="AK11" i="7"/>
  <c r="AL11" i="7"/>
  <c r="AM11" i="7"/>
  <c r="AN11" i="7"/>
  <c r="F12" i="7"/>
  <c r="G12" i="7"/>
  <c r="J12" i="7"/>
  <c r="S12" i="7"/>
  <c r="T12" i="7"/>
  <c r="U12" i="7"/>
  <c r="V12" i="7"/>
  <c r="W12" i="7"/>
  <c r="W51" i="7" s="1"/>
  <c r="W82" i="7" s="1"/>
  <c r="X12" i="7"/>
  <c r="Y12" i="7"/>
  <c r="Y51" i="7" s="1"/>
  <c r="Y82" i="7" s="1"/>
  <c r="Z12" i="7"/>
  <c r="Z51" i="7" s="1"/>
  <c r="AA12" i="7"/>
  <c r="AB12" i="7"/>
  <c r="AC12" i="7"/>
  <c r="AD12" i="7"/>
  <c r="AE12" i="7"/>
  <c r="AF12" i="7"/>
  <c r="AG12" i="7"/>
  <c r="AH12" i="7"/>
  <c r="AI12" i="7"/>
  <c r="AJ12" i="7"/>
  <c r="AK12" i="7"/>
  <c r="AL12" i="7"/>
  <c r="AM12" i="7"/>
  <c r="AN12" i="7"/>
  <c r="F13" i="7"/>
  <c r="G13" i="7"/>
  <c r="J13" i="7"/>
  <c r="S13" i="7"/>
  <c r="T13" i="7"/>
  <c r="U13" i="7"/>
  <c r="V13" i="7"/>
  <c r="V52" i="7" s="1"/>
  <c r="V86" i="7" s="1"/>
  <c r="W13" i="7"/>
  <c r="X13" i="7"/>
  <c r="X52" i="7" s="1"/>
  <c r="X86" i="7" s="1"/>
  <c r="Y13" i="7"/>
  <c r="Y52" i="7" s="1"/>
  <c r="Z13" i="7"/>
  <c r="AA13" i="7"/>
  <c r="AB13" i="7"/>
  <c r="AC13" i="7"/>
  <c r="AD13" i="7"/>
  <c r="AE13" i="7"/>
  <c r="AF13" i="7"/>
  <c r="AG13" i="7"/>
  <c r="AH13" i="7"/>
  <c r="AI13" i="7"/>
  <c r="AJ13" i="7"/>
  <c r="AK13" i="7"/>
  <c r="AL13" i="7"/>
  <c r="AM13" i="7"/>
  <c r="AN13" i="7"/>
  <c r="F14" i="7"/>
  <c r="G14" i="7"/>
  <c r="J14" i="7"/>
  <c r="S14" i="7"/>
  <c r="T14" i="7"/>
  <c r="U14" i="7"/>
  <c r="V14" i="7"/>
  <c r="W14" i="7"/>
  <c r="W53" i="7" s="1"/>
  <c r="X14" i="7"/>
  <c r="X53" i="7" s="1"/>
  <c r="Y14" i="7"/>
  <c r="Z14" i="7"/>
  <c r="AA14" i="7"/>
  <c r="AB14" i="7"/>
  <c r="AC14" i="7"/>
  <c r="AD14" i="7"/>
  <c r="AE14" i="7"/>
  <c r="AF14" i="7"/>
  <c r="AG14" i="7"/>
  <c r="AH14" i="7"/>
  <c r="AI14" i="7"/>
  <c r="AJ14" i="7"/>
  <c r="AK14" i="7"/>
  <c r="AL14" i="7"/>
  <c r="AM14" i="7"/>
  <c r="AN14" i="7"/>
  <c r="F15" i="7"/>
  <c r="G15" i="7"/>
  <c r="J15" i="7"/>
  <c r="S15" i="7"/>
  <c r="T15" i="7"/>
  <c r="U15" i="7"/>
  <c r="V15" i="7"/>
  <c r="V54" i="7" s="1"/>
  <c r="V94" i="7" s="1"/>
  <c r="W15" i="7"/>
  <c r="W54" i="7" s="1"/>
  <c r="X15" i="7"/>
  <c r="Y15" i="7"/>
  <c r="Z15" i="7"/>
  <c r="AA15" i="7"/>
  <c r="AB15" i="7"/>
  <c r="AB54" i="7" s="1"/>
  <c r="AB94" i="7" s="1"/>
  <c r="AC15" i="7"/>
  <c r="AD15" i="7"/>
  <c r="AE15" i="7"/>
  <c r="AF15" i="7"/>
  <c r="AG15" i="7"/>
  <c r="AH15" i="7"/>
  <c r="AI15" i="7"/>
  <c r="AJ15" i="7"/>
  <c r="AK15" i="7"/>
  <c r="AL15" i="7"/>
  <c r="AM15" i="7"/>
  <c r="AN15" i="7"/>
  <c r="F17" i="7"/>
  <c r="G17" i="7"/>
  <c r="J17" i="7"/>
  <c r="S17" i="7"/>
  <c r="T17" i="7"/>
  <c r="U17" i="7"/>
  <c r="V17" i="7"/>
  <c r="W17" i="7"/>
  <c r="X17" i="7"/>
  <c r="Y17" i="7"/>
  <c r="Z17" i="7"/>
  <c r="AA17" i="7"/>
  <c r="AA60" i="7" s="1"/>
  <c r="AB17" i="7"/>
  <c r="AC17" i="7"/>
  <c r="AD17" i="7"/>
  <c r="AE17" i="7"/>
  <c r="AF17" i="7"/>
  <c r="AG17" i="7"/>
  <c r="AH17" i="7"/>
  <c r="AI17" i="7"/>
  <c r="AJ17" i="7"/>
  <c r="AK17" i="7"/>
  <c r="AK60" i="7" s="1"/>
  <c r="AK115" i="2" s="1"/>
  <c r="AL17" i="7"/>
  <c r="AM17" i="7"/>
  <c r="AN17" i="7"/>
  <c r="E17" i="7"/>
  <c r="E15" i="7"/>
  <c r="E14" i="7"/>
  <c r="E13" i="7"/>
  <c r="E12" i="7"/>
  <c r="E11" i="7"/>
  <c r="L73" i="7"/>
  <c r="L107" i="7" s="1"/>
  <c r="P73" i="7"/>
  <c r="P678" i="2" s="1"/>
  <c r="Q73" i="7"/>
  <c r="Q678" i="2" s="1"/>
  <c r="G274" i="7"/>
  <c r="F274" i="7"/>
  <c r="K280" i="7" s="1"/>
  <c r="E274" i="7"/>
  <c r="G273" i="7"/>
  <c r="F273" i="7"/>
  <c r="E273" i="7"/>
  <c r="G198" i="7"/>
  <c r="F198" i="7"/>
  <c r="E198" i="7"/>
  <c r="G197" i="7"/>
  <c r="E197" i="7"/>
  <c r="F196" i="7"/>
  <c r="E196" i="7"/>
  <c r="G195" i="7"/>
  <c r="F195" i="7"/>
  <c r="E195" i="7"/>
  <c r="G527" i="7"/>
  <c r="F521" i="7"/>
  <c r="H519" i="7"/>
  <c r="G519" i="7"/>
  <c r="F519" i="7"/>
  <c r="E519" i="7"/>
  <c r="G506" i="7"/>
  <c r="H505" i="7"/>
  <c r="F505" i="7"/>
  <c r="E505" i="7"/>
  <c r="H504" i="7"/>
  <c r="F504" i="7"/>
  <c r="E504" i="7"/>
  <c r="J503" i="7"/>
  <c r="H503" i="7"/>
  <c r="G503" i="7"/>
  <c r="F503" i="7"/>
  <c r="E503" i="7"/>
  <c r="J502" i="7"/>
  <c r="H502" i="7"/>
  <c r="F502" i="7"/>
  <c r="E502" i="7"/>
  <c r="J501" i="7"/>
  <c r="H501" i="7"/>
  <c r="G501" i="7"/>
  <c r="F501" i="7"/>
  <c r="E501" i="7"/>
  <c r="G498" i="7"/>
  <c r="G502" i="7" s="1"/>
  <c r="J497" i="7"/>
  <c r="H497" i="7"/>
  <c r="G497" i="7"/>
  <c r="F497" i="7"/>
  <c r="E497" i="7"/>
  <c r="J496" i="7"/>
  <c r="H496" i="7"/>
  <c r="G496" i="7"/>
  <c r="F496" i="7"/>
  <c r="E496" i="7"/>
  <c r="J495" i="7"/>
  <c r="H495" i="7"/>
  <c r="G495" i="7"/>
  <c r="F495" i="7"/>
  <c r="E495" i="7"/>
  <c r="H494" i="7"/>
  <c r="G494" i="7"/>
  <c r="F494" i="7"/>
  <c r="E494" i="7"/>
  <c r="H493" i="7"/>
  <c r="G493" i="7"/>
  <c r="F493" i="7"/>
  <c r="E493" i="7"/>
  <c r="AP492" i="7"/>
  <c r="AO492" i="7"/>
  <c r="AM492" i="7"/>
  <c r="AJ492" i="7"/>
  <c r="AI492" i="7"/>
  <c r="AH492" i="7"/>
  <c r="AE492" i="7"/>
  <c r="AD492" i="7"/>
  <c r="AC492" i="7"/>
  <c r="AB492" i="7"/>
  <c r="AA492" i="7"/>
  <c r="Z492" i="7"/>
  <c r="W492" i="7"/>
  <c r="U492" i="7"/>
  <c r="T492" i="7"/>
  <c r="S492" i="7"/>
  <c r="J492" i="7"/>
  <c r="AP491" i="7"/>
  <c r="AO491" i="7"/>
  <c r="AN491" i="7"/>
  <c r="AL491" i="7"/>
  <c r="AK491" i="7"/>
  <c r="AJ491" i="7"/>
  <c r="AI491" i="7"/>
  <c r="AF491" i="7"/>
  <c r="AD491" i="7"/>
  <c r="AC491" i="7"/>
  <c r="AB491" i="7"/>
  <c r="AA491" i="7"/>
  <c r="X491" i="7"/>
  <c r="U491" i="7"/>
  <c r="T491" i="7"/>
  <c r="S491" i="7"/>
  <c r="F491" i="7"/>
  <c r="E491" i="7"/>
  <c r="AM490" i="7"/>
  <c r="AL490" i="7"/>
  <c r="AK490" i="7"/>
  <c r="AJ490" i="7"/>
  <c r="AG490" i="7"/>
  <c r="AE490" i="7"/>
  <c r="AD490" i="7"/>
  <c r="AC490" i="7"/>
  <c r="AB490" i="7"/>
  <c r="Y490" i="7"/>
  <c r="X490" i="7"/>
  <c r="V490" i="7"/>
  <c r="U490" i="7"/>
  <c r="T490" i="7"/>
  <c r="G490" i="7"/>
  <c r="E490" i="7"/>
  <c r="AP489" i="7"/>
  <c r="AN489" i="7"/>
  <c r="AM489" i="7"/>
  <c r="AL489" i="7"/>
  <c r="AK489" i="7"/>
  <c r="AH489" i="7"/>
  <c r="AF489" i="7"/>
  <c r="AE489" i="7"/>
  <c r="AD489" i="7"/>
  <c r="AC489" i="7"/>
  <c r="Z489" i="7"/>
  <c r="W489" i="7"/>
  <c r="V489" i="7"/>
  <c r="U489" i="7"/>
  <c r="J489" i="7"/>
  <c r="F489" i="7"/>
  <c r="E489" i="7"/>
  <c r="AP488" i="7"/>
  <c r="AO488" i="7"/>
  <c r="AN488" i="7"/>
  <c r="AM488" i="7"/>
  <c r="AL488" i="7"/>
  <c r="AI488" i="7"/>
  <c r="AG488" i="7"/>
  <c r="AF488" i="7"/>
  <c r="AE488" i="7"/>
  <c r="AD488" i="7"/>
  <c r="AA488" i="7"/>
  <c r="Z488" i="7"/>
  <c r="Y488" i="7"/>
  <c r="X488" i="7"/>
  <c r="W488" i="7"/>
  <c r="V488" i="7"/>
  <c r="S488" i="7"/>
  <c r="G488" i="7"/>
  <c r="F488" i="7"/>
  <c r="E488" i="7"/>
  <c r="AP487" i="7"/>
  <c r="AO487" i="7"/>
  <c r="AN487" i="7"/>
  <c r="AM487" i="7"/>
  <c r="AJ487" i="7"/>
  <c r="AH487" i="7"/>
  <c r="AG487" i="7"/>
  <c r="AF487" i="7"/>
  <c r="AE487" i="7"/>
  <c r="AB487" i="7"/>
  <c r="Z487" i="7"/>
  <c r="Y487" i="7"/>
  <c r="X487" i="7"/>
  <c r="W487" i="7"/>
  <c r="T487" i="7"/>
  <c r="J487" i="7"/>
  <c r="G487" i="7"/>
  <c r="F487" i="7"/>
  <c r="AO486" i="7"/>
  <c r="AN486" i="7"/>
  <c r="AK486" i="7"/>
  <c r="AI486" i="7"/>
  <c r="AH486" i="7"/>
  <c r="AG486" i="7"/>
  <c r="AF486" i="7"/>
  <c r="AC486" i="7"/>
  <c r="AA486" i="7"/>
  <c r="Z486" i="7"/>
  <c r="Y486" i="7"/>
  <c r="X486" i="7"/>
  <c r="U486" i="7"/>
  <c r="S486" i="7"/>
  <c r="J486" i="7"/>
  <c r="G486" i="7"/>
  <c r="F486" i="7"/>
  <c r="E486" i="7"/>
  <c r="G476" i="7"/>
  <c r="J475" i="7"/>
  <c r="H475" i="7"/>
  <c r="G475" i="7"/>
  <c r="F475" i="7"/>
  <c r="E475" i="7"/>
  <c r="J474" i="7"/>
  <c r="H474" i="7"/>
  <c r="G474" i="7"/>
  <c r="F474" i="7"/>
  <c r="E474" i="7"/>
  <c r="J473" i="7"/>
  <c r="H473" i="7"/>
  <c r="F473" i="7"/>
  <c r="E473" i="7"/>
  <c r="J466" i="7"/>
  <c r="H466" i="7"/>
  <c r="F466" i="7"/>
  <c r="E466" i="7"/>
  <c r="H463" i="7"/>
  <c r="G463" i="7"/>
  <c r="F463" i="7"/>
  <c r="E463" i="7"/>
  <c r="G454" i="7"/>
  <c r="H453" i="7"/>
  <c r="F453" i="7"/>
  <c r="E453" i="7"/>
  <c r="H452" i="7"/>
  <c r="F452" i="7"/>
  <c r="E452" i="7"/>
  <c r="H451" i="7"/>
  <c r="G451" i="7"/>
  <c r="F451" i="7"/>
  <c r="E451" i="7"/>
  <c r="H447" i="7"/>
  <c r="F447" i="7"/>
  <c r="E447" i="7"/>
  <c r="H444" i="7"/>
  <c r="G444" i="7"/>
  <c r="F444" i="7"/>
  <c r="E444" i="7"/>
  <c r="H436" i="7"/>
  <c r="G436" i="7"/>
  <c r="F436" i="7"/>
  <c r="E436" i="7"/>
  <c r="H428" i="7"/>
  <c r="G428" i="7"/>
  <c r="F428" i="7"/>
  <c r="E428" i="7"/>
  <c r="H422" i="7"/>
  <c r="H909" i="2" s="1"/>
  <c r="F422" i="7"/>
  <c r="F909" i="2" s="1"/>
  <c r="E422" i="7"/>
  <c r="E909" i="2" s="1"/>
  <c r="AP330" i="7"/>
  <c r="AF330" i="7"/>
  <c r="AE330" i="7"/>
  <c r="H419" i="7"/>
  <c r="H906" i="2" s="1"/>
  <c r="G419" i="7"/>
  <c r="G906" i="2" s="1"/>
  <c r="F419" i="7"/>
  <c r="F906" i="2" s="1"/>
  <c r="E419" i="7"/>
  <c r="E906" i="2" s="1"/>
  <c r="G416" i="7"/>
  <c r="G505" i="7" s="1"/>
  <c r="H415" i="7"/>
  <c r="F415" i="7"/>
  <c r="E415" i="7"/>
  <c r="H414" i="7"/>
  <c r="F414" i="7"/>
  <c r="E414" i="7"/>
  <c r="G411" i="7"/>
  <c r="AQ882" i="2"/>
  <c r="AP882" i="2"/>
  <c r="AN410" i="7"/>
  <c r="AN882" i="2" s="1"/>
  <c r="AM410" i="7"/>
  <c r="AM882" i="2" s="1"/>
  <c r="AJ410" i="7"/>
  <c r="AJ882" i="2" s="1"/>
  <c r="AI410" i="7"/>
  <c r="AI882" i="2" s="1"/>
  <c r="AH410" i="7"/>
  <c r="AH882" i="2" s="1"/>
  <c r="AG410" i="7"/>
  <c r="AG882" i="2" s="1"/>
  <c r="AF410" i="7"/>
  <c r="AF882" i="2" s="1"/>
  <c r="AB410" i="7"/>
  <c r="AB882" i="2" s="1"/>
  <c r="AA410" i="7"/>
  <c r="AA882" i="2" s="1"/>
  <c r="Z410" i="7"/>
  <c r="Z882" i="2" s="1"/>
  <c r="X410" i="7"/>
  <c r="X882" i="2" s="1"/>
  <c r="U410" i="7"/>
  <c r="U882" i="2" s="1"/>
  <c r="T410" i="7"/>
  <c r="T882" i="2" s="1"/>
  <c r="S410" i="7"/>
  <c r="S882" i="2" s="1"/>
  <c r="F410" i="7"/>
  <c r="F882" i="2" s="1"/>
  <c r="AN409" i="7"/>
  <c r="AN881" i="2" s="1"/>
  <c r="AL409" i="7"/>
  <c r="AL881" i="2" s="1"/>
  <c r="AH409" i="7"/>
  <c r="AH881" i="2" s="1"/>
  <c r="AG409" i="7"/>
  <c r="AG881" i="2" s="1"/>
  <c r="AF409" i="7"/>
  <c r="AF881" i="2" s="1"/>
  <c r="AD409" i="7"/>
  <c r="AD881" i="2" s="1"/>
  <c r="Z409" i="7"/>
  <c r="Z881" i="2" s="1"/>
  <c r="Y409" i="7"/>
  <c r="Y881" i="2" s="1"/>
  <c r="X409" i="7"/>
  <c r="X881" i="2" s="1"/>
  <c r="V409" i="7"/>
  <c r="V881" i="2" s="1"/>
  <c r="G409" i="7"/>
  <c r="G881" i="2" s="1"/>
  <c r="F409" i="7"/>
  <c r="F881" i="2" s="1"/>
  <c r="E409" i="7"/>
  <c r="E881" i="2" s="1"/>
  <c r="AS880" i="2"/>
  <c r="AO880" i="2"/>
  <c r="AN408" i="7"/>
  <c r="AN880" i="2" s="1"/>
  <c r="AJ408" i="7"/>
  <c r="AJ880" i="2" s="1"/>
  <c r="AI408" i="7"/>
  <c r="AI880" i="2" s="1"/>
  <c r="AH408" i="7"/>
  <c r="AH880" i="2" s="1"/>
  <c r="AF408" i="7"/>
  <c r="AB408" i="7"/>
  <c r="AB880" i="2" s="1"/>
  <c r="AA408" i="7"/>
  <c r="AA880" i="2" s="1"/>
  <c r="Z408" i="7"/>
  <c r="Z880" i="2" s="1"/>
  <c r="X408" i="7"/>
  <c r="X880" i="2" s="1"/>
  <c r="W408" i="7"/>
  <c r="W880" i="2" s="1"/>
  <c r="T408" i="7"/>
  <c r="T880" i="2" s="1"/>
  <c r="S408" i="7"/>
  <c r="S880" i="2" s="1"/>
  <c r="F408" i="7"/>
  <c r="F880" i="2" s="1"/>
  <c r="G405" i="7"/>
  <c r="G423" i="7" s="1"/>
  <c r="AO893" i="2"/>
  <c r="AM404" i="7"/>
  <c r="AM893" i="2" s="1"/>
  <c r="AI404" i="7"/>
  <c r="AI893" i="2" s="1"/>
  <c r="AH404" i="7"/>
  <c r="AH893" i="2" s="1"/>
  <c r="AG404" i="7"/>
  <c r="AG893" i="2" s="1"/>
  <c r="AE404" i="7"/>
  <c r="AE893" i="2" s="1"/>
  <c r="AD404" i="7"/>
  <c r="AD893" i="2" s="1"/>
  <c r="AA404" i="7"/>
  <c r="AA893" i="2" s="1"/>
  <c r="Z404" i="7"/>
  <c r="Z893" i="2" s="1"/>
  <c r="Y404" i="7"/>
  <c r="Y893" i="2" s="1"/>
  <c r="W404" i="7"/>
  <c r="W893" i="2" s="1"/>
  <c r="S404" i="7"/>
  <c r="S893" i="2" s="1"/>
  <c r="G404" i="7"/>
  <c r="G893" i="2" s="1"/>
  <c r="AP892" i="2"/>
  <c r="AO892" i="2"/>
  <c r="AN403" i="7"/>
  <c r="AN892" i="2" s="1"/>
  <c r="AM403" i="7"/>
  <c r="AM892" i="2" s="1"/>
  <c r="AK403" i="7"/>
  <c r="AK892" i="2" s="1"/>
  <c r="AG403" i="7"/>
  <c r="AG892" i="2" s="1"/>
  <c r="AF403" i="7"/>
  <c r="AF892" i="2" s="1"/>
  <c r="AE403" i="7"/>
  <c r="AE892" i="2" s="1"/>
  <c r="AC403" i="7"/>
  <c r="AC892" i="2" s="1"/>
  <c r="AB403" i="7"/>
  <c r="AB892" i="2" s="1"/>
  <c r="Z403" i="7"/>
  <c r="Z892" i="2" s="1"/>
  <c r="Y403" i="7"/>
  <c r="Y892" i="2" s="1"/>
  <c r="X403" i="7"/>
  <c r="X892" i="2" s="1"/>
  <c r="W403" i="7"/>
  <c r="W892" i="2" s="1"/>
  <c r="U403" i="7"/>
  <c r="U892" i="2" s="1"/>
  <c r="G403" i="7"/>
  <c r="G892" i="2" s="1"/>
  <c r="F403" i="7"/>
  <c r="F892" i="2"/>
  <c r="E403" i="7"/>
  <c r="E892" i="2" s="1"/>
  <c r="G400" i="7"/>
  <c r="G878" i="2" s="1"/>
  <c r="G922" i="2" s="1"/>
  <c r="H399" i="7"/>
  <c r="F399" i="7"/>
  <c r="E399" i="7"/>
  <c r="AS876" i="2"/>
  <c r="AR876" i="2"/>
  <c r="AP876" i="2"/>
  <c r="AO876" i="2"/>
  <c r="AK398" i="7"/>
  <c r="AK876" i="2" s="1"/>
  <c r="AJ398" i="7"/>
  <c r="AJ876" i="2" s="1"/>
  <c r="AI398" i="7"/>
  <c r="AI876" i="2" s="1"/>
  <c r="AG398" i="7"/>
  <c r="AG876" i="2" s="1"/>
  <c r="AC398" i="7"/>
  <c r="AC876" i="2" s="1"/>
  <c r="AB398" i="7"/>
  <c r="AB876" i="2" s="1"/>
  <c r="AA398" i="7"/>
  <c r="AA876" i="2" s="1"/>
  <c r="Y398" i="7"/>
  <c r="Y876" i="2" s="1"/>
  <c r="U398" i="7"/>
  <c r="U876" i="2" s="1"/>
  <c r="T398" i="7"/>
  <c r="T876" i="2" s="1"/>
  <c r="S398" i="7"/>
  <c r="S876" i="2" s="1"/>
  <c r="G398" i="7"/>
  <c r="G876" i="2" s="1"/>
  <c r="F398" i="7"/>
  <c r="F876" i="2" s="1"/>
  <c r="G396" i="7"/>
  <c r="AS873" i="2"/>
  <c r="AR873" i="2"/>
  <c r="AO873" i="2"/>
  <c r="AK395" i="7"/>
  <c r="AK873" i="2" s="1"/>
  <c r="AJ395" i="7"/>
  <c r="AI395" i="7"/>
  <c r="AI873" i="2" s="1"/>
  <c r="AG395" i="7"/>
  <c r="AG873" i="2" s="1"/>
  <c r="AC395" i="7"/>
  <c r="AC873" i="2" s="1"/>
  <c r="AB395" i="7"/>
  <c r="AB873" i="2" s="1"/>
  <c r="AA395" i="7"/>
  <c r="AA873" i="2" s="1"/>
  <c r="Y395" i="7"/>
  <c r="Y873" i="2" s="1"/>
  <c r="V395" i="7"/>
  <c r="V873" i="2" s="1"/>
  <c r="U395" i="7"/>
  <c r="U873" i="2" s="1"/>
  <c r="T395" i="7"/>
  <c r="T873" i="2" s="1"/>
  <c r="S395" i="7"/>
  <c r="S873" i="2" s="1"/>
  <c r="G395" i="7"/>
  <c r="G873" i="2" s="1"/>
  <c r="F395" i="7"/>
  <c r="F873" i="2" s="1"/>
  <c r="E395" i="7"/>
  <c r="E873" i="2" s="1"/>
  <c r="AP872" i="2"/>
  <c r="AM394" i="7"/>
  <c r="AI394" i="7"/>
  <c r="AI872" i="2" s="1"/>
  <c r="AH394" i="7"/>
  <c r="AG394" i="7"/>
  <c r="AG872" i="2" s="1"/>
  <c r="AE394" i="7"/>
  <c r="AE872" i="2" s="1"/>
  <c r="AA394" i="7"/>
  <c r="Z394" i="7"/>
  <c r="Z872" i="2" s="1"/>
  <c r="Y394" i="7"/>
  <c r="Y872" i="2" s="1"/>
  <c r="W394" i="7"/>
  <c r="V394" i="7"/>
  <c r="S394" i="7"/>
  <c r="G394" i="7"/>
  <c r="G872" i="2" s="1"/>
  <c r="E394" i="7"/>
  <c r="E872" i="2" s="1"/>
  <c r="AK440" i="7"/>
  <c r="AI440" i="7"/>
  <c r="AE440" i="7"/>
  <c r="S440" i="7"/>
  <c r="AI432" i="7"/>
  <c r="AG432" i="7"/>
  <c r="S432" i="7"/>
  <c r="F367" i="7"/>
  <c r="F368" i="7" s="1"/>
  <c r="F363" i="7"/>
  <c r="F362" i="7"/>
  <c r="F364" i="7" s="1"/>
  <c r="H354" i="7"/>
  <c r="G354" i="7"/>
  <c r="F354" i="7"/>
  <c r="E354" i="7"/>
  <c r="H353" i="7"/>
  <c r="G353" i="7"/>
  <c r="F353" i="7"/>
  <c r="E353" i="7"/>
  <c r="H352" i="7"/>
  <c r="G352" i="7"/>
  <c r="F352" i="7"/>
  <c r="E352" i="7"/>
  <c r="H351" i="7"/>
  <c r="G351" i="7"/>
  <c r="F351" i="7"/>
  <c r="E351" i="7"/>
  <c r="AP350" i="7"/>
  <c r="AO350" i="7"/>
  <c r="AM350" i="7"/>
  <c r="AL350" i="7"/>
  <c r="AK350" i="7"/>
  <c r="AJ350" i="7"/>
  <c r="AI350" i="7"/>
  <c r="AH350" i="7"/>
  <c r="AE350" i="7"/>
  <c r="AC350" i="7"/>
  <c r="AB350" i="7"/>
  <c r="AA350" i="7"/>
  <c r="Z350" i="7"/>
  <c r="W350" i="7"/>
  <c r="U350" i="7"/>
  <c r="T350" i="7"/>
  <c r="S350" i="7"/>
  <c r="J350" i="7"/>
  <c r="AP349" i="7"/>
  <c r="AO349" i="7"/>
  <c r="AN349" i="7"/>
  <c r="AL349" i="7"/>
  <c r="AK349" i="7"/>
  <c r="AJ349" i="7"/>
  <c r="AI349" i="7"/>
  <c r="AF349" i="7"/>
  <c r="AD349" i="7"/>
  <c r="AC349" i="7"/>
  <c r="AB349" i="7"/>
  <c r="AA349" i="7"/>
  <c r="X349" i="7"/>
  <c r="W349" i="7"/>
  <c r="V349" i="7"/>
  <c r="U349" i="7"/>
  <c r="T349" i="7"/>
  <c r="S349" i="7"/>
  <c r="F349" i="7"/>
  <c r="E349" i="7"/>
  <c r="AN348" i="7"/>
  <c r="AM348" i="7"/>
  <c r="AL348" i="7"/>
  <c r="AK348" i="7"/>
  <c r="AJ348" i="7"/>
  <c r="AG348" i="7"/>
  <c r="AE348" i="7"/>
  <c r="AD348" i="7"/>
  <c r="AC348" i="7"/>
  <c r="AB348" i="7"/>
  <c r="Y348" i="7"/>
  <c r="W348" i="7"/>
  <c r="V348" i="7"/>
  <c r="U348" i="7"/>
  <c r="T348" i="7"/>
  <c r="G348" i="7"/>
  <c r="E348" i="7"/>
  <c r="AP347" i="7"/>
  <c r="AN347" i="7"/>
  <c r="AM347" i="7"/>
  <c r="AL347" i="7"/>
  <c r="AK347" i="7"/>
  <c r="AH347" i="7"/>
  <c r="AF347" i="7"/>
  <c r="AE347" i="7"/>
  <c r="AD347" i="7"/>
  <c r="AC347" i="7"/>
  <c r="Z347" i="7"/>
  <c r="X347" i="7"/>
  <c r="W347" i="7"/>
  <c r="V347" i="7"/>
  <c r="U347" i="7"/>
  <c r="J347" i="7"/>
  <c r="F347" i="7"/>
  <c r="E347" i="7"/>
  <c r="AP346" i="7"/>
  <c r="AO346" i="7"/>
  <c r="AN346" i="7"/>
  <c r="AM346" i="7"/>
  <c r="AL346" i="7"/>
  <c r="AI346" i="7"/>
  <c r="AH346" i="7"/>
  <c r="AG346" i="7"/>
  <c r="AF346" i="7"/>
  <c r="AE346" i="7"/>
  <c r="AD346" i="7"/>
  <c r="AA346" i="7"/>
  <c r="Y346" i="7"/>
  <c r="X346" i="7"/>
  <c r="W346" i="7"/>
  <c r="V346" i="7"/>
  <c r="S346" i="7"/>
  <c r="G346" i="7"/>
  <c r="F346" i="7"/>
  <c r="E346" i="7"/>
  <c r="AP345" i="7"/>
  <c r="AO345" i="7"/>
  <c r="AN345" i="7"/>
  <c r="AM345" i="7"/>
  <c r="AJ345" i="7"/>
  <c r="AH345" i="7"/>
  <c r="AG345" i="7"/>
  <c r="AF345" i="7"/>
  <c r="AE345" i="7"/>
  <c r="AB345" i="7"/>
  <c r="Z345" i="7"/>
  <c r="Y345" i="7"/>
  <c r="X345" i="7"/>
  <c r="W345" i="7"/>
  <c r="T345" i="7"/>
  <c r="J345" i="7"/>
  <c r="G345" i="7"/>
  <c r="F345" i="7"/>
  <c r="AP344" i="7"/>
  <c r="AN344" i="7"/>
  <c r="AK344" i="7"/>
  <c r="AI344" i="7"/>
  <c r="AH344" i="7"/>
  <c r="AG344" i="7"/>
  <c r="AF344" i="7"/>
  <c r="AC344" i="7"/>
  <c r="AB344" i="7"/>
  <c r="AA344" i="7"/>
  <c r="Z344" i="7"/>
  <c r="Y344" i="7"/>
  <c r="X344" i="7"/>
  <c r="U344" i="7"/>
  <c r="S344" i="7"/>
  <c r="J344" i="7"/>
  <c r="G344" i="7"/>
  <c r="F344" i="7"/>
  <c r="E344" i="7"/>
  <c r="H343" i="7"/>
  <c r="G343" i="7"/>
  <c r="F343" i="7"/>
  <c r="E343" i="7"/>
  <c r="H330" i="7"/>
  <c r="G330" i="7"/>
  <c r="E330" i="7"/>
  <c r="H329" i="7"/>
  <c r="G329" i="7"/>
  <c r="F329" i="7"/>
  <c r="E329" i="7"/>
  <c r="H328" i="7"/>
  <c r="G328" i="7"/>
  <c r="F328" i="7"/>
  <c r="E328" i="7"/>
  <c r="H327" i="7"/>
  <c r="G327" i="7"/>
  <c r="F327" i="7"/>
  <c r="E327" i="7"/>
  <c r="AP326" i="7"/>
  <c r="AO326" i="7"/>
  <c r="AM326" i="7"/>
  <c r="AK326" i="7"/>
  <c r="AJ326" i="7"/>
  <c r="AI326" i="7"/>
  <c r="AH326" i="7"/>
  <c r="AE326" i="7"/>
  <c r="AD326" i="7"/>
  <c r="AC326" i="7"/>
  <c r="AB326" i="7"/>
  <c r="AA326" i="7"/>
  <c r="Z326" i="7"/>
  <c r="W326" i="7"/>
  <c r="U326" i="7"/>
  <c r="T326" i="7"/>
  <c r="S326" i="7"/>
  <c r="J326" i="7"/>
  <c r="AP325" i="7"/>
  <c r="AO325" i="7"/>
  <c r="AN325" i="7"/>
  <c r="AL325" i="7"/>
  <c r="AK325" i="7"/>
  <c r="AJ325" i="7"/>
  <c r="AI325" i="7"/>
  <c r="AF325" i="7"/>
  <c r="AD325" i="7"/>
  <c r="AC325" i="7"/>
  <c r="AB325" i="7"/>
  <c r="AA325" i="7"/>
  <c r="X325" i="7"/>
  <c r="V325" i="7"/>
  <c r="U325" i="7"/>
  <c r="T325" i="7"/>
  <c r="S325" i="7"/>
  <c r="F325" i="7"/>
  <c r="E325" i="7"/>
  <c r="AM324" i="7"/>
  <c r="AL324" i="7"/>
  <c r="AK324" i="7"/>
  <c r="AJ324" i="7"/>
  <c r="AG324" i="7"/>
  <c r="AF324" i="7"/>
  <c r="AE324" i="7"/>
  <c r="AD324" i="7"/>
  <c r="AC324" i="7"/>
  <c r="AB324" i="7"/>
  <c r="Y324" i="7"/>
  <c r="W324" i="7"/>
  <c r="V324" i="7"/>
  <c r="U324" i="7"/>
  <c r="T324" i="7"/>
  <c r="G324" i="7"/>
  <c r="E324" i="7"/>
  <c r="AP323" i="7"/>
  <c r="AO323" i="7"/>
  <c r="AN323" i="7"/>
  <c r="AM323" i="7"/>
  <c r="AL323" i="7"/>
  <c r="AK323" i="7"/>
  <c r="AH323" i="7"/>
  <c r="AF323" i="7"/>
  <c r="AE323" i="7"/>
  <c r="AD323" i="7"/>
  <c r="AC323" i="7"/>
  <c r="Z323" i="7"/>
  <c r="X323" i="7"/>
  <c r="W323" i="7"/>
  <c r="V323" i="7"/>
  <c r="U323" i="7"/>
  <c r="J323" i="7"/>
  <c r="F323" i="7"/>
  <c r="E323" i="7"/>
  <c r="AP322" i="7"/>
  <c r="AO322" i="7"/>
  <c r="AN322" i="7"/>
  <c r="AM322" i="7"/>
  <c r="AL322" i="7"/>
  <c r="AI322" i="7"/>
  <c r="AG322" i="7"/>
  <c r="AF322" i="7"/>
  <c r="AE322" i="7"/>
  <c r="AD322" i="7"/>
  <c r="AA322" i="7"/>
  <c r="Z322" i="7"/>
  <c r="Y322" i="7"/>
  <c r="X322" i="7"/>
  <c r="W322" i="7"/>
  <c r="V322" i="7"/>
  <c r="S322" i="7"/>
  <c r="G322" i="7"/>
  <c r="F322" i="7"/>
  <c r="E322" i="7"/>
  <c r="AP321" i="7"/>
  <c r="AO321" i="7"/>
  <c r="AN321" i="7"/>
  <c r="AM321" i="7"/>
  <c r="AL321" i="7"/>
  <c r="AJ321" i="7"/>
  <c r="AI321" i="7"/>
  <c r="AH321" i="7"/>
  <c r="AG321" i="7"/>
  <c r="AF321" i="7"/>
  <c r="AE321" i="7"/>
  <c r="AD321" i="7"/>
  <c r="AB321" i="7"/>
  <c r="Z321" i="7"/>
  <c r="Y321" i="7"/>
  <c r="X321" i="7"/>
  <c r="W321" i="7"/>
  <c r="V321" i="7"/>
  <c r="T321" i="7"/>
  <c r="J321" i="7"/>
  <c r="G321" i="7"/>
  <c r="F321" i="7"/>
  <c r="AN320" i="7"/>
  <c r="AK320" i="7"/>
  <c r="AI320" i="7"/>
  <c r="AH320" i="7"/>
  <c r="AG320" i="7"/>
  <c r="AF320" i="7"/>
  <c r="AC320" i="7"/>
  <c r="AA320" i="7"/>
  <c r="Z320" i="7"/>
  <c r="Y320" i="7"/>
  <c r="X320" i="7"/>
  <c r="U320" i="7"/>
  <c r="S320" i="7"/>
  <c r="J320" i="7"/>
  <c r="G320" i="7"/>
  <c r="F320" i="7"/>
  <c r="E320" i="7"/>
  <c r="H317" i="7"/>
  <c r="G317" i="7"/>
  <c r="F317" i="7"/>
  <c r="E317" i="7"/>
  <c r="AL312" i="7"/>
  <c r="AL329" i="7" s="1"/>
  <c r="AK312" i="7"/>
  <c r="AJ312" i="7"/>
  <c r="AJ329" i="7" s="1"/>
  <c r="AD312" i="7"/>
  <c r="AD629" i="2" s="1"/>
  <c r="AC312" i="7"/>
  <c r="AB312" i="7"/>
  <c r="V312" i="7"/>
  <c r="V629" i="2" s="1"/>
  <c r="U312" i="7"/>
  <c r="U329" i="7" s="1"/>
  <c r="T312" i="7"/>
  <c r="T329" i="7" s="1"/>
  <c r="H302" i="7"/>
  <c r="G302" i="7"/>
  <c r="F302" i="7"/>
  <c r="E302" i="7"/>
  <c r="H301" i="7"/>
  <c r="G301" i="7"/>
  <c r="F301" i="7"/>
  <c r="E301" i="7"/>
  <c r="H286" i="7"/>
  <c r="G286" i="7"/>
  <c r="F286" i="7"/>
  <c r="E286" i="7"/>
  <c r="H276" i="7"/>
  <c r="G276" i="7"/>
  <c r="F276" i="7"/>
  <c r="E276" i="7"/>
  <c r="H264" i="7"/>
  <c r="G264" i="7"/>
  <c r="F264" i="7"/>
  <c r="E264" i="7"/>
  <c r="H260" i="7"/>
  <c r="H268" i="7" s="1"/>
  <c r="G260" i="7"/>
  <c r="G268" i="7" s="1"/>
  <c r="F260" i="7"/>
  <c r="F268" i="7" s="1"/>
  <c r="E260" i="7"/>
  <c r="E268" i="7" s="1"/>
  <c r="H259" i="7"/>
  <c r="G259" i="7"/>
  <c r="F259" i="7"/>
  <c r="E259" i="7"/>
  <c r="H258" i="7"/>
  <c r="G258" i="7"/>
  <c r="F258" i="7"/>
  <c r="E258" i="7"/>
  <c r="H253" i="7"/>
  <c r="G253" i="7"/>
  <c r="F253" i="7"/>
  <c r="E253" i="7"/>
  <c r="H226" i="7"/>
  <c r="G226" i="7"/>
  <c r="F226" i="7"/>
  <c r="E226" i="7"/>
  <c r="H225" i="7"/>
  <c r="G225" i="7"/>
  <c r="F225" i="7"/>
  <c r="E225" i="7"/>
  <c r="H222" i="7"/>
  <c r="G222" i="7"/>
  <c r="F222" i="7"/>
  <c r="E222" i="7"/>
  <c r="H221" i="7"/>
  <c r="F221" i="7"/>
  <c r="E221" i="7"/>
  <c r="H218" i="7"/>
  <c r="G218" i="7"/>
  <c r="F218" i="7"/>
  <c r="E218" i="7"/>
  <c r="H217" i="7"/>
  <c r="G217" i="7"/>
  <c r="F217" i="7"/>
  <c r="E217" i="7"/>
  <c r="G211" i="7"/>
  <c r="E211" i="7"/>
  <c r="G210" i="7"/>
  <c r="E210" i="7"/>
  <c r="G209" i="7"/>
  <c r="E209" i="7"/>
  <c r="F186" i="7"/>
  <c r="H184" i="7"/>
  <c r="G184" i="7"/>
  <c r="F184" i="7"/>
  <c r="E184" i="7"/>
  <c r="H177" i="7"/>
  <c r="G177" i="7"/>
  <c r="F177" i="7"/>
  <c r="E177" i="7"/>
  <c r="AP176" i="7"/>
  <c r="AO176" i="7"/>
  <c r="AM176" i="7"/>
  <c r="AK176" i="7"/>
  <c r="AJ176" i="7"/>
  <c r="AI176" i="7"/>
  <c r="AH176" i="7"/>
  <c r="AE176" i="7"/>
  <c r="AC176" i="7"/>
  <c r="AB176" i="7"/>
  <c r="AA176" i="7"/>
  <c r="Z176" i="7"/>
  <c r="W176" i="7"/>
  <c r="V176" i="7"/>
  <c r="U176" i="7"/>
  <c r="T176" i="7"/>
  <c r="S176" i="7"/>
  <c r="J176" i="7"/>
  <c r="AP175" i="7"/>
  <c r="AO175" i="7"/>
  <c r="AN175" i="7"/>
  <c r="AM175" i="7"/>
  <c r="AL175" i="7"/>
  <c r="AK175" i="7"/>
  <c r="AJ175" i="7"/>
  <c r="AI175" i="7"/>
  <c r="AF175" i="7"/>
  <c r="AD175" i="7"/>
  <c r="AC175" i="7"/>
  <c r="AB175" i="7"/>
  <c r="AA175" i="7"/>
  <c r="X175" i="7"/>
  <c r="V175" i="7"/>
  <c r="U175" i="7"/>
  <c r="T175" i="7"/>
  <c r="S175" i="7"/>
  <c r="F175" i="7"/>
  <c r="E175" i="7"/>
  <c r="AP174" i="7"/>
  <c r="AM174" i="7"/>
  <c r="AL174" i="7"/>
  <c r="AK174" i="7"/>
  <c r="AJ174" i="7"/>
  <c r="AG174" i="7"/>
  <c r="AE174" i="7"/>
  <c r="AD174" i="7"/>
  <c r="AC174" i="7"/>
  <c r="AB174" i="7"/>
  <c r="Y174" i="7"/>
  <c r="W174" i="7"/>
  <c r="V174" i="7"/>
  <c r="U174" i="7"/>
  <c r="T174" i="7"/>
  <c r="G174" i="7"/>
  <c r="E174" i="7"/>
  <c r="AP173" i="7"/>
  <c r="AO173" i="7"/>
  <c r="AN173" i="7"/>
  <c r="AM173" i="7"/>
  <c r="AL173" i="7"/>
  <c r="AK173" i="7"/>
  <c r="AH173" i="7"/>
  <c r="AG173" i="7"/>
  <c r="AF173" i="7"/>
  <c r="AE173" i="7"/>
  <c r="AD173" i="7"/>
  <c r="AC173" i="7"/>
  <c r="Z173" i="7"/>
  <c r="X173" i="7"/>
  <c r="W173" i="7"/>
  <c r="V173" i="7"/>
  <c r="U173" i="7"/>
  <c r="J173" i="7"/>
  <c r="F173" i="7"/>
  <c r="E173" i="7"/>
  <c r="AP172" i="7"/>
  <c r="AO172" i="7"/>
  <c r="AN172" i="7"/>
  <c r="AM172" i="7"/>
  <c r="AL172" i="7"/>
  <c r="AI172" i="7"/>
  <c r="AG172" i="7"/>
  <c r="AF172" i="7"/>
  <c r="AE172" i="7"/>
  <c r="AD172" i="7"/>
  <c r="AA172" i="7"/>
  <c r="Y172" i="7"/>
  <c r="X172" i="7"/>
  <c r="W172" i="7"/>
  <c r="V172" i="7"/>
  <c r="S172" i="7"/>
  <c r="G172" i="7"/>
  <c r="F172" i="7"/>
  <c r="E172" i="7"/>
  <c r="AP171" i="7"/>
  <c r="AO171" i="7"/>
  <c r="AN171" i="7"/>
  <c r="AM171" i="7"/>
  <c r="AJ171" i="7"/>
  <c r="AH171" i="7"/>
  <c r="AG171" i="7"/>
  <c r="AF171" i="7"/>
  <c r="AE171" i="7"/>
  <c r="AB171" i="7"/>
  <c r="AA171" i="7"/>
  <c r="Z171" i="7"/>
  <c r="Y171" i="7"/>
  <c r="X171" i="7"/>
  <c r="W171" i="7"/>
  <c r="T171" i="7"/>
  <c r="J171" i="7"/>
  <c r="G171" i="7"/>
  <c r="F171" i="7"/>
  <c r="AN170" i="7"/>
  <c r="AK170" i="7"/>
  <c r="AI170" i="7"/>
  <c r="AH170" i="7"/>
  <c r="AG170" i="7"/>
  <c r="AF170" i="7"/>
  <c r="AC170" i="7"/>
  <c r="AA170" i="7"/>
  <c r="Z170" i="7"/>
  <c r="Y170" i="7"/>
  <c r="X170" i="7"/>
  <c r="U170" i="7"/>
  <c r="S170" i="7"/>
  <c r="J170" i="7"/>
  <c r="G170" i="7"/>
  <c r="F170" i="7"/>
  <c r="E170" i="7"/>
  <c r="J169" i="7"/>
  <c r="H169" i="7"/>
  <c r="G169" i="7"/>
  <c r="F169" i="7"/>
  <c r="E169" i="7"/>
  <c r="H165" i="7"/>
  <c r="G165" i="7"/>
  <c r="F165" i="7"/>
  <c r="E165" i="7"/>
  <c r="H164" i="7"/>
  <c r="G164" i="7"/>
  <c r="F164" i="7"/>
  <c r="E164" i="7"/>
  <c r="H163" i="7"/>
  <c r="G163" i="7"/>
  <c r="F163" i="7"/>
  <c r="E163" i="7"/>
  <c r="AL160" i="7"/>
  <c r="AL286" i="7" s="1"/>
  <c r="AK160" i="7"/>
  <c r="AK253" i="7" s="1"/>
  <c r="AJ160" i="7"/>
  <c r="AJ550" i="2" s="1"/>
  <c r="AJ556" i="2" s="1"/>
  <c r="AF160" i="7"/>
  <c r="AF264" i="7" s="1"/>
  <c r="AD160" i="7"/>
  <c r="AC160" i="7"/>
  <c r="AC550" i="2" s="1"/>
  <c r="AC556" i="2" s="1"/>
  <c r="AB160" i="7"/>
  <c r="AB550" i="2" s="1"/>
  <c r="AB556" i="2" s="1"/>
  <c r="V550" i="2"/>
  <c r="V556" i="2" s="1"/>
  <c r="U160" i="7"/>
  <c r="U463" i="7" s="1"/>
  <c r="T160" i="7"/>
  <c r="T550" i="2" s="1"/>
  <c r="T556" i="2" s="1"/>
  <c r="AJ154" i="7"/>
  <c r="AJ392" i="2" s="1"/>
  <c r="AB154" i="7"/>
  <c r="AB392" i="2" s="1"/>
  <c r="Z154" i="7"/>
  <c r="Y154" i="7"/>
  <c r="Y392" i="2" s="1"/>
  <c r="X154" i="7"/>
  <c r="X392" i="2" s="1"/>
  <c r="W154" i="7"/>
  <c r="W392" i="2" s="1"/>
  <c r="AK153" i="7"/>
  <c r="AK499" i="2" s="1"/>
  <c r="AA153" i="7"/>
  <c r="AA499" i="2" s="1"/>
  <c r="Z153" i="7"/>
  <c r="Z499" i="2" s="1"/>
  <c r="Y153" i="7"/>
  <c r="Y499" i="2" s="1"/>
  <c r="X153" i="7"/>
  <c r="X499" i="2" s="1"/>
  <c r="J152" i="7"/>
  <c r="H152" i="7"/>
  <c r="G152" i="7"/>
  <c r="F152" i="7"/>
  <c r="E152" i="7"/>
  <c r="H148" i="7"/>
  <c r="G148" i="7"/>
  <c r="F148" i="7"/>
  <c r="E148" i="7"/>
  <c r="AJ140" i="7"/>
  <c r="AJ493" i="2" s="1"/>
  <c r="AB140" i="7"/>
  <c r="AB493" i="2" s="1"/>
  <c r="AA140" i="7"/>
  <c r="AA493" i="2" s="1"/>
  <c r="Z140" i="7"/>
  <c r="Z493" i="2" s="1"/>
  <c r="Y140" i="7"/>
  <c r="Y493" i="2" s="1"/>
  <c r="V140" i="7"/>
  <c r="V493" i="2" s="1"/>
  <c r="E133" i="7"/>
  <c r="H111" i="7"/>
  <c r="F111" i="7"/>
  <c r="E111" i="7"/>
  <c r="H110" i="7"/>
  <c r="G110" i="7"/>
  <c r="F110" i="7"/>
  <c r="E110" i="7"/>
  <c r="G108" i="7"/>
  <c r="H107" i="7"/>
  <c r="G107" i="7"/>
  <c r="F107" i="7"/>
  <c r="E107" i="7"/>
  <c r="H106" i="7"/>
  <c r="G106" i="7"/>
  <c r="F106" i="7"/>
  <c r="E106" i="7"/>
  <c r="H102" i="7"/>
  <c r="G102" i="7"/>
  <c r="F102" i="7"/>
  <c r="E102" i="7"/>
  <c r="H101" i="7"/>
  <c r="G101" i="7"/>
  <c r="F101" i="7"/>
  <c r="E101" i="7"/>
  <c r="H100" i="7"/>
  <c r="G100" i="7"/>
  <c r="F100" i="7"/>
  <c r="E100" i="7"/>
  <c r="H99" i="7"/>
  <c r="G99" i="7"/>
  <c r="F99" i="7"/>
  <c r="E99" i="7"/>
  <c r="H98" i="7"/>
  <c r="G98" i="7"/>
  <c r="F98" i="7"/>
  <c r="E98" i="7"/>
  <c r="AM95" i="7"/>
  <c r="AL95" i="7"/>
  <c r="AK95" i="7"/>
  <c r="AJ95" i="7"/>
  <c r="AI95" i="7"/>
  <c r="AH95" i="7"/>
  <c r="AE95" i="7"/>
  <c r="AC95" i="7"/>
  <c r="AB95" i="7"/>
  <c r="AA95" i="7"/>
  <c r="Z95" i="7"/>
  <c r="W95" i="7"/>
  <c r="U95" i="7"/>
  <c r="T95" i="7"/>
  <c r="S95" i="7"/>
  <c r="H94" i="7"/>
  <c r="G94" i="7"/>
  <c r="F94" i="7"/>
  <c r="E94" i="7"/>
  <c r="AP91" i="7"/>
  <c r="AN91" i="7"/>
  <c r="AL91" i="7"/>
  <c r="AK91" i="7"/>
  <c r="AJ91" i="7"/>
  <c r="AI91" i="7"/>
  <c r="AF91" i="7"/>
  <c r="AD91" i="7"/>
  <c r="AC91" i="7"/>
  <c r="AB91" i="7"/>
  <c r="AA91" i="7"/>
  <c r="X91" i="7"/>
  <c r="V91" i="7"/>
  <c r="U91" i="7"/>
  <c r="T91" i="7"/>
  <c r="S91" i="7"/>
  <c r="F91" i="7"/>
  <c r="E91" i="7"/>
  <c r="H90" i="7"/>
  <c r="G90" i="7"/>
  <c r="F90" i="7"/>
  <c r="E90" i="7"/>
  <c r="AP87" i="7"/>
  <c r="AO87" i="7"/>
  <c r="AM87" i="7"/>
  <c r="AL87" i="7"/>
  <c r="AK87" i="7"/>
  <c r="AJ87" i="7"/>
  <c r="AG87" i="7"/>
  <c r="AF87" i="7"/>
  <c r="AE87" i="7"/>
  <c r="AD87" i="7"/>
  <c r="AC87" i="7"/>
  <c r="AB87" i="7"/>
  <c r="Y87" i="7"/>
  <c r="W87" i="7"/>
  <c r="V87" i="7"/>
  <c r="U87" i="7"/>
  <c r="T87" i="7"/>
  <c r="G87" i="7"/>
  <c r="H86" i="7"/>
  <c r="G86" i="7"/>
  <c r="F86" i="7"/>
  <c r="E86" i="7"/>
  <c r="AP83" i="7"/>
  <c r="AO83" i="7"/>
  <c r="AN83" i="7"/>
  <c r="AM83" i="7"/>
  <c r="AL83" i="7"/>
  <c r="AK83" i="7"/>
  <c r="AH83" i="7"/>
  <c r="AG83" i="7"/>
  <c r="AF83" i="7"/>
  <c r="AE83" i="7"/>
  <c r="AD83" i="7"/>
  <c r="AC83" i="7"/>
  <c r="Z83" i="7"/>
  <c r="X83" i="7"/>
  <c r="W83" i="7"/>
  <c r="V83" i="7"/>
  <c r="U83" i="7"/>
  <c r="F83" i="7"/>
  <c r="H82" i="7"/>
  <c r="G82" i="7"/>
  <c r="F82" i="7"/>
  <c r="E82" i="7"/>
  <c r="AN79" i="7"/>
  <c r="AM79" i="7"/>
  <c r="AL79" i="7"/>
  <c r="AI79" i="7"/>
  <c r="AG79" i="7"/>
  <c r="AF79" i="7"/>
  <c r="AE79" i="7"/>
  <c r="AD79" i="7"/>
  <c r="AA79" i="7"/>
  <c r="Y79" i="7"/>
  <c r="X79" i="7"/>
  <c r="W79" i="7"/>
  <c r="V79" i="7"/>
  <c r="S79" i="7"/>
  <c r="G79" i="7"/>
  <c r="F79" i="7"/>
  <c r="E79" i="7"/>
  <c r="H78" i="7"/>
  <c r="G78" i="7"/>
  <c r="F78" i="7"/>
  <c r="E78" i="7"/>
  <c r="AL73" i="7"/>
  <c r="AL107" i="7" s="1"/>
  <c r="AJ73" i="7"/>
  <c r="AJ678" i="2" s="1"/>
  <c r="AI73" i="7"/>
  <c r="AI678" i="2" s="1"/>
  <c r="AH73" i="7"/>
  <c r="AH678" i="2" s="1"/>
  <c r="AG73" i="7"/>
  <c r="AG107" i="7" s="1"/>
  <c r="AD73" i="7"/>
  <c r="AD678" i="2" s="1"/>
  <c r="AC73" i="7"/>
  <c r="AC107" i="7" s="1"/>
  <c r="AB73" i="7"/>
  <c r="AB678" i="2"/>
  <c r="AA73" i="7"/>
  <c r="AA678" i="2" s="1"/>
  <c r="Z73" i="7"/>
  <c r="Z678" i="2" s="1"/>
  <c r="Y73" i="7"/>
  <c r="Y314" i="2" s="1"/>
  <c r="V73" i="7"/>
  <c r="V678" i="2" s="1"/>
  <c r="U73" i="7"/>
  <c r="U678" i="2" s="1"/>
  <c r="T73" i="7"/>
  <c r="T107" i="7" s="1"/>
  <c r="S73" i="7"/>
  <c r="S314" i="2" s="1"/>
  <c r="AJ60" i="7"/>
  <c r="AJ115" i="2" s="1"/>
  <c r="AB60" i="7"/>
  <c r="AB106" i="7" s="1"/>
  <c r="Z60" i="7"/>
  <c r="Z109" i="2" s="1"/>
  <c r="Y60" i="7"/>
  <c r="Y109" i="2" s="1"/>
  <c r="X60" i="7"/>
  <c r="X109" i="2" s="1"/>
  <c r="AA54" i="7"/>
  <c r="AA85" i="2" s="1"/>
  <c r="Z54" i="7"/>
  <c r="Z94" i="7" s="1"/>
  <c r="Y54" i="7"/>
  <c r="Y94" i="7" s="1"/>
  <c r="Y96" i="7" s="1"/>
  <c r="Y102" i="7" s="1"/>
  <c r="X54" i="7"/>
  <c r="X94" i="7" s="1"/>
  <c r="AB53" i="7"/>
  <c r="AB90" i="7" s="1"/>
  <c r="AB92" i="7" s="1"/>
  <c r="AB101" i="7" s="1"/>
  <c r="AA53" i="7"/>
  <c r="AA90" i="7" s="1"/>
  <c r="Z53" i="7"/>
  <c r="Z90" i="7" s="1"/>
  <c r="Y53" i="7"/>
  <c r="Y90" i="7" s="1"/>
  <c r="V53" i="7"/>
  <c r="V90" i="7" s="1"/>
  <c r="AK52" i="7"/>
  <c r="AJ52" i="7"/>
  <c r="AJ86" i="7" s="1"/>
  <c r="AI52" i="7"/>
  <c r="AI83" i="2" s="1"/>
  <c r="AB52" i="7"/>
  <c r="AB83" i="2" s="1"/>
  <c r="AA52" i="7"/>
  <c r="AA86" i="7" s="1"/>
  <c r="Z52" i="7"/>
  <c r="Z86" i="7" s="1"/>
  <c r="W52" i="7"/>
  <c r="AK51" i="7"/>
  <c r="AK82" i="2" s="1"/>
  <c r="AJ51" i="7"/>
  <c r="AJ82" i="7" s="1"/>
  <c r="AJ84" i="7" s="1"/>
  <c r="AJ99" i="7" s="1"/>
  <c r="AI51" i="7"/>
  <c r="AI82" i="7" s="1"/>
  <c r="AB51" i="7"/>
  <c r="AB82" i="7" s="1"/>
  <c r="AA51" i="7"/>
  <c r="AA82" i="2" s="1"/>
  <c r="X51" i="7"/>
  <c r="X82" i="7" s="1"/>
  <c r="X84" i="7" s="1"/>
  <c r="X99" i="7" s="1"/>
  <c r="V51" i="7"/>
  <c r="V82" i="7" s="1"/>
  <c r="V84" i="7" s="1"/>
  <c r="V99" i="7" s="1"/>
  <c r="AK50" i="7"/>
  <c r="AK66" i="2" s="1"/>
  <c r="AJ50" i="7"/>
  <c r="AJ56" i="2" s="1"/>
  <c r="AB50" i="7"/>
  <c r="AB66" i="2" s="1"/>
  <c r="Y50" i="7"/>
  <c r="Y56" i="2" s="1"/>
  <c r="H45" i="7"/>
  <c r="H133" i="7" s="1"/>
  <c r="G45" i="7"/>
  <c r="G133" i="7"/>
  <c r="F45" i="7"/>
  <c r="F133" i="7"/>
  <c r="A1" i="7"/>
  <c r="K214" i="7"/>
  <c r="K222" i="7" s="1"/>
  <c r="L214" i="7"/>
  <c r="L222" i="7" s="1"/>
  <c r="M214" i="7"/>
  <c r="M222" i="7" s="1"/>
  <c r="N214" i="7"/>
  <c r="N222" i="7" s="1"/>
  <c r="O214" i="7"/>
  <c r="O222" i="7" s="1"/>
  <c r="G239" i="7"/>
  <c r="W330" i="7"/>
  <c r="Q107" i="7"/>
  <c r="Q314" i="2"/>
  <c r="AS214" i="7"/>
  <c r="AS222" i="7" s="1"/>
  <c r="AQ214" i="7"/>
  <c r="AQ222" i="7" s="1"/>
  <c r="AR214" i="7"/>
  <c r="AR222" i="7" s="1"/>
  <c r="AB109" i="2"/>
  <c r="AO214" i="7"/>
  <c r="AO222" i="7" s="1"/>
  <c r="P214" i="7"/>
  <c r="P222" i="7" s="1"/>
  <c r="Q214" i="7"/>
  <c r="Q222" i="7" s="1"/>
  <c r="R214" i="7"/>
  <c r="R222" i="7" s="1"/>
  <c r="W872" i="2"/>
  <c r="AM872" i="2"/>
  <c r="AQ629" i="2"/>
  <c r="G414" i="7"/>
  <c r="AM330" i="7"/>
  <c r="T629" i="2"/>
  <c r="AB329" i="7"/>
  <c r="AB629" i="2"/>
  <c r="AI107" i="7"/>
  <c r="AI314" i="2"/>
  <c r="AC329" i="7"/>
  <c r="AC629" i="2"/>
  <c r="AK329" i="7"/>
  <c r="AK629" i="2"/>
  <c r="AH872" i="2"/>
  <c r="Y330" i="7"/>
  <c r="AG330" i="7"/>
  <c r="AB107" i="7"/>
  <c r="AB314" i="2"/>
  <c r="AJ107" i="7"/>
  <c r="AD329" i="7"/>
  <c r="AA872" i="2"/>
  <c r="AI396" i="7"/>
  <c r="AI422" i="7" s="1"/>
  <c r="AI909" i="2" s="1"/>
  <c r="AQ872" i="2"/>
  <c r="Z330" i="7"/>
  <c r="AH330" i="7"/>
  <c r="Z107" i="7"/>
  <c r="V107" i="7"/>
  <c r="V314" i="2"/>
  <c r="U550" i="2"/>
  <c r="U556" i="2" s="1"/>
  <c r="AC165" i="7"/>
  <c r="U872" i="2"/>
  <c r="AC872" i="2"/>
  <c r="AS872" i="2"/>
  <c r="AH107" i="7"/>
  <c r="AH314" i="2"/>
  <c r="V165" i="7"/>
  <c r="AD165" i="7"/>
  <c r="AD550" i="2"/>
  <c r="AD556" i="2" s="1"/>
  <c r="AL165" i="7"/>
  <c r="AL550" i="2"/>
  <c r="AL556" i="2" s="1"/>
  <c r="V872" i="2"/>
  <c r="G422" i="7"/>
  <c r="G909" i="2" s="1"/>
  <c r="G874" i="2"/>
  <c r="G877" i="2" s="1"/>
  <c r="G415" i="7"/>
  <c r="G883" i="2"/>
  <c r="AK86" i="7"/>
  <c r="AK88" i="7" s="1"/>
  <c r="AK100" i="7" s="1"/>
  <c r="AB214" i="7"/>
  <c r="AB222" i="7" s="1"/>
  <c r="AJ214" i="7"/>
  <c r="AJ222" i="7" s="1"/>
  <c r="AH214" i="7"/>
  <c r="AH222" i="7" s="1"/>
  <c r="AI214" i="7"/>
  <c r="AI222" i="7" s="1"/>
  <c r="S214" i="7"/>
  <c r="S222" i="7" s="1"/>
  <c r="AP214" i="7"/>
  <c r="AP222" i="7" s="1"/>
  <c r="T214" i="7"/>
  <c r="T222" i="7" s="1"/>
  <c r="Z214" i="7"/>
  <c r="Z222" i="7" s="1"/>
  <c r="AA214" i="7"/>
  <c r="AA222" i="7" s="1"/>
  <c r="U214" i="7"/>
  <c r="U222" i="7" s="1"/>
  <c r="AC214" i="7"/>
  <c r="AC222" i="7" s="1"/>
  <c r="AK214" i="7"/>
  <c r="AK222" i="7" s="1"/>
  <c r="V214" i="7"/>
  <c r="V222" i="7" s="1"/>
  <c r="AD214" i="7"/>
  <c r="AD222" i="7" s="1"/>
  <c r="W214" i="7"/>
  <c r="W222" i="7" s="1"/>
  <c r="AM214" i="7"/>
  <c r="AM222" i="7" s="1"/>
  <c r="X214" i="7"/>
  <c r="X222" i="7" s="1"/>
  <c r="AF214" i="7"/>
  <c r="AF222" i="7" s="1"/>
  <c r="AN214" i="7"/>
  <c r="AN222" i="7" s="1"/>
  <c r="AL214" i="7"/>
  <c r="AL222" i="7" s="1"/>
  <c r="AE214" i="7"/>
  <c r="AE222" i="7" s="1"/>
  <c r="Y214" i="7"/>
  <c r="Y222" i="7" s="1"/>
  <c r="AG214" i="7"/>
  <c r="AG222" i="7" s="1"/>
  <c r="AL411" i="7"/>
  <c r="AL415" i="7" s="1"/>
  <c r="AE405" i="7"/>
  <c r="AE423" i="7" s="1"/>
  <c r="AD253" i="7"/>
  <c r="AN411" i="7"/>
  <c r="AN883" i="2" s="1"/>
  <c r="G447" i="7"/>
  <c r="G111" i="7"/>
  <c r="G221" i="7"/>
  <c r="AF253" i="7"/>
  <c r="AF165" i="7"/>
  <c r="T463" i="7"/>
  <c r="T353" i="7"/>
  <c r="T253" i="7"/>
  <c r="T286" i="7"/>
  <c r="T264" i="7"/>
  <c r="T165" i="7"/>
  <c r="AB463" i="7"/>
  <c r="AB353" i="7"/>
  <c r="AB253" i="7"/>
  <c r="AB286" i="7"/>
  <c r="AB264" i="7"/>
  <c r="AB165" i="7"/>
  <c r="AJ463" i="7"/>
  <c r="AJ353" i="7"/>
  <c r="AJ253" i="7"/>
  <c r="AJ286" i="7"/>
  <c r="AJ264" i="7"/>
  <c r="AJ165" i="7"/>
  <c r="U353" i="7"/>
  <c r="U286" i="7"/>
  <c r="U264" i="7"/>
  <c r="AC353" i="7"/>
  <c r="AK286" i="7"/>
  <c r="AK264" i="7"/>
  <c r="AD463" i="7"/>
  <c r="AD353" i="7"/>
  <c r="AD286" i="7"/>
  <c r="AD264" i="7"/>
  <c r="AL463" i="7"/>
  <c r="AL353" i="7"/>
  <c r="AL264" i="7"/>
  <c r="AL253" i="7"/>
  <c r="U253" i="7"/>
  <c r="W440" i="7"/>
  <c r="U432" i="7"/>
  <c r="AC432" i="7"/>
  <c r="X910" i="2"/>
  <c r="X432" i="7"/>
  <c r="AF910" i="2"/>
  <c r="AF432" i="7"/>
  <c r="AN910" i="2"/>
  <c r="AN432" i="7"/>
  <c r="Y405" i="7"/>
  <c r="Y423" i="7" s="1"/>
  <c r="AG405" i="7"/>
  <c r="AG423" i="7" s="1"/>
  <c r="G504" i="7"/>
  <c r="G452" i="7"/>
  <c r="AI448" i="7"/>
  <c r="W432" i="7"/>
  <c r="AE432" i="7"/>
  <c r="AE448" i="7" s="1"/>
  <c r="AM432" i="7"/>
  <c r="G473" i="7"/>
  <c r="G466" i="7"/>
  <c r="G399" i="7"/>
  <c r="F761" i="2"/>
  <c r="G528" i="2"/>
  <c r="G542" i="2" s="1"/>
  <c r="G539" i="2"/>
  <c r="G544" i="2" s="1"/>
  <c r="G583" i="2"/>
  <c r="G601" i="2" s="1"/>
  <c r="G582" i="2"/>
  <c r="G591" i="2" s="1"/>
  <c r="E439" i="2"/>
  <c r="I39" i="3"/>
  <c r="E330" i="2"/>
  <c r="G304" i="2"/>
  <c r="H304" i="2"/>
  <c r="J304" i="2"/>
  <c r="F286" i="2"/>
  <c r="G286" i="2"/>
  <c r="E286" i="2"/>
  <c r="G292" i="2"/>
  <c r="E292" i="2"/>
  <c r="G291" i="2"/>
  <c r="E291" i="2"/>
  <c r="G285" i="2"/>
  <c r="F285" i="2"/>
  <c r="E285" i="2"/>
  <c r="F246" i="2"/>
  <c r="G246" i="2"/>
  <c r="J246" i="2"/>
  <c r="S246" i="2"/>
  <c r="S252" i="2" s="1"/>
  <c r="T246" i="2"/>
  <c r="T252" i="2" s="1"/>
  <c r="T262" i="2" s="1"/>
  <c r="U246" i="2"/>
  <c r="U252" i="2" s="1"/>
  <c r="U262" i="2" s="1"/>
  <c r="V246" i="2"/>
  <c r="V252" i="2" s="1"/>
  <c r="W246" i="2"/>
  <c r="W252" i="2" s="1"/>
  <c r="X246" i="2"/>
  <c r="X252" i="2" s="1"/>
  <c r="Y246" i="2"/>
  <c r="Y252" i="2" s="1"/>
  <c r="Z246" i="2"/>
  <c r="Z252" i="2" s="1"/>
  <c r="AA246" i="2"/>
  <c r="AA252" i="2" s="1"/>
  <c r="AB246" i="2"/>
  <c r="AB252" i="2" s="1"/>
  <c r="AB262" i="2" s="1"/>
  <c r="AC246" i="2"/>
  <c r="AC252" i="2" s="1"/>
  <c r="AD246" i="2"/>
  <c r="AE246" i="2"/>
  <c r="AF246" i="2"/>
  <c r="AG246" i="2"/>
  <c r="AH246" i="2"/>
  <c r="AI246" i="2"/>
  <c r="AJ246" i="2"/>
  <c r="AK246" i="2"/>
  <c r="AL246" i="2"/>
  <c r="AM246" i="2"/>
  <c r="AN246" i="2"/>
  <c r="AO246" i="2"/>
  <c r="AP246" i="2"/>
  <c r="AQ246" i="2"/>
  <c r="E246" i="2"/>
  <c r="X212" i="4"/>
  <c r="X255" i="2" s="1"/>
  <c r="X257" i="2" s="1"/>
  <c r="X263" i="2" s="1"/>
  <c r="G181" i="2"/>
  <c r="H181" i="2"/>
  <c r="J181" i="2"/>
  <c r="E174" i="2"/>
  <c r="E181" i="2" s="1"/>
  <c r="E132" i="2"/>
  <c r="H106" i="8"/>
  <c r="H391" i="7" s="1"/>
  <c r="H94" i="8"/>
  <c r="H381" i="7" s="1"/>
  <c r="H408" i="7" s="1"/>
  <c r="H880" i="2" s="1"/>
  <c r="H81" i="8"/>
  <c r="H366" i="7" s="1"/>
  <c r="H70" i="8"/>
  <c r="H143" i="7" s="1"/>
  <c r="H346" i="7" s="1"/>
  <c r="H58" i="8"/>
  <c r="H119" i="7" s="1"/>
  <c r="H46" i="8"/>
  <c r="H30" i="8"/>
  <c r="H66" i="7" s="1"/>
  <c r="H83" i="7" s="1"/>
  <c r="H18" i="8"/>
  <c r="H28" i="7" s="1"/>
  <c r="H104" i="8"/>
  <c r="H389" i="7"/>
  <c r="H410" i="7" s="1"/>
  <c r="H882" i="2" s="1"/>
  <c r="H90" i="8"/>
  <c r="H378" i="7" s="1"/>
  <c r="H68" i="8"/>
  <c r="H141" i="7" s="1"/>
  <c r="H54" i="8"/>
  <c r="H310" i="7" s="1"/>
  <c r="H41" i="8"/>
  <c r="H115" i="7" s="1"/>
  <c r="H28" i="8"/>
  <c r="H210" i="2" s="1"/>
  <c r="H14" i="8"/>
  <c r="H15" i="7" s="1"/>
  <c r="H103" i="8"/>
  <c r="H388" i="7" s="1"/>
  <c r="H395" i="7" s="1"/>
  <c r="H873" i="2" s="1"/>
  <c r="H84" i="8"/>
  <c r="H372" i="7" s="1"/>
  <c r="H72" i="8"/>
  <c r="H145" i="7" s="1"/>
  <c r="H47" i="8"/>
  <c r="H549" i="2" s="1"/>
  <c r="H20" i="8"/>
  <c r="H30" i="7"/>
  <c r="H59" i="8"/>
  <c r="H120" i="7" s="1"/>
  <c r="H19" i="8"/>
  <c r="H29" i="7"/>
  <c r="H105" i="8"/>
  <c r="H390" i="7" s="1"/>
  <c r="H404" i="7" s="1"/>
  <c r="H893" i="2" s="1"/>
  <c r="H93" i="8"/>
  <c r="H380" i="7" s="1"/>
  <c r="H398" i="7" s="1"/>
  <c r="H876" i="2" s="1"/>
  <c r="H79" i="8"/>
  <c r="H361" i="7" s="1"/>
  <c r="H69" i="8"/>
  <c r="H142" i="7"/>
  <c r="H345" i="7" s="1"/>
  <c r="H55" i="8"/>
  <c r="H311" i="7" s="1"/>
  <c r="H42" i="8"/>
  <c r="H116" i="7"/>
  <c r="H29" i="8"/>
  <c r="H65" i="7" s="1"/>
  <c r="H79" i="7" s="1"/>
  <c r="H16" i="8"/>
  <c r="H17" i="7" s="1"/>
  <c r="H78" i="8"/>
  <c r="H360" i="7" s="1"/>
  <c r="H89" i="8"/>
  <c r="H377" i="7"/>
  <c r="H77" i="8"/>
  <c r="H359" i="7" s="1"/>
  <c r="H64" i="8"/>
  <c r="H130" i="7" s="1"/>
  <c r="H51" i="8"/>
  <c r="H307" i="7" s="1"/>
  <c r="H36" i="8"/>
  <c r="H72" i="7"/>
  <c r="H24" i="8"/>
  <c r="H34" i="7" s="1"/>
  <c r="H13" i="8"/>
  <c r="H14" i="7" s="1"/>
  <c r="H98" i="8"/>
  <c r="H384" i="7" s="1"/>
  <c r="H409" i="7" s="1"/>
  <c r="H881" i="2" s="1"/>
  <c r="H60" i="8"/>
  <c r="H121" i="7" s="1"/>
  <c r="H32" i="8"/>
  <c r="H214" i="2" s="1"/>
  <c r="H10" i="8"/>
  <c r="H11" i="7"/>
  <c r="H97" i="8"/>
  <c r="H383" i="7" s="1"/>
  <c r="H394" i="7" s="1"/>
  <c r="H872" i="2" s="1"/>
  <c r="H83" i="8"/>
  <c r="H371" i="7" s="1"/>
  <c r="H71" i="8"/>
  <c r="H144" i="7"/>
  <c r="H489" i="7" s="1"/>
  <c r="H31" i="8"/>
  <c r="H213" i="2" s="1"/>
  <c r="H100" i="8"/>
  <c r="H386" i="7" s="1"/>
  <c r="H87" i="8"/>
  <c r="H375" i="7" s="1"/>
  <c r="H74" i="8"/>
  <c r="H147" i="7" s="1"/>
  <c r="H63" i="8"/>
  <c r="H129" i="7" s="1"/>
  <c r="H50" i="8"/>
  <c r="H306" i="7" s="1"/>
  <c r="H35" i="8"/>
  <c r="H71" i="7" s="1"/>
  <c r="H22" i="8"/>
  <c r="H32" i="7" s="1"/>
  <c r="H12" i="8"/>
  <c r="H13" i="7" s="1"/>
  <c r="H99" i="8"/>
  <c r="H385" i="7" s="1"/>
  <c r="H403" i="7" s="1"/>
  <c r="H892" i="2" s="1"/>
  <c r="H86" i="8"/>
  <c r="H374" i="7" s="1"/>
  <c r="H73" i="8"/>
  <c r="H146" i="7"/>
  <c r="H175" i="7" s="1"/>
  <c r="H62" i="8"/>
  <c r="H128" i="7"/>
  <c r="H33" i="8"/>
  <c r="H215" i="2" s="1"/>
  <c r="H21" i="8"/>
  <c r="H31" i="7" s="1"/>
  <c r="H11" i="8"/>
  <c r="H12" i="7" s="1"/>
  <c r="H180" i="7"/>
  <c r="H338" i="7"/>
  <c r="H229" i="7"/>
  <c r="H183" i="7"/>
  <c r="H518" i="7"/>
  <c r="H212" i="2"/>
  <c r="H225" i="2"/>
  <c r="H231" i="2"/>
  <c r="H64" i="7"/>
  <c r="H548" i="2"/>
  <c r="H158" i="7"/>
  <c r="F174" i="2"/>
  <c r="G171" i="2"/>
  <c r="F171" i="2"/>
  <c r="E171" i="2"/>
  <c r="G166" i="2"/>
  <c r="E166" i="2"/>
  <c r="G165" i="2"/>
  <c r="E165" i="2"/>
  <c r="I33" i="3"/>
  <c r="H113" i="4"/>
  <c r="H165" i="2" s="1"/>
  <c r="G484" i="2"/>
  <c r="F484" i="2"/>
  <c r="E484" i="2"/>
  <c r="H112" i="4"/>
  <c r="H171" i="2" s="1"/>
  <c r="H114" i="4"/>
  <c r="H166" i="2" s="1"/>
  <c r="F448" i="2"/>
  <c r="G448" i="2"/>
  <c r="H448" i="2"/>
  <c r="J448" i="2"/>
  <c r="F449" i="2"/>
  <c r="G449" i="2"/>
  <c r="H449" i="2"/>
  <c r="J449" i="2"/>
  <c r="E449" i="2"/>
  <c r="E448" i="2"/>
  <c r="J606" i="2"/>
  <c r="S543" i="2"/>
  <c r="AA543" i="2"/>
  <c r="AB543" i="2"/>
  <c r="AC543" i="2"/>
  <c r="AD543" i="2"/>
  <c r="AE543" i="2"/>
  <c r="AF543" i="2"/>
  <c r="AG543" i="2"/>
  <c r="AH543" i="2"/>
  <c r="AI543" i="2"/>
  <c r="AJ543" i="2"/>
  <c r="AK543" i="2"/>
  <c r="AL543" i="2"/>
  <c r="AM543" i="2"/>
  <c r="AN543" i="2"/>
  <c r="AO543" i="2"/>
  <c r="AP543" i="2"/>
  <c r="AQ543" i="2"/>
  <c r="S531" i="2"/>
  <c r="AA531" i="2"/>
  <c r="AB531" i="2"/>
  <c r="AC531" i="2"/>
  <c r="AD531" i="2"/>
  <c r="AE531" i="2"/>
  <c r="AF531" i="2"/>
  <c r="AG531" i="2"/>
  <c r="AH531" i="2"/>
  <c r="AI531" i="2"/>
  <c r="AJ531" i="2"/>
  <c r="AK531" i="2"/>
  <c r="AL531" i="2"/>
  <c r="AM531" i="2"/>
  <c r="AN531" i="2"/>
  <c r="AO531" i="2"/>
  <c r="AP531" i="2"/>
  <c r="AQ531" i="2"/>
  <c r="S203" i="2"/>
  <c r="T203" i="2"/>
  <c r="U203" i="2"/>
  <c r="V203" i="2"/>
  <c r="W203" i="2"/>
  <c r="Z203" i="2"/>
  <c r="AA203" i="2"/>
  <c r="AB203" i="2"/>
  <c r="AC203" i="2"/>
  <c r="AD203" i="2"/>
  <c r="AE203" i="2"/>
  <c r="AF203" i="2"/>
  <c r="AG203" i="2"/>
  <c r="AH203" i="2"/>
  <c r="AI203" i="2"/>
  <c r="AJ203" i="2"/>
  <c r="AK203" i="2"/>
  <c r="AL203" i="2"/>
  <c r="AM203" i="2"/>
  <c r="AN203" i="2"/>
  <c r="AR203" i="2"/>
  <c r="AS203" i="2"/>
  <c r="T291" i="4"/>
  <c r="T293" i="4" s="1"/>
  <c r="T531" i="2" s="1"/>
  <c r="T288" i="4"/>
  <c r="T296" i="4" s="1"/>
  <c r="S90" i="4"/>
  <c r="S147" i="4" s="1"/>
  <c r="T90" i="4"/>
  <c r="T147" i="4" s="1"/>
  <c r="U90" i="4"/>
  <c r="U147" i="4" s="1"/>
  <c r="V90" i="4"/>
  <c r="V147" i="4" s="1"/>
  <c r="U287" i="4"/>
  <c r="U288" i="4" s="1"/>
  <c r="U152" i="4"/>
  <c r="Z146" i="4"/>
  <c r="S146" i="4"/>
  <c r="T146" i="4"/>
  <c r="U146" i="4"/>
  <c r="S152" i="4"/>
  <c r="S154" i="4" s="1"/>
  <c r="T152" i="4"/>
  <c r="T154" i="4" s="1"/>
  <c r="F283" i="4"/>
  <c r="W287" i="4" s="1"/>
  <c r="G588" i="2"/>
  <c r="F588" i="2"/>
  <c r="E588" i="2"/>
  <c r="G587" i="2"/>
  <c r="F587" i="2"/>
  <c r="E587" i="2"/>
  <c r="F157" i="4"/>
  <c r="G157" i="4"/>
  <c r="U157" i="4"/>
  <c r="V157" i="4"/>
  <c r="W157" i="4"/>
  <c r="X157" i="4"/>
  <c r="Y157" i="4"/>
  <c r="Z157" i="4"/>
  <c r="AA157" i="4"/>
  <c r="AB157" i="4"/>
  <c r="AC157" i="4"/>
  <c r="AD157" i="4"/>
  <c r="AE157" i="4"/>
  <c r="AF157" i="4"/>
  <c r="AG157" i="4"/>
  <c r="AH157" i="4"/>
  <c r="AI157" i="4"/>
  <c r="AJ157" i="4"/>
  <c r="AK157" i="4"/>
  <c r="AL157" i="4"/>
  <c r="AM157" i="4"/>
  <c r="AN157" i="4"/>
  <c r="AO157" i="4"/>
  <c r="AP157" i="4"/>
  <c r="E157" i="4"/>
  <c r="F152" i="4"/>
  <c r="G152" i="4"/>
  <c r="V152" i="4"/>
  <c r="W152" i="4"/>
  <c r="X152" i="4"/>
  <c r="Y152" i="4"/>
  <c r="Z152" i="4"/>
  <c r="AA152" i="4"/>
  <c r="AB152" i="4"/>
  <c r="AC152" i="4"/>
  <c r="AD152" i="4"/>
  <c r="AE152" i="4"/>
  <c r="AF152" i="4"/>
  <c r="AG152" i="4"/>
  <c r="AH152" i="4"/>
  <c r="AI152" i="4"/>
  <c r="AJ152" i="4"/>
  <c r="AK152" i="4"/>
  <c r="AL152" i="4"/>
  <c r="AM152" i="4"/>
  <c r="AN152" i="4"/>
  <c r="AO152" i="4"/>
  <c r="AP152" i="4"/>
  <c r="E152" i="4"/>
  <c r="H152" i="4"/>
  <c r="H157" i="4"/>
  <c r="F417" i="2"/>
  <c r="AC442" i="2" s="1"/>
  <c r="AC445" i="2" s="1"/>
  <c r="E416" i="2"/>
  <c r="F415" i="2"/>
  <c r="E415" i="2"/>
  <c r="F414" i="2"/>
  <c r="E414" i="2"/>
  <c r="E417" i="2"/>
  <c r="E100" i="2"/>
  <c r="G100" i="2"/>
  <c r="J100" i="2"/>
  <c r="K4" i="2"/>
  <c r="E15" i="2"/>
  <c r="F544" i="2"/>
  <c r="H544" i="2"/>
  <c r="J544" i="2"/>
  <c r="E544" i="2"/>
  <c r="G535" i="2"/>
  <c r="F535" i="2"/>
  <c r="E535" i="2"/>
  <c r="G534" i="2"/>
  <c r="E534" i="2"/>
  <c r="F1007" i="2"/>
  <c r="G1007" i="2"/>
  <c r="G149" i="17" s="1"/>
  <c r="H1007" i="2"/>
  <c r="J1007" i="2"/>
  <c r="J47" i="16" s="1"/>
  <c r="E1007" i="2"/>
  <c r="E47" i="16" s="1"/>
  <c r="J1001" i="2"/>
  <c r="H1001" i="2"/>
  <c r="H41" i="16" s="1"/>
  <c r="G1001" i="2"/>
  <c r="F1001" i="2"/>
  <c r="E1001" i="2"/>
  <c r="F808" i="2"/>
  <c r="G808" i="2"/>
  <c r="H808" i="2"/>
  <c r="J808" i="2"/>
  <c r="E808" i="2"/>
  <c r="G606" i="2"/>
  <c r="E606" i="2"/>
  <c r="F571" i="2"/>
  <c r="G571" i="2"/>
  <c r="H571" i="2"/>
  <c r="J571" i="2"/>
  <c r="E571" i="2"/>
  <c r="J608" i="2"/>
  <c r="F542" i="2"/>
  <c r="H542" i="2"/>
  <c r="J542" i="2"/>
  <c r="J543" i="2"/>
  <c r="G543" i="2"/>
  <c r="E543" i="2"/>
  <c r="E542" i="2"/>
  <c r="G531" i="2"/>
  <c r="J531" i="2"/>
  <c r="E531" i="2"/>
  <c r="F527" i="2"/>
  <c r="G527" i="2"/>
  <c r="E527" i="2"/>
  <c r="G478" i="2"/>
  <c r="H478" i="2"/>
  <c r="J478" i="2"/>
  <c r="S478" i="2"/>
  <c r="T478" i="2"/>
  <c r="U478" i="2"/>
  <c r="V478" i="2"/>
  <c r="W478" i="2"/>
  <c r="X478" i="2"/>
  <c r="Y478" i="2"/>
  <c r="Z478" i="2"/>
  <c r="AA478" i="2"/>
  <c r="AB478" i="2"/>
  <c r="AC478" i="2"/>
  <c r="AD478" i="2"/>
  <c r="AE478" i="2"/>
  <c r="AF478" i="2"/>
  <c r="AG478" i="2"/>
  <c r="AH478" i="2"/>
  <c r="AI478" i="2"/>
  <c r="AJ478" i="2"/>
  <c r="AK478" i="2"/>
  <c r="AL478" i="2"/>
  <c r="AM478" i="2"/>
  <c r="AN478" i="2"/>
  <c r="AO478" i="2"/>
  <c r="AP478" i="2"/>
  <c r="AQ478" i="2"/>
  <c r="AR478" i="2"/>
  <c r="AS478" i="2"/>
  <c r="F479" i="2"/>
  <c r="G479" i="2"/>
  <c r="H479" i="2"/>
  <c r="J479" i="2"/>
  <c r="E479" i="2"/>
  <c r="E478" i="2"/>
  <c r="G467" i="2"/>
  <c r="F467" i="2"/>
  <c r="E467" i="2"/>
  <c r="Y135" i="4"/>
  <c r="Y203" i="2" s="1"/>
  <c r="Y205" i="2" s="1"/>
  <c r="Y330" i="2" s="1"/>
  <c r="F445" i="2"/>
  <c r="G445" i="2"/>
  <c r="H445" i="2"/>
  <c r="J445" i="2"/>
  <c r="E445" i="2"/>
  <c r="F439" i="2"/>
  <c r="G439" i="2"/>
  <c r="H439" i="2"/>
  <c r="J439" i="2"/>
  <c r="G428" i="2"/>
  <c r="J428" i="2"/>
  <c r="G429" i="2"/>
  <c r="J429" i="2"/>
  <c r="G430" i="2"/>
  <c r="J430" i="2"/>
  <c r="E430" i="2"/>
  <c r="E429" i="2"/>
  <c r="E428" i="2"/>
  <c r="F330" i="2"/>
  <c r="G330" i="2"/>
  <c r="H330" i="2"/>
  <c r="J330" i="2"/>
  <c r="G194" i="2"/>
  <c r="J194" i="2"/>
  <c r="E194" i="2"/>
  <c r="G203" i="2"/>
  <c r="J203" i="2"/>
  <c r="E203" i="2"/>
  <c r="F204" i="2"/>
  <c r="G204" i="2"/>
  <c r="H204" i="2"/>
  <c r="J204" i="2"/>
  <c r="E204" i="2"/>
  <c r="G200" i="2"/>
  <c r="E200" i="2"/>
  <c r="F195" i="2"/>
  <c r="G195" i="2"/>
  <c r="H195" i="2"/>
  <c r="J195" i="2"/>
  <c r="E195" i="2"/>
  <c r="G191" i="2"/>
  <c r="E191" i="2"/>
  <c r="C18" i="23" s="1"/>
  <c r="F104" i="2"/>
  <c r="G104" i="2"/>
  <c r="H104" i="2"/>
  <c r="J104" i="2"/>
  <c r="E104" i="2"/>
  <c r="G99" i="2"/>
  <c r="H99" i="2"/>
  <c r="J99" i="2"/>
  <c r="E99" i="2"/>
  <c r="J103" i="2"/>
  <c r="G103" i="2"/>
  <c r="E103" i="2"/>
  <c r="J96" i="2"/>
  <c r="E96" i="2"/>
  <c r="G94" i="2"/>
  <c r="J94" i="2"/>
  <c r="E94" i="2"/>
  <c r="F42" i="2"/>
  <c r="G42" i="2"/>
  <c r="H42" i="2"/>
  <c r="J42" i="2"/>
  <c r="F41" i="2"/>
  <c r="G41" i="2"/>
  <c r="H41" i="2"/>
  <c r="J41" i="2"/>
  <c r="E42" i="2"/>
  <c r="E41" i="2"/>
  <c r="J36" i="2"/>
  <c r="G36" i="2"/>
  <c r="E36" i="2"/>
  <c r="F37" i="2"/>
  <c r="G37" i="2"/>
  <c r="J37" i="2"/>
  <c r="E37" i="2"/>
  <c r="G32" i="2"/>
  <c r="E32" i="2"/>
  <c r="G31" i="2"/>
  <c r="J31" i="2"/>
  <c r="E31" i="2"/>
  <c r="J11" i="2"/>
  <c r="G11" i="2"/>
  <c r="E11" i="2"/>
  <c r="G22" i="2"/>
  <c r="J22" i="2"/>
  <c r="E22" i="2"/>
  <c r="J21" i="2"/>
  <c r="G21" i="2"/>
  <c r="E21" i="2"/>
  <c r="G27" i="2"/>
  <c r="J27" i="2"/>
  <c r="E26" i="2"/>
  <c r="G26" i="2"/>
  <c r="J26" i="2"/>
  <c r="E27" i="2"/>
  <c r="F78" i="4"/>
  <c r="E14" i="2"/>
  <c r="F14" i="2"/>
  <c r="G14" i="2"/>
  <c r="F75" i="4"/>
  <c r="G16" i="2"/>
  <c r="F16" i="2"/>
  <c r="E16" i="2"/>
  <c r="E158" i="4"/>
  <c r="G158" i="4"/>
  <c r="U158" i="4"/>
  <c r="V158" i="4"/>
  <c r="W158" i="4"/>
  <c r="Z158" i="4"/>
  <c r="AA158" i="4"/>
  <c r="AB158" i="4"/>
  <c r="AC158" i="4"/>
  <c r="AD158" i="4"/>
  <c r="AE158" i="4"/>
  <c r="AF158" i="4"/>
  <c r="AG158" i="4"/>
  <c r="AH158" i="4"/>
  <c r="AI158" i="4"/>
  <c r="AJ158" i="4"/>
  <c r="AJ159" i="4" s="1"/>
  <c r="AK158" i="4"/>
  <c r="AK159" i="4" s="1"/>
  <c r="AL158" i="4"/>
  <c r="AM158" i="4"/>
  <c r="AN158" i="4"/>
  <c r="AO158" i="4"/>
  <c r="AP158" i="4"/>
  <c r="E153" i="4"/>
  <c r="G153" i="4"/>
  <c r="W144" i="4"/>
  <c r="E147" i="4"/>
  <c r="G147" i="4"/>
  <c r="W90" i="4"/>
  <c r="W147" i="4" s="1"/>
  <c r="X90" i="4"/>
  <c r="X147" i="4" s="1"/>
  <c r="Y90" i="4"/>
  <c r="Y147" i="4" s="1"/>
  <c r="Z90" i="4"/>
  <c r="Z147" i="4" s="1"/>
  <c r="AA90" i="4"/>
  <c r="AA147" i="4" s="1"/>
  <c r="AB90" i="4"/>
  <c r="AB147" i="4" s="1"/>
  <c r="AC90" i="4"/>
  <c r="AC147" i="4" s="1"/>
  <c r="AD90" i="4"/>
  <c r="AD147" i="4" s="1"/>
  <c r="AE90" i="4"/>
  <c r="AH147" i="4" s="1"/>
  <c r="AF90" i="4"/>
  <c r="AI147" i="4" s="1"/>
  <c r="AG90" i="4"/>
  <c r="AJ147" i="4" s="1"/>
  <c r="AH90" i="4"/>
  <c r="AK147" i="4" s="1"/>
  <c r="AI90" i="4"/>
  <c r="AL147" i="4" s="1"/>
  <c r="AJ90" i="4"/>
  <c r="AM147" i="4" s="1"/>
  <c r="AK90" i="4"/>
  <c r="AN147" i="4" s="1"/>
  <c r="AL90" i="4"/>
  <c r="AM90" i="4"/>
  <c r="AN90" i="4"/>
  <c r="AO90" i="4"/>
  <c r="AO147" i="4" s="1"/>
  <c r="AP90" i="4"/>
  <c r="AP147" i="4" s="1"/>
  <c r="V146" i="4"/>
  <c r="W146" i="4"/>
  <c r="X146" i="4"/>
  <c r="Y146" i="4"/>
  <c r="AA146" i="4"/>
  <c r="AB146" i="4"/>
  <c r="AC146" i="4"/>
  <c r="AD146" i="4"/>
  <c r="AE146" i="4"/>
  <c r="AE148" i="4" s="1"/>
  <c r="AE153" i="4" s="1"/>
  <c r="AF146" i="4"/>
  <c r="AF148" i="4" s="1"/>
  <c r="AF153" i="4" s="1"/>
  <c r="AG146" i="4"/>
  <c r="AG148" i="4" s="1"/>
  <c r="AG153" i="4" s="1"/>
  <c r="AH146" i="4"/>
  <c r="AI146" i="4"/>
  <c r="AJ146" i="4"/>
  <c r="AK146" i="4"/>
  <c r="AL146" i="4"/>
  <c r="AM146" i="4"/>
  <c r="AN146" i="4"/>
  <c r="AO146" i="4"/>
  <c r="AP146" i="4"/>
  <c r="W132" i="4"/>
  <c r="W141" i="2" s="1"/>
  <c r="W143" i="2" s="1"/>
  <c r="W148" i="2" s="1"/>
  <c r="X132" i="4"/>
  <c r="X141" i="2" s="1"/>
  <c r="X143" i="2" s="1"/>
  <c r="X148" i="2" s="1"/>
  <c r="Y132" i="4"/>
  <c r="Y141" i="2" s="1"/>
  <c r="Y143" i="2" s="1"/>
  <c r="Y148" i="2" s="1"/>
  <c r="E297" i="4"/>
  <c r="G297" i="4"/>
  <c r="AA297" i="4"/>
  <c r="AB297" i="4"/>
  <c r="AC297" i="4"/>
  <c r="AD297" i="4"/>
  <c r="AE297" i="4"/>
  <c r="AF297" i="4"/>
  <c r="AG297" i="4"/>
  <c r="AH297" i="4"/>
  <c r="AI297" i="4"/>
  <c r="AJ297" i="4"/>
  <c r="AK297" i="4"/>
  <c r="AL297" i="4"/>
  <c r="AM297" i="4"/>
  <c r="AN297" i="4"/>
  <c r="AO297" i="4"/>
  <c r="AP297" i="4"/>
  <c r="E296" i="4"/>
  <c r="G296" i="4"/>
  <c r="Y296" i="4"/>
  <c r="Z296" i="4"/>
  <c r="AA296" i="4"/>
  <c r="AB296" i="4"/>
  <c r="AC296" i="4"/>
  <c r="AD296" i="4"/>
  <c r="AE296" i="4"/>
  <c r="AF296" i="4"/>
  <c r="AG296" i="4"/>
  <c r="AH296" i="4"/>
  <c r="AI296" i="4"/>
  <c r="AJ296" i="4"/>
  <c r="AK296" i="4"/>
  <c r="AL296" i="4"/>
  <c r="AM296" i="4"/>
  <c r="AN296" i="4"/>
  <c r="AO296" i="4"/>
  <c r="AP296" i="4"/>
  <c r="E291" i="4"/>
  <c r="G291" i="4"/>
  <c r="U291" i="4"/>
  <c r="U293" i="4" s="1"/>
  <c r="U531" i="2" s="1"/>
  <c r="V291" i="4"/>
  <c r="V293" i="4" s="1"/>
  <c r="W291" i="4"/>
  <c r="W293" i="4" s="1"/>
  <c r="X291" i="4"/>
  <c r="X293" i="4" s="1"/>
  <c r="Y291" i="4"/>
  <c r="Y293" i="4" s="1"/>
  <c r="Z291" i="4"/>
  <c r="Z293" i="4" s="1"/>
  <c r="AA291" i="4"/>
  <c r="AB291" i="4"/>
  <c r="AC291" i="4"/>
  <c r="AD291" i="4"/>
  <c r="AE291" i="4"/>
  <c r="AF291" i="4"/>
  <c r="AG291" i="4"/>
  <c r="AH291" i="4"/>
  <c r="AI291" i="4"/>
  <c r="AJ291" i="4"/>
  <c r="AK291" i="4"/>
  <c r="AL291" i="4"/>
  <c r="AM291" i="4"/>
  <c r="AN291" i="4"/>
  <c r="AO291" i="4"/>
  <c r="AP291" i="4"/>
  <c r="X287" i="4"/>
  <c r="X288" i="4" s="1"/>
  <c r="X296" i="4" s="1"/>
  <c r="Y104" i="4"/>
  <c r="Z104" i="4"/>
  <c r="AA104" i="4"/>
  <c r="AB104" i="4"/>
  <c r="AC104" i="4"/>
  <c r="F76" i="4"/>
  <c r="W138" i="4"/>
  <c r="X144" i="4"/>
  <c r="Y144" i="4"/>
  <c r="X141" i="4"/>
  <c r="Y141" i="4"/>
  <c r="W141" i="4"/>
  <c r="X138" i="4"/>
  <c r="Y138" i="4"/>
  <c r="X135" i="4"/>
  <c r="X203" i="2" s="1"/>
  <c r="X205" i="2" s="1"/>
  <c r="X330" i="2" s="1"/>
  <c r="Y212" i="4"/>
  <c r="F69" i="4"/>
  <c r="F67" i="4"/>
  <c r="F15" i="2" s="1"/>
  <c r="F273" i="4"/>
  <c r="F534" i="2" s="1"/>
  <c r="A1" i="4"/>
  <c r="G5" i="3"/>
  <c r="G6" i="3"/>
  <c r="A1" i="3"/>
  <c r="A1" i="2"/>
  <c r="G7" i="3"/>
  <c r="I6" i="3"/>
  <c r="I5" i="3"/>
  <c r="I7" i="3"/>
  <c r="H276" i="4"/>
  <c r="H527" i="2" s="1"/>
  <c r="H81" i="4"/>
  <c r="H83" i="4"/>
  <c r="H82" i="4"/>
  <c r="G8" i="3"/>
  <c r="I8" i="3"/>
  <c r="G9" i="3"/>
  <c r="H49" i="4"/>
  <c r="H44" i="4"/>
  <c r="H48" i="4"/>
  <c r="H38" i="4"/>
  <c r="H47" i="4"/>
  <c r="H36" i="4"/>
  <c r="H43" i="4"/>
  <c r="H42" i="4"/>
  <c r="H41" i="4"/>
  <c r="H37" i="4"/>
  <c r="H35" i="4"/>
  <c r="H50" i="4"/>
  <c r="H64" i="4"/>
  <c r="H63" i="4"/>
  <c r="I9" i="3"/>
  <c r="G10" i="3"/>
  <c r="H107" i="4"/>
  <c r="H106" i="4"/>
  <c r="I10" i="3"/>
  <c r="G11" i="3"/>
  <c r="I11" i="3"/>
  <c r="G12" i="3"/>
  <c r="I12" i="3"/>
  <c r="H30" i="4"/>
  <c r="H29" i="4"/>
  <c r="G13" i="3"/>
  <c r="G14" i="3"/>
  <c r="I14" i="3"/>
  <c r="H304" i="4"/>
  <c r="H303" i="4"/>
  <c r="H467" i="2" s="1"/>
  <c r="I13" i="3"/>
  <c r="G15" i="3"/>
  <c r="I15" i="3"/>
  <c r="H943" i="2"/>
  <c r="H120" i="9"/>
  <c r="H119" i="9"/>
  <c r="H942" i="2"/>
  <c r="H286" i="4"/>
  <c r="H291" i="4" s="1"/>
  <c r="H54" i="4"/>
  <c r="H53" i="4"/>
  <c r="H58" i="4"/>
  <c r="H57" i="4"/>
  <c r="H55" i="4"/>
  <c r="H32" i="4"/>
  <c r="H25" i="4"/>
  <c r="H31" i="4"/>
  <c r="H26" i="4"/>
  <c r="H73" i="4"/>
  <c r="H16" i="2" s="1"/>
  <c r="H284" i="4"/>
  <c r="H279" i="4"/>
  <c r="H281" i="4"/>
  <c r="H292" i="4"/>
  <c r="H280" i="4"/>
  <c r="H72" i="4"/>
  <c r="H71" i="4"/>
  <c r="H66" i="4"/>
  <c r="H68" i="4"/>
  <c r="H96" i="2" s="1"/>
  <c r="H101" i="4"/>
  <c r="H27" i="2" s="1"/>
  <c r="H102" i="4"/>
  <c r="H100" i="4"/>
  <c r="H21" i="2" s="1"/>
  <c r="H272" i="4"/>
  <c r="H271" i="4"/>
  <c r="G16" i="3"/>
  <c r="K4" i="4"/>
  <c r="L4" i="2"/>
  <c r="G18" i="3"/>
  <c r="I16" i="3"/>
  <c r="L4" i="4"/>
  <c r="G19" i="3"/>
  <c r="I19" i="3"/>
  <c r="I18" i="3"/>
  <c r="H286" i="2"/>
  <c r="H132" i="4"/>
  <c r="H141" i="2" s="1"/>
  <c r="H88" i="4"/>
  <c r="H134" i="4"/>
  <c r="H212" i="4"/>
  <c r="H255" i="2" s="1"/>
  <c r="H144" i="4"/>
  <c r="H140" i="4"/>
  <c r="H138" i="4"/>
  <c r="H87" i="4"/>
  <c r="H135" i="4"/>
  <c r="H158" i="4" s="1"/>
  <c r="H143" i="4"/>
  <c r="H85" i="4"/>
  <c r="H91" i="4"/>
  <c r="H86" i="4"/>
  <c r="H141" i="4"/>
  <c r="H137" i="4"/>
  <c r="H131" i="4"/>
  <c r="H89" i="4"/>
  <c r="H211" i="4"/>
  <c r="H109" i="4"/>
  <c r="H112" i="2" s="1"/>
  <c r="H98" i="4"/>
  <c r="H97" i="4"/>
  <c r="H96" i="4"/>
  <c r="H95" i="4"/>
  <c r="H94" i="4"/>
  <c r="H93" i="4"/>
  <c r="G20" i="3"/>
  <c r="I20" i="3"/>
  <c r="G21" i="3"/>
  <c r="I21" i="3"/>
  <c r="G22" i="3"/>
  <c r="I22" i="3"/>
  <c r="G23" i="3"/>
  <c r="I23" i="3"/>
  <c r="H274" i="7"/>
  <c r="H273" i="7"/>
  <c r="H267" i="4"/>
  <c r="H587" i="2"/>
  <c r="H268" i="4"/>
  <c r="H588" i="2"/>
  <c r="G24" i="3"/>
  <c r="I24" i="3"/>
  <c r="H981" i="2"/>
  <c r="H65" i="9"/>
  <c r="H415" i="2" s="1"/>
  <c r="H68" i="9"/>
  <c r="H417" i="2" s="1"/>
  <c r="G25" i="3"/>
  <c r="I25" i="3"/>
  <c r="H163" i="4"/>
  <c r="G26" i="3"/>
  <c r="I26" i="3"/>
  <c r="H164" i="4"/>
  <c r="G27" i="3"/>
  <c r="G28" i="3"/>
  <c r="I27" i="3"/>
  <c r="H215" i="4"/>
  <c r="I28" i="3"/>
  <c r="H216" i="4"/>
  <c r="G29" i="3"/>
  <c r="I29" i="3"/>
  <c r="H167" i="4"/>
  <c r="H166" i="4"/>
  <c r="H165" i="4"/>
  <c r="H217" i="4"/>
  <c r="G30" i="3"/>
  <c r="I30" i="3"/>
  <c r="H64" i="9"/>
  <c r="H414" i="2" s="1"/>
  <c r="G32" i="3"/>
  <c r="I32" i="3"/>
  <c r="H121" i="4"/>
  <c r="H292" i="2" s="1"/>
  <c r="H118" i="4"/>
  <c r="H281" i="2" s="1"/>
  <c r="H117" i="4"/>
  <c r="H285" i="2" s="1"/>
  <c r="H119" i="4"/>
  <c r="H291" i="2" s="1"/>
  <c r="B23" i="23" l="1"/>
  <c r="K4" i="10"/>
  <c r="Y106" i="7"/>
  <c r="L4" i="17"/>
  <c r="Z106" i="7"/>
  <c r="Z108" i="7" s="1"/>
  <c r="M11" i="10"/>
  <c r="N11" i="10" s="1"/>
  <c r="L4" i="14"/>
  <c r="K4" i="12"/>
  <c r="AK78" i="7"/>
  <c r="K4" i="9"/>
  <c r="K4" i="7"/>
  <c r="L4" i="16"/>
  <c r="Q253" i="7"/>
  <c r="Q353" i="7"/>
  <c r="Q550" i="2"/>
  <c r="Q556" i="2" s="1"/>
  <c r="Q286" i="7"/>
  <c r="Q165" i="7"/>
  <c r="AI881" i="2"/>
  <c r="AI411" i="7"/>
  <c r="AA881" i="2"/>
  <c r="AA411" i="7"/>
  <c r="AA883" i="2" s="1"/>
  <c r="T396" i="7"/>
  <c r="T447" i="7" s="1"/>
  <c r="T872" i="2"/>
  <c r="AP550" i="2"/>
  <c r="AP556" i="2" s="1"/>
  <c r="AP264" i="7"/>
  <c r="AP165" i="7"/>
  <c r="AP463" i="7"/>
  <c r="AP353" i="7"/>
  <c r="AP253" i="7"/>
  <c r="AP286" i="7"/>
  <c r="AC463" i="7"/>
  <c r="Z405" i="7"/>
  <c r="Z423" i="7" s="1"/>
  <c r="W405" i="7"/>
  <c r="AP73" i="7"/>
  <c r="P264" i="7"/>
  <c r="P347" i="7"/>
  <c r="M165" i="7"/>
  <c r="L345" i="7"/>
  <c r="W448" i="7"/>
  <c r="AF176" i="7"/>
  <c r="AH490" i="7"/>
  <c r="F492" i="7"/>
  <c r="AO73" i="7"/>
  <c r="V88" i="7"/>
  <c r="V100" i="7" s="1"/>
  <c r="AK73" i="7"/>
  <c r="AM160" i="7"/>
  <c r="AE160" i="7"/>
  <c r="W160" i="7"/>
  <c r="AN160" i="7"/>
  <c r="X160" i="7"/>
  <c r="AM312" i="7"/>
  <c r="AE312" i="7"/>
  <c r="AE329" i="7" s="1"/>
  <c r="W312" i="7"/>
  <c r="W329" i="7" s="1"/>
  <c r="AN312" i="7"/>
  <c r="AF312" i="7"/>
  <c r="X312" i="7"/>
  <c r="R326" i="7"/>
  <c r="P320" i="7"/>
  <c r="AR345" i="7"/>
  <c r="Q347" i="7"/>
  <c r="AQ326" i="7"/>
  <c r="Q489" i="7"/>
  <c r="Q175" i="7"/>
  <c r="AQ324" i="7"/>
  <c r="L264" i="7"/>
  <c r="L353" i="7"/>
  <c r="AS73" i="7"/>
  <c r="P253" i="7"/>
  <c r="Q171" i="7"/>
  <c r="Q170" i="7"/>
  <c r="P173" i="7"/>
  <c r="AQ348" i="7"/>
  <c r="AR492" i="7"/>
  <c r="P348" i="7"/>
  <c r="Q349" i="7"/>
  <c r="R171" i="7"/>
  <c r="L165" i="7"/>
  <c r="M348" i="7"/>
  <c r="AJ396" i="7"/>
  <c r="Z314" i="2"/>
  <c r="S107" i="7"/>
  <c r="AO489" i="7"/>
  <c r="AS160" i="7"/>
  <c r="AS463" i="7" s="1"/>
  <c r="L286" i="7"/>
  <c r="L487" i="7"/>
  <c r="M174" i="7"/>
  <c r="K73" i="7"/>
  <c r="K107" i="7" s="1"/>
  <c r="P314" i="2"/>
  <c r="V396" i="7"/>
  <c r="Y491" i="7"/>
  <c r="P165" i="7"/>
  <c r="Q344" i="7"/>
  <c r="AR350" i="7"/>
  <c r="Q324" i="7"/>
  <c r="P489" i="7"/>
  <c r="P350" i="7"/>
  <c r="AS312" i="7"/>
  <c r="M490" i="7"/>
  <c r="G453" i="7"/>
  <c r="AC253" i="7"/>
  <c r="AJ109" i="2"/>
  <c r="P107" i="7"/>
  <c r="Q320" i="7"/>
  <c r="AQ174" i="7"/>
  <c r="Q348" i="7"/>
  <c r="AO312" i="7"/>
  <c r="AO629" i="2" s="1"/>
  <c r="AR312" i="7"/>
  <c r="L171" i="7"/>
  <c r="AC286" i="7"/>
  <c r="AC264" i="7"/>
  <c r="AA448" i="7"/>
  <c r="R345" i="7"/>
  <c r="R487" i="7"/>
  <c r="M286" i="7"/>
  <c r="L4" i="9"/>
  <c r="L4" i="8"/>
  <c r="AJ106" i="7"/>
  <c r="AI86" i="7"/>
  <c r="AI88" i="7" s="1"/>
  <c r="AI100" i="7" s="1"/>
  <c r="AD560" i="2"/>
  <c r="M560" i="2"/>
  <c r="AL560" i="2"/>
  <c r="U560" i="2"/>
  <c r="AB560" i="2"/>
  <c r="AP560" i="2"/>
  <c r="L560" i="2"/>
  <c r="AC560" i="2"/>
  <c r="V560" i="2"/>
  <c r="Q560" i="2"/>
  <c r="T560" i="2"/>
  <c r="AJ560" i="2"/>
  <c r="B15" i="23"/>
  <c r="B18" i="23"/>
  <c r="W169" i="2"/>
  <c r="O160" i="2"/>
  <c r="V160" i="2"/>
  <c r="N226" i="2"/>
  <c r="N227" i="2" s="1"/>
  <c r="U153" i="2"/>
  <c r="M160" i="2"/>
  <c r="AB160" i="2"/>
  <c r="T153" i="2"/>
  <c r="L153" i="2"/>
  <c r="AA169" i="2"/>
  <c r="S153" i="2"/>
  <c r="K153" i="2"/>
  <c r="X226" i="2"/>
  <c r="Z169" i="2"/>
  <c r="R226" i="2"/>
  <c r="R227" i="2" s="1"/>
  <c r="AA222" i="2"/>
  <c r="E1237" i="2"/>
  <c r="E78" i="15" s="1"/>
  <c r="B7" i="23"/>
  <c r="AE192" i="4"/>
  <c r="F923" i="2"/>
  <c r="F928" i="2"/>
  <c r="E928" i="2"/>
  <c r="E923" i="2"/>
  <c r="AA928" i="2"/>
  <c r="AA923" i="2"/>
  <c r="J928" i="2"/>
  <c r="J923" i="2"/>
  <c r="G923" i="2"/>
  <c r="G928" i="2"/>
  <c r="AN928" i="2"/>
  <c r="AN923" i="2"/>
  <c r="H928" i="2"/>
  <c r="H923" i="2"/>
  <c r="AE894" i="2"/>
  <c r="AR329" i="7"/>
  <c r="AR629" i="2"/>
  <c r="AC881" i="2"/>
  <c r="AC411" i="7"/>
  <c r="AC415" i="7" s="1"/>
  <c r="AD396" i="7"/>
  <c r="AD422" i="7" s="1"/>
  <c r="AD909" i="2" s="1"/>
  <c r="AD872" i="2"/>
  <c r="AQ165" i="7"/>
  <c r="AQ286" i="7"/>
  <c r="AQ253" i="7"/>
  <c r="AQ264" i="7"/>
  <c r="AQ463" i="7"/>
  <c r="AQ353" i="7"/>
  <c r="AQ550" i="2"/>
  <c r="AQ556" i="2" s="1"/>
  <c r="AQ560" i="2" s="1"/>
  <c r="AJ874" i="2"/>
  <c r="AJ877" i="2" s="1"/>
  <c r="AJ447" i="7"/>
  <c r="AJ399" i="7"/>
  <c r="AJ400" i="7" s="1"/>
  <c r="AJ504" i="7" s="1"/>
  <c r="AJ422" i="7"/>
  <c r="AJ909" i="2" s="1"/>
  <c r="AA115" i="2"/>
  <c r="AA109" i="2"/>
  <c r="AA106" i="7"/>
  <c r="X56" i="2"/>
  <c r="X78" i="7"/>
  <c r="X80" i="7" s="1"/>
  <c r="X98" i="7" s="1"/>
  <c r="AK107" i="7"/>
  <c r="AK314" i="2"/>
  <c r="AM264" i="7"/>
  <c r="AM353" i="7"/>
  <c r="AM253" i="7"/>
  <c r="AM165" i="7"/>
  <c r="AM463" i="7"/>
  <c r="AM550" i="2"/>
  <c r="AM556" i="2" s="1"/>
  <c r="AM560" i="2" s="1"/>
  <c r="AM286" i="7"/>
  <c r="AE264" i="7"/>
  <c r="AE286" i="7"/>
  <c r="AE165" i="7"/>
  <c r="AE253" i="7"/>
  <c r="AE550" i="2"/>
  <c r="AE556" i="2" s="1"/>
  <c r="AE560" i="2" s="1"/>
  <c r="AE353" i="7"/>
  <c r="AE463" i="7"/>
  <c r="W165" i="7"/>
  <c r="W353" i="7"/>
  <c r="AN463" i="7"/>
  <c r="AN550" i="2"/>
  <c r="AN556" i="2" s="1"/>
  <c r="AN560" i="2" s="1"/>
  <c r="AN353" i="7"/>
  <c r="AN264" i="7"/>
  <c r="AN253" i="7"/>
  <c r="AN165" i="7"/>
  <c r="AN286" i="7"/>
  <c r="X286" i="7"/>
  <c r="X264" i="7"/>
  <c r="X253" i="7"/>
  <c r="X165" i="7"/>
  <c r="X353" i="7"/>
  <c r="X550" i="2"/>
  <c r="X556" i="2" s="1"/>
  <c r="X560" i="2" s="1"/>
  <c r="X463" i="7"/>
  <c r="AM329" i="7"/>
  <c r="AM629" i="2"/>
  <c r="AN329" i="7"/>
  <c r="AN629" i="2"/>
  <c r="AF629" i="2"/>
  <c r="AF329" i="7"/>
  <c r="X629" i="2"/>
  <c r="X329" i="7"/>
  <c r="AJ314" i="2"/>
  <c r="AJ316" i="2" s="1"/>
  <c r="Y84" i="7"/>
  <c r="Y99" i="7" s="1"/>
  <c r="AF550" i="2"/>
  <c r="AF556" i="2" s="1"/>
  <c r="AF560" i="2" s="1"/>
  <c r="J172" i="7"/>
  <c r="X174" i="7"/>
  <c r="G323" i="7"/>
  <c r="AO324" i="7"/>
  <c r="S345" i="7"/>
  <c r="Y347" i="7"/>
  <c r="AJ873" i="2"/>
  <c r="AJ403" i="7"/>
  <c r="AJ892" i="2" s="1"/>
  <c r="AB486" i="7"/>
  <c r="G489" i="7"/>
  <c r="P487" i="7"/>
  <c r="P330" i="7"/>
  <c r="AR172" i="7"/>
  <c r="L347" i="7"/>
  <c r="O487" i="7"/>
  <c r="T448" i="7"/>
  <c r="AM448" i="7"/>
  <c r="AK463" i="7"/>
  <c r="AF286" i="7"/>
  <c r="V253" i="7"/>
  <c r="F174" i="7"/>
  <c r="AA321" i="7"/>
  <c r="AO344" i="7"/>
  <c r="G347" i="7"/>
  <c r="AO348" i="7"/>
  <c r="T403" i="7"/>
  <c r="T892" i="2" s="1"/>
  <c r="T486" i="7"/>
  <c r="E487" i="7"/>
  <c r="AI487" i="7"/>
  <c r="AM491" i="7"/>
  <c r="P629" i="2"/>
  <c r="AR488" i="7"/>
  <c r="AS490" i="7"/>
  <c r="AR346" i="7"/>
  <c r="Q312" i="7"/>
  <c r="Q329" i="7" s="1"/>
  <c r="K492" i="7"/>
  <c r="L323" i="7"/>
  <c r="M486" i="7"/>
  <c r="M170" i="7"/>
  <c r="X801" i="2"/>
  <c r="AJ170" i="7"/>
  <c r="S321" i="7"/>
  <c r="V326" i="7"/>
  <c r="Z346" i="7"/>
  <c r="AF348" i="7"/>
  <c r="AD350" i="7"/>
  <c r="V404" i="7"/>
  <c r="V893" i="2" s="1"/>
  <c r="J488" i="7"/>
  <c r="AG489" i="7"/>
  <c r="V492" i="7"/>
  <c r="P405" i="7"/>
  <c r="P414" i="7" s="1"/>
  <c r="K176" i="7"/>
  <c r="S171" i="7"/>
  <c r="Y173" i="7"/>
  <c r="AE175" i="7"/>
  <c r="AJ320" i="7"/>
  <c r="J322" i="7"/>
  <c r="X324" i="7"/>
  <c r="AM325" i="7"/>
  <c r="T344" i="7"/>
  <c r="H211" i="2"/>
  <c r="V286" i="7"/>
  <c r="AF353" i="7"/>
  <c r="S411" i="7"/>
  <c r="S883" i="2" s="1"/>
  <c r="AK550" i="2"/>
  <c r="AK556" i="2" s="1"/>
  <c r="AK560" i="2" s="1"/>
  <c r="AC314" i="2"/>
  <c r="AC316" i="2" s="1"/>
  <c r="AJ629" i="2"/>
  <c r="AH172" i="7"/>
  <c r="AN174" i="7"/>
  <c r="AG323" i="7"/>
  <c r="E345" i="7"/>
  <c r="AI345" i="7"/>
  <c r="AA487" i="7"/>
  <c r="F490" i="7"/>
  <c r="AE491" i="7"/>
  <c r="AS174" i="7"/>
  <c r="Z414" i="7"/>
  <c r="V329" i="7"/>
  <c r="V353" i="7"/>
  <c r="AF463" i="7"/>
  <c r="Y78" i="7"/>
  <c r="Y80" i="7" s="1"/>
  <c r="Y98" i="7" s="1"/>
  <c r="X106" i="7"/>
  <c r="AK165" i="7"/>
  <c r="U314" i="2"/>
  <c r="U316" i="2" s="1"/>
  <c r="AL629" i="2"/>
  <c r="AJ88" i="7"/>
  <c r="AJ100" i="7" s="1"/>
  <c r="AB108" i="7"/>
  <c r="AB170" i="7"/>
  <c r="AO174" i="7"/>
  <c r="W175" i="7"/>
  <c r="F324" i="7"/>
  <c r="AE325" i="7"/>
  <c r="S448" i="7"/>
  <c r="Y489" i="7"/>
  <c r="W491" i="7"/>
  <c r="Q463" i="7"/>
  <c r="AS324" i="7"/>
  <c r="K350" i="7"/>
  <c r="O73" i="7"/>
  <c r="O107" i="7" s="1"/>
  <c r="Y414" i="7"/>
  <c r="V463" i="7"/>
  <c r="AH411" i="7"/>
  <c r="AH415" i="7" s="1"/>
  <c r="Y396" i="7"/>
  <c r="Y874" i="2" s="1"/>
  <c r="Y877" i="2" s="1"/>
  <c r="U107" i="7"/>
  <c r="AO170" i="7"/>
  <c r="AF174" i="7"/>
  <c r="AL176" i="7"/>
  <c r="AJ486" i="7"/>
  <c r="AN490" i="7"/>
  <c r="AL492" i="7"/>
  <c r="AH448" i="7"/>
  <c r="AQ330" i="7"/>
  <c r="P345" i="7"/>
  <c r="M344" i="7"/>
  <c r="N348" i="7"/>
  <c r="V264" i="7"/>
  <c r="AK353" i="7"/>
  <c r="AG396" i="7"/>
  <c r="AG422" i="7" s="1"/>
  <c r="AG909" i="2" s="1"/>
  <c r="AA82" i="7"/>
  <c r="Z115" i="2"/>
  <c r="T170" i="7"/>
  <c r="E171" i="7"/>
  <c r="AH322" i="7"/>
  <c r="S396" i="7"/>
  <c r="S874" i="2" s="1"/>
  <c r="S877" i="2" s="1"/>
  <c r="AO330" i="7"/>
  <c r="V96" i="7"/>
  <c r="V102" i="7" s="1"/>
  <c r="Z80" i="7"/>
  <c r="Z98" i="7" s="1"/>
  <c r="AD330" i="7"/>
  <c r="AM424" i="7"/>
  <c r="AM910" i="2" s="1"/>
  <c r="AE424" i="7"/>
  <c r="AE910" i="2" s="1"/>
  <c r="W424" i="7"/>
  <c r="W910" i="2" s="1"/>
  <c r="Z448" i="7"/>
  <c r="Y92" i="7"/>
  <c r="Y101" i="7" s="1"/>
  <c r="AP329" i="7"/>
  <c r="AP629" i="2"/>
  <c r="O165" i="7"/>
  <c r="O264" i="7"/>
  <c r="H350" i="7"/>
  <c r="H176" i="7"/>
  <c r="H492" i="7"/>
  <c r="R550" i="2"/>
  <c r="R556" i="2" s="1"/>
  <c r="R560" i="2" s="1"/>
  <c r="R253" i="7"/>
  <c r="R353" i="7"/>
  <c r="R286" i="7"/>
  <c r="R264" i="7"/>
  <c r="R463" i="7"/>
  <c r="V447" i="7"/>
  <c r="V422" i="7"/>
  <c r="V909" i="2" s="1"/>
  <c r="S447" i="7"/>
  <c r="W84" i="2"/>
  <c r="W59" i="2"/>
  <c r="W90" i="7"/>
  <c r="W92" i="7" s="1"/>
  <c r="W101" i="7" s="1"/>
  <c r="AM678" i="2"/>
  <c r="AM680" i="2" s="1"/>
  <c r="AM107" i="7"/>
  <c r="AE678" i="2"/>
  <c r="AE680" i="2" s="1"/>
  <c r="AE107" i="7"/>
  <c r="AE314" i="2"/>
  <c r="AG463" i="7"/>
  <c r="AG353" i="7"/>
  <c r="AG264" i="7"/>
  <c r="AG253" i="7"/>
  <c r="AG286" i="7"/>
  <c r="AG550" i="2"/>
  <c r="AG556" i="2" s="1"/>
  <c r="AG560" i="2" s="1"/>
  <c r="AG165" i="7"/>
  <c r="Y463" i="7"/>
  <c r="Y353" i="7"/>
  <c r="Y550" i="2"/>
  <c r="Y556" i="2" s="1"/>
  <c r="Y560" i="2" s="1"/>
  <c r="Y264" i="7"/>
  <c r="Y253" i="7"/>
  <c r="Y165" i="7"/>
  <c r="Y286" i="7"/>
  <c r="AG629" i="2"/>
  <c r="AG329" i="7"/>
  <c r="Y629" i="2"/>
  <c r="Y329" i="7"/>
  <c r="AF893" i="2"/>
  <c r="AF894" i="2" s="1"/>
  <c r="AF405" i="7"/>
  <c r="AF423" i="7" s="1"/>
  <c r="X893" i="2"/>
  <c r="X405" i="7"/>
  <c r="AH873" i="2"/>
  <c r="AH396" i="7"/>
  <c r="AH874" i="2" s="1"/>
  <c r="AH877" i="2" s="1"/>
  <c r="Z873" i="2"/>
  <c r="Z396" i="7"/>
  <c r="AL892" i="2"/>
  <c r="AL894" i="2" s="1"/>
  <c r="AL405" i="7"/>
  <c r="V892" i="2"/>
  <c r="V405" i="7"/>
  <c r="AN396" i="7"/>
  <c r="AN872" i="2"/>
  <c r="AF396" i="7"/>
  <c r="AF872" i="2"/>
  <c r="AG880" i="2"/>
  <c r="AG411" i="7"/>
  <c r="AG415" i="7" s="1"/>
  <c r="AG416" i="7" s="1"/>
  <c r="Y880" i="2"/>
  <c r="Y411" i="7"/>
  <c r="AG414" i="7"/>
  <c r="AK448" i="7"/>
  <c r="W286" i="7"/>
  <c r="AB405" i="7"/>
  <c r="X96" i="7"/>
  <c r="X102" i="7" s="1"/>
  <c r="AL396" i="7"/>
  <c r="AL422" i="7" s="1"/>
  <c r="AL909" i="2" s="1"/>
  <c r="T874" i="2"/>
  <c r="T877" i="2" s="1"/>
  <c r="AK678" i="2"/>
  <c r="AK680" i="2" s="1"/>
  <c r="AN176" i="7"/>
  <c r="V344" i="7"/>
  <c r="U345" i="7"/>
  <c r="T346" i="7"/>
  <c r="S347" i="7"/>
  <c r="J348" i="7"/>
  <c r="G349" i="7"/>
  <c r="AE409" i="7"/>
  <c r="AP490" i="7"/>
  <c r="AG491" i="7"/>
  <c r="X492" i="7"/>
  <c r="AF73" i="7"/>
  <c r="X73" i="7"/>
  <c r="X107" i="7" s="1"/>
  <c r="AP405" i="7"/>
  <c r="Q176" i="7"/>
  <c r="AR404" i="7"/>
  <c r="AR893" i="2" s="1"/>
  <c r="AQ321" i="7"/>
  <c r="O174" i="7"/>
  <c r="M448" i="7"/>
  <c r="H68" i="7"/>
  <c r="H91" i="7" s="1"/>
  <c r="AI447" i="7"/>
  <c r="U448" i="7"/>
  <c r="W463" i="7"/>
  <c r="Y55" i="7"/>
  <c r="Y258" i="7" s="1"/>
  <c r="AM405" i="7"/>
  <c r="Z411" i="7"/>
  <c r="AA84" i="7"/>
  <c r="AA99" i="7" s="1"/>
  <c r="AA94" i="7"/>
  <c r="AA96" i="7" s="1"/>
  <c r="AA102" i="7" s="1"/>
  <c r="U629" i="2"/>
  <c r="Y66" i="2"/>
  <c r="AB115" i="2"/>
  <c r="AB801" i="2"/>
  <c r="Y678" i="2"/>
  <c r="Y680" i="2" s="1"/>
  <c r="AL170" i="7"/>
  <c r="AK171" i="7"/>
  <c r="AJ172" i="7"/>
  <c r="AI173" i="7"/>
  <c r="AH174" i="7"/>
  <c r="AG175" i="7"/>
  <c r="X176" i="7"/>
  <c r="AL320" i="7"/>
  <c r="AN404" i="7"/>
  <c r="AI489" i="7"/>
  <c r="Z490" i="7"/>
  <c r="M73" i="7"/>
  <c r="M107" i="7" s="1"/>
  <c r="I100" i="8"/>
  <c r="I386" i="7" s="1"/>
  <c r="Q350" i="7"/>
  <c r="AQ171" i="7"/>
  <c r="R489" i="7"/>
  <c r="AS346" i="7"/>
  <c r="AQ448" i="7"/>
  <c r="O344" i="7"/>
  <c r="O170" i="7"/>
  <c r="X448" i="7"/>
  <c r="AH405" i="7"/>
  <c r="AH423" i="7" s="1"/>
  <c r="AD170" i="7"/>
  <c r="AC171" i="7"/>
  <c r="AB172" i="7"/>
  <c r="AA173" i="7"/>
  <c r="Z174" i="7"/>
  <c r="Y175" i="7"/>
  <c r="F176" i="7"/>
  <c r="AD320" i="7"/>
  <c r="AN326" i="7"/>
  <c r="X330" i="7"/>
  <c r="AL486" i="7"/>
  <c r="AK487" i="7"/>
  <c r="AJ488" i="7"/>
  <c r="AA489" i="7"/>
  <c r="G491" i="7"/>
  <c r="Q492" i="7"/>
  <c r="P321" i="7"/>
  <c r="R323" i="7"/>
  <c r="AS322" i="7"/>
  <c r="K346" i="7"/>
  <c r="O320" i="7"/>
  <c r="AF448" i="7"/>
  <c r="T422" i="7"/>
  <c r="T909" i="2" s="1"/>
  <c r="V92" i="7"/>
  <c r="V101" i="7" s="1"/>
  <c r="W314" i="2"/>
  <c r="W316" i="2" s="1"/>
  <c r="AJ108" i="7"/>
  <c r="AJ111" i="7" s="1"/>
  <c r="AQ314" i="2"/>
  <c r="AQ316" i="2" s="1"/>
  <c r="Y107" i="7"/>
  <c r="Y108" i="7" s="1"/>
  <c r="X66" i="2"/>
  <c r="Z55" i="7"/>
  <c r="Z258" i="7" s="1"/>
  <c r="S678" i="2"/>
  <c r="S680" i="2" s="1"/>
  <c r="V170" i="7"/>
  <c r="U171" i="7"/>
  <c r="T172" i="7"/>
  <c r="S173" i="7"/>
  <c r="J174" i="7"/>
  <c r="G175" i="7"/>
  <c r="V320" i="7"/>
  <c r="U321" i="7"/>
  <c r="AC321" i="7"/>
  <c r="AK321" i="7"/>
  <c r="AP324" i="7"/>
  <c r="AF326" i="7"/>
  <c r="AN350" i="7"/>
  <c r="AD403" i="7"/>
  <c r="AD486" i="7"/>
  <c r="AC487" i="7"/>
  <c r="AB488" i="7"/>
  <c r="J490" i="7"/>
  <c r="I106" i="8"/>
  <c r="I391" i="7" s="1"/>
  <c r="R347" i="7"/>
  <c r="AS488" i="7"/>
  <c r="N448" i="7"/>
  <c r="K448" i="7"/>
  <c r="AC448" i="7"/>
  <c r="AI84" i="7"/>
  <c r="AI99" i="7" s="1"/>
  <c r="H159" i="7"/>
  <c r="H67" i="7"/>
  <c r="H87" i="7" s="1"/>
  <c r="W107" i="7"/>
  <c r="AB872" i="2"/>
  <c r="AA396" i="7"/>
  <c r="AA447" i="7" s="1"/>
  <c r="AB56" i="2"/>
  <c r="AP170" i="7"/>
  <c r="AP320" i="7"/>
  <c r="AJ322" i="7"/>
  <c r="AI323" i="7"/>
  <c r="AH324" i="7"/>
  <c r="AG325" i="7"/>
  <c r="X326" i="7"/>
  <c r="AF350" i="7"/>
  <c r="X894" i="2"/>
  <c r="AL330" i="7"/>
  <c r="T488" i="7"/>
  <c r="S489" i="7"/>
  <c r="P448" i="7"/>
  <c r="AS330" i="7"/>
  <c r="N330" i="7"/>
  <c r="K488" i="7"/>
  <c r="M312" i="7"/>
  <c r="AI874" i="2"/>
  <c r="AI877" i="2" s="1"/>
  <c r="X411" i="7"/>
  <c r="AB78" i="7"/>
  <c r="AB80" i="7" s="1"/>
  <c r="AB98" i="7" s="1"/>
  <c r="AD107" i="7"/>
  <c r="W629" i="2"/>
  <c r="S872" i="2"/>
  <c r="AE396" i="7"/>
  <c r="X115" i="2"/>
  <c r="AQ678" i="2"/>
  <c r="AQ680" i="2" s="1"/>
  <c r="AB322" i="7"/>
  <c r="AA323" i="7"/>
  <c r="Z324" i="7"/>
  <c r="Y325" i="7"/>
  <c r="F326" i="7"/>
  <c r="P424" i="7"/>
  <c r="P910" i="2" s="1"/>
  <c r="M264" i="7"/>
  <c r="O490" i="7"/>
  <c r="H69" i="7"/>
  <c r="H95" i="7" s="1"/>
  <c r="AI399" i="7"/>
  <c r="AI400" i="7" s="1"/>
  <c r="AI878" i="2" s="1"/>
  <c r="AI922" i="2" s="1"/>
  <c r="AN415" i="7"/>
  <c r="AN448" i="7"/>
  <c r="W84" i="7"/>
  <c r="W99" i="7" s="1"/>
  <c r="W409" i="7"/>
  <c r="AM409" i="7"/>
  <c r="AG424" i="7"/>
  <c r="AG910" i="2" s="1"/>
  <c r="Y424" i="7"/>
  <c r="Y910" i="2" s="1"/>
  <c r="M873" i="2"/>
  <c r="M396" i="7"/>
  <c r="H322" i="7"/>
  <c r="Q264" i="7"/>
  <c r="AS253" i="7"/>
  <c r="P396" i="7"/>
  <c r="P422" i="7" s="1"/>
  <c r="P909" i="2" s="1"/>
  <c r="H488" i="7"/>
  <c r="V399" i="7"/>
  <c r="V400" i="7" s="1"/>
  <c r="V504" i="7" s="1"/>
  <c r="S399" i="7"/>
  <c r="S400" i="7" s="1"/>
  <c r="T678" i="2"/>
  <c r="T680" i="2" s="1"/>
  <c r="AG678" i="2"/>
  <c r="AG680" i="2" s="1"/>
  <c r="AL678" i="2"/>
  <c r="AL680" i="2" s="1"/>
  <c r="AO894" i="2"/>
  <c r="R73" i="7"/>
  <c r="Q448" i="7"/>
  <c r="H172" i="7"/>
  <c r="AR73" i="7"/>
  <c r="AR314" i="2" s="1"/>
  <c r="AR316" i="2" s="1"/>
  <c r="N160" i="7"/>
  <c r="N286" i="7" s="1"/>
  <c r="AF399" i="7"/>
  <c r="AF400" i="7" s="1"/>
  <c r="AF504" i="7" s="1"/>
  <c r="AL314" i="2"/>
  <c r="AL316" i="2" s="1"/>
  <c r="T314" i="2"/>
  <c r="T316" i="2" s="1"/>
  <c r="AP448" i="7"/>
  <c r="R629" i="2"/>
  <c r="M463" i="7"/>
  <c r="H326" i="7"/>
  <c r="Y57" i="7"/>
  <c r="Y259" i="7" s="1"/>
  <c r="AE414" i="7"/>
  <c r="T399" i="7"/>
  <c r="T400" i="7" s="1"/>
  <c r="AB422" i="7"/>
  <c r="AB909" i="2" s="1"/>
  <c r="Y115" i="2"/>
  <c r="W801" i="2"/>
  <c r="AI424" i="7"/>
  <c r="AI910" i="2" s="1"/>
  <c r="AA424" i="7"/>
  <c r="AA910" i="2" s="1"/>
  <c r="S424" i="7"/>
  <c r="S910" i="2" s="1"/>
  <c r="V448" i="7"/>
  <c r="AD448" i="7"/>
  <c r="AL448" i="7"/>
  <c r="AL883" i="2"/>
  <c r="Y447" i="7"/>
  <c r="Z447" i="7"/>
  <c r="AB399" i="7"/>
  <c r="AB400" i="7" s="1"/>
  <c r="AB452" i="7" s="1"/>
  <c r="S422" i="7"/>
  <c r="S909" i="2" s="1"/>
  <c r="AB86" i="7"/>
  <c r="AB88" i="7" s="1"/>
  <c r="AB100" i="7" s="1"/>
  <c r="AM314" i="2"/>
  <c r="AM316" i="2" s="1"/>
  <c r="AD314" i="2"/>
  <c r="AD316" i="2" s="1"/>
  <c r="AA314" i="2"/>
  <c r="AA316" i="2" s="1"/>
  <c r="AC678" i="2"/>
  <c r="AC680" i="2" s="1"/>
  <c r="P893" i="2"/>
  <c r="P894" i="2" s="1"/>
  <c r="Y422" i="7"/>
  <c r="Y909" i="2" s="1"/>
  <c r="Z422" i="7"/>
  <c r="Z909" i="2" s="1"/>
  <c r="AA107" i="7"/>
  <c r="AG314" i="2"/>
  <c r="AG316" i="2" s="1"/>
  <c r="AS264" i="7"/>
  <c r="AS165" i="7"/>
  <c r="AC883" i="2"/>
  <c r="AF447" i="7"/>
  <c r="AB447" i="7"/>
  <c r="V874" i="2"/>
  <c r="V877" i="2" s="1"/>
  <c r="AB96" i="7"/>
  <c r="AB102" i="7" s="1"/>
  <c r="AH160" i="7"/>
  <c r="Z160" i="7"/>
  <c r="Z463" i="7" s="1"/>
  <c r="AI160" i="7"/>
  <c r="AI253" i="7" s="1"/>
  <c r="AA160" i="7"/>
  <c r="AA463" i="7" s="1"/>
  <c r="S160" i="7"/>
  <c r="AH312" i="7"/>
  <c r="Z312" i="7"/>
  <c r="AI312" i="7"/>
  <c r="AI629" i="2" s="1"/>
  <c r="AA312" i="7"/>
  <c r="S312" i="7"/>
  <c r="S629" i="2" s="1"/>
  <c r="O253" i="7"/>
  <c r="O396" i="7"/>
  <c r="H490" i="7"/>
  <c r="H348" i="7"/>
  <c r="H324" i="7"/>
  <c r="H174" i="7"/>
  <c r="Q405" i="7"/>
  <c r="Q892" i="2"/>
  <c r="Q894" i="2" s="1"/>
  <c r="I349" i="7"/>
  <c r="I175" i="7"/>
  <c r="I325" i="7"/>
  <c r="I491" i="7"/>
  <c r="V452" i="7"/>
  <c r="I172" i="7"/>
  <c r="I488" i="7"/>
  <c r="I346" i="7"/>
  <c r="I322" i="7"/>
  <c r="H170" i="7"/>
  <c r="H320" i="7"/>
  <c r="H486" i="7"/>
  <c r="H344" i="7"/>
  <c r="I171" i="7"/>
  <c r="I321" i="7"/>
  <c r="I345" i="7"/>
  <c r="I487" i="7"/>
  <c r="AB878" i="2"/>
  <c r="AB930" i="2" s="1"/>
  <c r="AJ878" i="2"/>
  <c r="AJ922" i="2" s="1"/>
  <c r="I320" i="7"/>
  <c r="I344" i="7"/>
  <c r="I486" i="7"/>
  <c r="I170" i="7"/>
  <c r="I174" i="7"/>
  <c r="I324" i="7"/>
  <c r="I490" i="7"/>
  <c r="I348" i="7"/>
  <c r="I350" i="7"/>
  <c r="I176" i="7"/>
  <c r="I326" i="7"/>
  <c r="I492" i="7"/>
  <c r="H142" i="2"/>
  <c r="AA415" i="7"/>
  <c r="AH414" i="7"/>
  <c r="AF414" i="7"/>
  <c r="AD447" i="7"/>
  <c r="W264" i="7"/>
  <c r="AB55" i="7"/>
  <c r="Z96" i="7"/>
  <c r="Z102" i="7" s="1"/>
  <c r="AK82" i="7"/>
  <c r="AK84" i="7" s="1"/>
  <c r="AK99" i="7" s="1"/>
  <c r="AK56" i="2"/>
  <c r="AJ801" i="2"/>
  <c r="AA57" i="2"/>
  <c r="AS286" i="7"/>
  <c r="L409" i="7"/>
  <c r="L881" i="2" s="1"/>
  <c r="L424" i="7"/>
  <c r="AF452" i="7"/>
  <c r="AD399" i="7"/>
  <c r="AD400" i="7" s="1"/>
  <c r="AB414" i="7"/>
  <c r="AB423" i="7"/>
  <c r="AL424" i="7"/>
  <c r="AL910" i="2" s="1"/>
  <c r="AD424" i="7"/>
  <c r="AD910" i="2" s="1"/>
  <c r="V424" i="7"/>
  <c r="V910" i="2" s="1"/>
  <c r="AS550" i="2"/>
  <c r="AS556" i="2" s="1"/>
  <c r="AS560" i="2" s="1"/>
  <c r="R409" i="7"/>
  <c r="R411" i="7" s="1"/>
  <c r="R424" i="7"/>
  <c r="R910" i="2" s="1"/>
  <c r="AS424" i="7"/>
  <c r="M353" i="7"/>
  <c r="L463" i="7"/>
  <c r="M447" i="7"/>
  <c r="L253" i="7"/>
  <c r="K409" i="7"/>
  <c r="K411" i="7" s="1"/>
  <c r="K424" i="7"/>
  <c r="K910" i="2" s="1"/>
  <c r="I159" i="7"/>
  <c r="AA801" i="2"/>
  <c r="AA92" i="7"/>
  <c r="AA101" i="7" s="1"/>
  <c r="AK424" i="7"/>
  <c r="AK910" i="2" s="1"/>
  <c r="AC424" i="7"/>
  <c r="AC910" i="2" s="1"/>
  <c r="U424" i="7"/>
  <c r="U910" i="2" s="1"/>
  <c r="Q409" i="7"/>
  <c r="Q881" i="2" s="1"/>
  <c r="Q424" i="7"/>
  <c r="Q910" i="2" s="1"/>
  <c r="AP409" i="7"/>
  <c r="AP881" i="2" s="1"/>
  <c r="AP424" i="7"/>
  <c r="AP910" i="2" s="1"/>
  <c r="AR409" i="7"/>
  <c r="AR881" i="2" s="1"/>
  <c r="AR424" i="7"/>
  <c r="AR910" i="2" s="1"/>
  <c r="I158" i="7"/>
  <c r="K629" i="2"/>
  <c r="H676" i="2"/>
  <c r="S415" i="7"/>
  <c r="F432" i="7"/>
  <c r="AD874" i="2"/>
  <c r="AD877" i="2" s="1"/>
  <c r="AK80" i="7"/>
  <c r="AK98" i="7" s="1"/>
  <c r="AG448" i="7"/>
  <c r="AJ409" i="7"/>
  <c r="AJ881" i="2" s="1"/>
  <c r="AJ424" i="7"/>
  <c r="AJ910" i="2" s="1"/>
  <c r="AB409" i="7"/>
  <c r="AB424" i="7"/>
  <c r="AB910" i="2" s="1"/>
  <c r="T409" i="7"/>
  <c r="T424" i="7"/>
  <c r="T910" i="2" s="1"/>
  <c r="AK396" i="7"/>
  <c r="AC396" i="7"/>
  <c r="U396" i="7"/>
  <c r="AO409" i="7"/>
  <c r="AO881" i="2" s="1"/>
  <c r="AO424" i="7"/>
  <c r="AO910" i="2" s="1"/>
  <c r="AQ409" i="7"/>
  <c r="AQ881" i="2" s="1"/>
  <c r="AQ424" i="7"/>
  <c r="AQ910" i="2" s="1"/>
  <c r="O463" i="7"/>
  <c r="O286" i="7"/>
  <c r="N324" i="7"/>
  <c r="H325" i="7"/>
  <c r="P409" i="7"/>
  <c r="P881" i="2" s="1"/>
  <c r="L405" i="7"/>
  <c r="L329" i="7"/>
  <c r="N174" i="7"/>
  <c r="AH424" i="7"/>
  <c r="AH910" i="2" s="1"/>
  <c r="Z424" i="7"/>
  <c r="Z910" i="2" s="1"/>
  <c r="Q330" i="7"/>
  <c r="AS405" i="7"/>
  <c r="O409" i="7"/>
  <c r="O411" i="7" s="1"/>
  <c r="O424" i="7"/>
  <c r="W550" i="2"/>
  <c r="W556" i="2" s="1"/>
  <c r="W560" i="2" s="1"/>
  <c r="AS353" i="7"/>
  <c r="O353" i="7"/>
  <c r="O447" i="7"/>
  <c r="O329" i="7"/>
  <c r="N409" i="7"/>
  <c r="N411" i="7" s="1"/>
  <c r="N424" i="7"/>
  <c r="N910" i="2" s="1"/>
  <c r="Y399" i="7"/>
  <c r="Y400" i="7" s="1"/>
  <c r="Y504" i="7" s="1"/>
  <c r="W253" i="7"/>
  <c r="AL414" i="7"/>
  <c r="AL416" i="7" s="1"/>
  <c r="AL505" i="7" s="1"/>
  <c r="AL423" i="7"/>
  <c r="V414" i="7"/>
  <c r="V423" i="7"/>
  <c r="X88" i="7"/>
  <c r="X100" i="7" s="1"/>
  <c r="AK801" i="2"/>
  <c r="AO160" i="7"/>
  <c r="AQ405" i="7"/>
  <c r="AQ396" i="7"/>
  <c r="AR160" i="7"/>
  <c r="AR463" i="7" s="1"/>
  <c r="M409" i="7"/>
  <c r="M424" i="7"/>
  <c r="M910" i="2" s="1"/>
  <c r="AQ894" i="2"/>
  <c r="AS894" i="2"/>
  <c r="AB894" i="2"/>
  <c r="H491" i="7"/>
  <c r="AJ452" i="7"/>
  <c r="AB448" i="7"/>
  <c r="AN893" i="2"/>
  <c r="AN894" i="2" s="1"/>
  <c r="AN405" i="7"/>
  <c r="W85" i="2"/>
  <c r="W94" i="7"/>
  <c r="W96" i="7" s="1"/>
  <c r="W102" i="7" s="1"/>
  <c r="X59" i="2"/>
  <c r="X84" i="2"/>
  <c r="Y58" i="2"/>
  <c r="Y83" i="2"/>
  <c r="Y86" i="7"/>
  <c r="Y88" i="7" s="1"/>
  <c r="Y100" i="7" s="1"/>
  <c r="Z57" i="2"/>
  <c r="Z82" i="2"/>
  <c r="Z82" i="7"/>
  <c r="Z84" i="7" s="1"/>
  <c r="Z99" i="7" s="1"/>
  <c r="AI56" i="2"/>
  <c r="AI66" i="2"/>
  <c r="AI78" i="7"/>
  <c r="AI80" i="7" s="1"/>
  <c r="AI98" i="7" s="1"/>
  <c r="AA56" i="2"/>
  <c r="AA78" i="7"/>
  <c r="AA80" i="7" s="1"/>
  <c r="AA98" i="7" s="1"/>
  <c r="AA55" i="7"/>
  <c r="AN678" i="2"/>
  <c r="AN680" i="2" s="1"/>
  <c r="AN107" i="7"/>
  <c r="AN314" i="2"/>
  <c r="AN316" i="2" s="1"/>
  <c r="AF107" i="7"/>
  <c r="AF678" i="2"/>
  <c r="AF680" i="2" s="1"/>
  <c r="AF314" i="2"/>
  <c r="AF316" i="2" s="1"/>
  <c r="V392" i="2"/>
  <c r="V801" i="2"/>
  <c r="E492" i="7"/>
  <c r="E326" i="7"/>
  <c r="E350" i="7"/>
  <c r="E176" i="7"/>
  <c r="AG350" i="7"/>
  <c r="AG176" i="7"/>
  <c r="AG326" i="7"/>
  <c r="AG492" i="7"/>
  <c r="Y350" i="7"/>
  <c r="Y176" i="7"/>
  <c r="Y326" i="7"/>
  <c r="Y492" i="7"/>
  <c r="G350" i="7"/>
  <c r="G176" i="7"/>
  <c r="G326" i="7"/>
  <c r="G492" i="7"/>
  <c r="AH491" i="7"/>
  <c r="AH325" i="7"/>
  <c r="AH349" i="7"/>
  <c r="AH175" i="7"/>
  <c r="Z491" i="7"/>
  <c r="Z325" i="7"/>
  <c r="Z349" i="7"/>
  <c r="Z175" i="7"/>
  <c r="J491" i="7"/>
  <c r="J325" i="7"/>
  <c r="J349" i="7"/>
  <c r="J175" i="7"/>
  <c r="AI174" i="7"/>
  <c r="AI490" i="7"/>
  <c r="AI324" i="7"/>
  <c r="AI348" i="7"/>
  <c r="AA174" i="7"/>
  <c r="AA490" i="7"/>
  <c r="AA324" i="7"/>
  <c r="AA348" i="7"/>
  <c r="S174" i="7"/>
  <c r="S490" i="7"/>
  <c r="S324" i="7"/>
  <c r="S348" i="7"/>
  <c r="AJ323" i="7"/>
  <c r="AJ347" i="7"/>
  <c r="AJ173" i="7"/>
  <c r="AJ489" i="7"/>
  <c r="AB323" i="7"/>
  <c r="AB347" i="7"/>
  <c r="AB173" i="7"/>
  <c r="AB489" i="7"/>
  <c r="T323" i="7"/>
  <c r="T347" i="7"/>
  <c r="T173" i="7"/>
  <c r="T489" i="7"/>
  <c r="AK172" i="7"/>
  <c r="AK488" i="7"/>
  <c r="AK322" i="7"/>
  <c r="AK346" i="7"/>
  <c r="AC172" i="7"/>
  <c r="AC488" i="7"/>
  <c r="AC322" i="7"/>
  <c r="AC346" i="7"/>
  <c r="AA165" i="7"/>
  <c r="AA550" i="2"/>
  <c r="AA556" i="2" s="1"/>
  <c r="AA560" i="2" s="1"/>
  <c r="AA353" i="7"/>
  <c r="AA253" i="7"/>
  <c r="AA264" i="7"/>
  <c r="AA286" i="7"/>
  <c r="H349" i="7"/>
  <c r="AF878" i="2"/>
  <c r="AF922" i="2" s="1"/>
  <c r="W60" i="2"/>
  <c r="H347" i="7"/>
  <c r="H321" i="7"/>
  <c r="T405" i="7"/>
  <c r="T893" i="2"/>
  <c r="H323" i="7"/>
  <c r="H487" i="7"/>
  <c r="H173" i="7"/>
  <c r="H171" i="7"/>
  <c r="U411" i="7"/>
  <c r="X55" i="7"/>
  <c r="X258" i="7" s="1"/>
  <c r="U172" i="7"/>
  <c r="U488" i="7"/>
  <c r="U322" i="7"/>
  <c r="U346" i="7"/>
  <c r="AL171" i="7"/>
  <c r="AL487" i="7"/>
  <c r="AL345" i="7"/>
  <c r="AD171" i="7"/>
  <c r="AD487" i="7"/>
  <c r="AD345" i="7"/>
  <c r="V171" i="7"/>
  <c r="V487" i="7"/>
  <c r="V345" i="7"/>
  <c r="AM486" i="7"/>
  <c r="AM320" i="7"/>
  <c r="AM344" i="7"/>
  <c r="AE486" i="7"/>
  <c r="AE320" i="7"/>
  <c r="AE344" i="7"/>
  <c r="W486" i="7"/>
  <c r="W320" i="7"/>
  <c r="W344" i="7"/>
  <c r="AH629" i="2"/>
  <c r="AH329" i="7"/>
  <c r="AA329" i="7"/>
  <c r="AA629" i="2"/>
  <c r="K446" i="7"/>
  <c r="K438" i="7"/>
  <c r="K441" i="7" s="1"/>
  <c r="L437" i="7" s="1"/>
  <c r="K430" i="7"/>
  <c r="K433" i="7" s="1"/>
  <c r="L429" i="7" s="1"/>
  <c r="AK404" i="7"/>
  <c r="AK330" i="7"/>
  <c r="AC404" i="7"/>
  <c r="AC330" i="7"/>
  <c r="U404" i="7"/>
  <c r="AM396" i="7"/>
  <c r="AM873" i="2"/>
  <c r="W396" i="7"/>
  <c r="W873" i="2"/>
  <c r="AI330" i="7"/>
  <c r="AI403" i="7"/>
  <c r="AA330" i="7"/>
  <c r="AA403" i="7"/>
  <c r="S330" i="7"/>
  <c r="S403" i="7"/>
  <c r="AD880" i="2"/>
  <c r="AD411" i="7"/>
  <c r="O876" i="2"/>
  <c r="K404" i="7"/>
  <c r="N396" i="7"/>
  <c r="N873" i="2"/>
  <c r="L910" i="2"/>
  <c r="L432" i="7"/>
  <c r="L448" i="7" s="1"/>
  <c r="L872" i="2"/>
  <c r="L396" i="7"/>
  <c r="L326" i="7"/>
  <c r="L176" i="7"/>
  <c r="L492" i="7"/>
  <c r="L350" i="7"/>
  <c r="S329" i="7"/>
  <c r="Z56" i="2"/>
  <c r="Z66" i="2"/>
  <c r="S264" i="7"/>
  <c r="S463" i="7"/>
  <c r="Z286" i="7"/>
  <c r="AJ411" i="7"/>
  <c r="AK872" i="2"/>
  <c r="U165" i="7"/>
  <c r="W894" i="2"/>
  <c r="AH165" i="7"/>
  <c r="AA58" i="2"/>
  <c r="AA83" i="2"/>
  <c r="W170" i="7"/>
  <c r="AE170" i="7"/>
  <c r="AM170" i="7"/>
  <c r="AA88" i="7"/>
  <c r="AA100" i="7" s="1"/>
  <c r="Z88" i="7"/>
  <c r="Z100" i="7" s="1"/>
  <c r="S165" i="7"/>
  <c r="Z392" i="2"/>
  <c r="Z801" i="2"/>
  <c r="AM894" i="2"/>
  <c r="AR107" i="7"/>
  <c r="AH286" i="7"/>
  <c r="AJ57" i="2"/>
  <c r="AJ82" i="2"/>
  <c r="AB85" i="2"/>
  <c r="AB60" i="2"/>
  <c r="X396" i="7"/>
  <c r="X872" i="2"/>
  <c r="AJ405" i="7"/>
  <c r="AJ893" i="2"/>
  <c r="AF411" i="7"/>
  <c r="AF880" i="2"/>
  <c r="AK411" i="7"/>
  <c r="AK882" i="2"/>
  <c r="AH253" i="7"/>
  <c r="V411" i="7"/>
  <c r="W82" i="2"/>
  <c r="W57" i="2"/>
  <c r="R396" i="7"/>
  <c r="R872" i="2"/>
  <c r="AP396" i="7"/>
  <c r="AP873" i="2"/>
  <c r="AP411" i="7"/>
  <c r="AP880" i="2"/>
  <c r="AR405" i="7"/>
  <c r="AR892" i="2"/>
  <c r="AI57" i="2"/>
  <c r="AI82" i="2"/>
  <c r="Z58" i="2"/>
  <c r="Z83" i="2"/>
  <c r="V59" i="2"/>
  <c r="V84" i="2"/>
  <c r="V60" i="2"/>
  <c r="V85" i="2"/>
  <c r="P399" i="7"/>
  <c r="P400" i="7" s="1"/>
  <c r="P353" i="7"/>
  <c r="P463" i="7"/>
  <c r="AO396" i="7"/>
  <c r="AR396" i="7"/>
  <c r="AS349" i="7"/>
  <c r="AS175" i="7"/>
  <c r="AS491" i="7"/>
  <c r="K253" i="7"/>
  <c r="K550" i="2"/>
  <c r="K556" i="2" s="1"/>
  <c r="K560" i="2" s="1"/>
  <c r="K353" i="7"/>
  <c r="K264" i="7"/>
  <c r="K286" i="7"/>
  <c r="K463" i="7"/>
  <c r="L880" i="2"/>
  <c r="L876" i="2"/>
  <c r="N629" i="2"/>
  <c r="N329" i="7"/>
  <c r="O346" i="7"/>
  <c r="O322" i="7"/>
  <c r="O488" i="7"/>
  <c r="O172" i="7"/>
  <c r="AB84" i="7"/>
  <c r="AB99" i="7" s="1"/>
  <c r="X57" i="2"/>
  <c r="X82" i="2"/>
  <c r="AK57" i="2"/>
  <c r="AB58" i="2"/>
  <c r="K314" i="2"/>
  <c r="K316" i="2" s="1"/>
  <c r="K678" i="2"/>
  <c r="K680" i="2" s="1"/>
  <c r="AR165" i="7"/>
  <c r="AQ173" i="7"/>
  <c r="AQ347" i="7"/>
  <c r="AQ323" i="7"/>
  <c r="AQ489" i="7"/>
  <c r="N173" i="7"/>
  <c r="N489" i="7"/>
  <c r="N323" i="7"/>
  <c r="N347" i="7"/>
  <c r="Y57" i="2"/>
  <c r="Y82" i="2"/>
  <c r="X60" i="2"/>
  <c r="X85" i="2"/>
  <c r="Y894" i="2"/>
  <c r="AG894" i="2"/>
  <c r="R432" i="7"/>
  <c r="R448" i="7" s="1"/>
  <c r="P880" i="2"/>
  <c r="AS411" i="7"/>
  <c r="M881" i="2"/>
  <c r="M411" i="7"/>
  <c r="L320" i="7"/>
  <c r="L486" i="7"/>
  <c r="L170" i="7"/>
  <c r="Z92" i="7"/>
  <c r="Z101" i="7" s="1"/>
  <c r="V58" i="2"/>
  <c r="V83" i="2"/>
  <c r="AI58" i="2"/>
  <c r="Y59" i="2"/>
  <c r="Y84" i="2"/>
  <c r="Y60" i="2"/>
  <c r="Y85" i="2"/>
  <c r="AP894" i="2"/>
  <c r="N314" i="2"/>
  <c r="N316" i="2" s="1"/>
  <c r="N678" i="2"/>
  <c r="N680" i="2" s="1"/>
  <c r="P447" i="7"/>
  <c r="R881" i="2"/>
  <c r="AO405" i="7"/>
  <c r="AR411" i="7"/>
  <c r="O892" i="2"/>
  <c r="M629" i="2"/>
  <c r="M329" i="7"/>
  <c r="W58" i="2"/>
  <c r="W83" i="2"/>
  <c r="Z59" i="2"/>
  <c r="Z84" i="2"/>
  <c r="Z60" i="2"/>
  <c r="Z85" i="2"/>
  <c r="Z894" i="2"/>
  <c r="AH894" i="2"/>
  <c r="P874" i="2"/>
  <c r="P877" i="2" s="1"/>
  <c r="R404" i="7"/>
  <c r="R893" i="2" s="1"/>
  <c r="R330" i="7"/>
  <c r="Q876" i="2"/>
  <c r="R349" i="7"/>
  <c r="R325" i="7"/>
  <c r="R175" i="7"/>
  <c r="AR324" i="7"/>
  <c r="AR174" i="7"/>
  <c r="AR490" i="7"/>
  <c r="AR348" i="7"/>
  <c r="O330" i="7"/>
  <c r="O404" i="7"/>
  <c r="O893" i="2" s="1"/>
  <c r="K396" i="7"/>
  <c r="K873" i="2"/>
  <c r="N892" i="2"/>
  <c r="N894" i="2" s="1"/>
  <c r="N405" i="7"/>
  <c r="N353" i="7"/>
  <c r="I323" i="7"/>
  <c r="I173" i="7"/>
  <c r="I347" i="7"/>
  <c r="X58" i="2"/>
  <c r="X83" i="2"/>
  <c r="AJ58" i="2"/>
  <c r="AJ83" i="2"/>
  <c r="AA59" i="2"/>
  <c r="AA84" i="2"/>
  <c r="AA60" i="2"/>
  <c r="L314" i="2"/>
  <c r="L316" i="2" s="1"/>
  <c r="L678" i="2"/>
  <c r="L680" i="2" s="1"/>
  <c r="Q396" i="7"/>
  <c r="R892" i="2"/>
  <c r="AR170" i="7"/>
  <c r="AR320" i="7"/>
  <c r="AR486" i="7"/>
  <c r="AR344" i="7"/>
  <c r="L894" i="2"/>
  <c r="M892" i="2"/>
  <c r="M894" i="2" s="1"/>
  <c r="M405" i="7"/>
  <c r="V57" i="2"/>
  <c r="V82" i="2"/>
  <c r="AB57" i="2"/>
  <c r="AB82" i="2"/>
  <c r="AK58" i="2"/>
  <c r="AK83" i="2"/>
  <c r="AB59" i="2"/>
  <c r="AB84" i="2"/>
  <c r="AR448" i="7"/>
  <c r="AS396" i="7"/>
  <c r="AS345" i="7"/>
  <c r="AS321" i="7"/>
  <c r="AS171" i="7"/>
  <c r="AS487" i="7"/>
  <c r="AS910" i="2"/>
  <c r="AS440" i="7"/>
  <c r="O910" i="2"/>
  <c r="O440" i="7"/>
  <c r="O448" i="7" s="1"/>
  <c r="R165" i="7"/>
  <c r="O874" i="2"/>
  <c r="O877" i="2" s="1"/>
  <c r="O550" i="2"/>
  <c r="O556" i="2" s="1"/>
  <c r="O560" i="2" s="1"/>
  <c r="M399" i="7"/>
  <c r="M400" i="7" s="1"/>
  <c r="F28" i="14"/>
  <c r="F29" i="14" s="1"/>
  <c r="R70" i="14"/>
  <c r="U70" i="14"/>
  <c r="AR70" i="14"/>
  <c r="AR72" i="14" s="1"/>
  <c r="E249" i="2"/>
  <c r="X222" i="2"/>
  <c r="AJ70" i="14"/>
  <c r="AJ72" i="14" s="1"/>
  <c r="AB70" i="14"/>
  <c r="AB72" i="14" s="1"/>
  <c r="T70" i="14"/>
  <c r="T72" i="14" s="1"/>
  <c r="AA70" i="14"/>
  <c r="AP70" i="14"/>
  <c r="AP72" i="14" s="1"/>
  <c r="Z70" i="14"/>
  <c r="AO70" i="14"/>
  <c r="AO72" i="14" s="1"/>
  <c r="AG70" i="14"/>
  <c r="AG72" i="14" s="1"/>
  <c r="Y70" i="14"/>
  <c r="Q70" i="14"/>
  <c r="Q72" i="14" s="1"/>
  <c r="AF70" i="14"/>
  <c r="AF72" i="14" s="1"/>
  <c r="E261" i="4"/>
  <c r="E273" i="2"/>
  <c r="E19" i="4"/>
  <c r="E512" i="2" s="1"/>
  <c r="P556" i="2"/>
  <c r="P560" i="2" s="1"/>
  <c r="F509" i="2"/>
  <c r="X70" i="14"/>
  <c r="AQ70" i="14"/>
  <c r="AQ72" i="14" s="1"/>
  <c r="AI70" i="14"/>
  <c r="AI72" i="14" s="1"/>
  <c r="I95" i="14"/>
  <c r="AM70" i="14"/>
  <c r="AM72" i="14" s="1"/>
  <c r="AE70" i="14"/>
  <c r="AE72" i="14" s="1"/>
  <c r="AH70" i="14"/>
  <c r="AH72" i="14" s="1"/>
  <c r="AN70" i="14"/>
  <c r="AN72" i="14" s="1"/>
  <c r="W70" i="14"/>
  <c r="AL70" i="14"/>
  <c r="AL72" i="14" s="1"/>
  <c r="AD70" i="14"/>
  <c r="AD72" i="14" s="1"/>
  <c r="V70" i="14"/>
  <c r="J87" i="14"/>
  <c r="AK70" i="14"/>
  <c r="AK72" i="14" s="1"/>
  <c r="AC70" i="14"/>
  <c r="AC72" i="14" s="1"/>
  <c r="AS70" i="14"/>
  <c r="AS72" i="14" s="1"/>
  <c r="S70" i="14"/>
  <c r="S72" i="14" s="1"/>
  <c r="G273" i="2"/>
  <c r="E563" i="2"/>
  <c r="E632" i="2"/>
  <c r="K593" i="2"/>
  <c r="W219" i="2"/>
  <c r="M956" i="2"/>
  <c r="U956" i="2"/>
  <c r="AC956" i="2"/>
  <c r="Q956" i="2"/>
  <c r="N956" i="2"/>
  <c r="X956" i="2"/>
  <c r="AA956" i="2"/>
  <c r="W956" i="2"/>
  <c r="K956" i="2"/>
  <c r="L956" i="2"/>
  <c r="R956" i="2"/>
  <c r="S956" i="2"/>
  <c r="P956" i="2"/>
  <c r="O956" i="2"/>
  <c r="T956" i="2"/>
  <c r="AD956" i="2"/>
  <c r="V956" i="2"/>
  <c r="Z956" i="2"/>
  <c r="AB956" i="2"/>
  <c r="Y956" i="2"/>
  <c r="J21" i="16"/>
  <c r="J767" i="2"/>
  <c r="J16" i="15"/>
  <c r="I16" i="15" s="1"/>
  <c r="E17" i="4"/>
  <c r="C42" i="18" a="1"/>
  <c r="C42" i="18" s="1"/>
  <c r="F120" i="9" s="1"/>
  <c r="F943" i="2" s="1"/>
  <c r="E46" i="15"/>
  <c r="F520" i="2"/>
  <c r="F828" i="2" s="1"/>
  <c r="Z219" i="2"/>
  <c r="X221" i="2"/>
  <c r="X223" i="2"/>
  <c r="E304" i="2"/>
  <c r="E298" i="2"/>
  <c r="F197" i="7"/>
  <c r="AA221" i="2"/>
  <c r="AA223" i="2"/>
  <c r="AA219" i="2"/>
  <c r="F287" i="2"/>
  <c r="AP159" i="4"/>
  <c r="AH159" i="4"/>
  <c r="Z159" i="4"/>
  <c r="AS159" i="4"/>
  <c r="M274" i="2"/>
  <c r="M262" i="2"/>
  <c r="M264" i="2" s="1"/>
  <c r="AC274" i="2"/>
  <c r="AC262" i="2"/>
  <c r="Q297" i="2"/>
  <c r="Q262" i="2"/>
  <c r="Q264" i="2" s="1"/>
  <c r="P280" i="2"/>
  <c r="P262" i="2"/>
  <c r="P264" i="2" s="1"/>
  <c r="AA267" i="2"/>
  <c r="AA262" i="2"/>
  <c r="S267" i="2"/>
  <c r="S262" i="2"/>
  <c r="S264" i="2" s="1"/>
  <c r="L297" i="2"/>
  <c r="L262" i="2"/>
  <c r="L264" i="2" s="1"/>
  <c r="Z297" i="2"/>
  <c r="Z262" i="2"/>
  <c r="K280" i="2"/>
  <c r="K262" i="2"/>
  <c r="K264" i="2" s="1"/>
  <c r="Y267" i="2"/>
  <c r="Y262" i="2"/>
  <c r="X274" i="2"/>
  <c r="X262" i="2"/>
  <c r="X264" i="2" s="1"/>
  <c r="W280" i="2"/>
  <c r="W262" i="2"/>
  <c r="V274" i="2"/>
  <c r="V262" i="2"/>
  <c r="O274" i="2"/>
  <c r="O262" i="2"/>
  <c r="O264" i="2" s="1"/>
  <c r="W220" i="2"/>
  <c r="I1093" i="2"/>
  <c r="X219" i="2"/>
  <c r="V220" i="2"/>
  <c r="AB221" i="2"/>
  <c r="AB219" i="2"/>
  <c r="V221" i="2"/>
  <c r="V223" i="2"/>
  <c r="V219" i="2"/>
  <c r="W221" i="2"/>
  <c r="Y221" i="2"/>
  <c r="Y223" i="2"/>
  <c r="X220" i="2"/>
  <c r="Y219" i="2"/>
  <c r="Z221" i="2"/>
  <c r="Z223" i="2"/>
  <c r="AB223" i="2"/>
  <c r="W223" i="2"/>
  <c r="S159" i="4"/>
  <c r="V287" i="4"/>
  <c r="V288" i="4" s="1"/>
  <c r="V296" i="4" s="1"/>
  <c r="AS298" i="4"/>
  <c r="K159" i="4"/>
  <c r="U159" i="4"/>
  <c r="AC159" i="4"/>
  <c r="AB159" i="4"/>
  <c r="E247" i="4"/>
  <c r="AI159" i="4"/>
  <c r="AA159" i="4"/>
  <c r="AD247" i="4"/>
  <c r="V247" i="4"/>
  <c r="V11" i="4"/>
  <c r="U192" i="4"/>
  <c r="AD11" i="4"/>
  <c r="AC298" i="4"/>
  <c r="AR159" i="4"/>
  <c r="AF154" i="4"/>
  <c r="AE154" i="4"/>
  <c r="AC247" i="4"/>
  <c r="AR298" i="4"/>
  <c r="AJ298" i="4"/>
  <c r="AB298" i="4"/>
  <c r="AO159" i="4"/>
  <c r="AG159" i="4"/>
  <c r="H11" i="2"/>
  <c r="AI298" i="4"/>
  <c r="AA298" i="4"/>
  <c r="AG154" i="4"/>
  <c r="AQ298" i="4"/>
  <c r="Q159" i="4"/>
  <c r="AL148" i="4"/>
  <c r="AL153" i="4" s="1"/>
  <c r="AL154" i="4" s="1"/>
  <c r="X158" i="4"/>
  <c r="X159" i="4" s="1"/>
  <c r="F160" i="4" s="1"/>
  <c r="F200" i="2" s="1"/>
  <c r="AL298" i="4"/>
  <c r="AO298" i="4"/>
  <c r="AQ159" i="4"/>
  <c r="AO148" i="4"/>
  <c r="AO153" i="4" s="1"/>
  <c r="AO154" i="4" s="1"/>
  <c r="AM159" i="4"/>
  <c r="S148" i="4"/>
  <c r="S194" i="2" s="1"/>
  <c r="AL159" i="4"/>
  <c r="AD159" i="4"/>
  <c r="V159" i="4"/>
  <c r="L159" i="4"/>
  <c r="P159" i="4"/>
  <c r="O159" i="4"/>
  <c r="AG298" i="4"/>
  <c r="H535" i="2"/>
  <c r="Y255" i="2"/>
  <c r="Y257" i="2" s="1"/>
  <c r="Y263" i="2" s="1"/>
  <c r="AQ148" i="4"/>
  <c r="AQ153" i="4" s="1"/>
  <c r="AQ154" i="4" s="1"/>
  <c r="Y158" i="4"/>
  <c r="Y159" i="4" s="1"/>
  <c r="AK298" i="4"/>
  <c r="AN298" i="4"/>
  <c r="Y192" i="4"/>
  <c r="U148" i="4"/>
  <c r="U194" i="2" s="1"/>
  <c r="AP148" i="4"/>
  <c r="AP194" i="2" s="1"/>
  <c r="Z148" i="4"/>
  <c r="Z153" i="4" s="1"/>
  <c r="Z154" i="4" s="1"/>
  <c r="Y148" i="4"/>
  <c r="Y194" i="2" s="1"/>
  <c r="Y196" i="2" s="1"/>
  <c r="Y335" i="2" s="1"/>
  <c r="M159" i="4"/>
  <c r="D52" i="18"/>
  <c r="G29" i="9"/>
  <c r="G12" i="10" s="1"/>
  <c r="G1141" i="2" s="1"/>
  <c r="B52" i="18"/>
  <c r="E29" i="9"/>
  <c r="E1060" i="2" s="1"/>
  <c r="G184" i="2"/>
  <c r="C52" i="18"/>
  <c r="F29" i="9"/>
  <c r="F1060" i="2" s="1"/>
  <c r="G1064" i="2" s="1"/>
  <c r="D126" i="18" s="1"/>
  <c r="AG194" i="2"/>
  <c r="AJ148" i="4"/>
  <c r="AJ153" i="4" s="1"/>
  <c r="AJ154" i="4" s="1"/>
  <c r="R159" i="4"/>
  <c r="U543" i="2"/>
  <c r="AM298" i="4"/>
  <c r="AE298" i="4"/>
  <c r="H103" i="2"/>
  <c r="H94" i="2"/>
  <c r="H203" i="2"/>
  <c r="U297" i="4"/>
  <c r="AD298" i="4"/>
  <c r="AH298" i="4"/>
  <c r="AN148" i="4"/>
  <c r="AN153" i="4" s="1"/>
  <c r="AN154" i="4" s="1"/>
  <c r="G247" i="4"/>
  <c r="G248" i="4" s="1"/>
  <c r="V148" i="4"/>
  <c r="V194" i="2" s="1"/>
  <c r="T159" i="4"/>
  <c r="AD148" i="4"/>
  <c r="AD153" i="4" s="1"/>
  <c r="AD154" i="4" s="1"/>
  <c r="AN159" i="4"/>
  <c r="AF159" i="4"/>
  <c r="AF194" i="2"/>
  <c r="AB148" i="4"/>
  <c r="AB153" i="4" s="1"/>
  <c r="AB154" i="4" s="1"/>
  <c r="AK148" i="4"/>
  <c r="AK153" i="4" s="1"/>
  <c r="AK154" i="4" s="1"/>
  <c r="AP298" i="4"/>
  <c r="AI148" i="4"/>
  <c r="AI194" i="2" s="1"/>
  <c r="X148" i="4"/>
  <c r="X194" i="2" s="1"/>
  <c r="X196" i="2" s="1"/>
  <c r="X335" i="2" s="1"/>
  <c r="AE159" i="4"/>
  <c r="W159" i="4"/>
  <c r="AS148" i="4"/>
  <c r="AS153" i="4" s="1"/>
  <c r="AS154" i="4" s="1"/>
  <c r="N159" i="4"/>
  <c r="F104" i="4"/>
  <c r="AH148" i="4"/>
  <c r="AH153" i="4" s="1"/>
  <c r="AH154" i="4" s="1"/>
  <c r="T148" i="4"/>
  <c r="T194" i="2" s="1"/>
  <c r="AR148" i="4"/>
  <c r="AR153" i="4" s="1"/>
  <c r="AR154" i="4" s="1"/>
  <c r="H246" i="2"/>
  <c r="AF298" i="4"/>
  <c r="AG247" i="4"/>
  <c r="AE177" i="4"/>
  <c r="AE199" i="4" s="1"/>
  <c r="H36" i="2"/>
  <c r="AC148" i="4"/>
  <c r="AC194" i="2" s="1"/>
  <c r="H63" i="2"/>
  <c r="AM148" i="4"/>
  <c r="AM194" i="2" s="1"/>
  <c r="AA148" i="4"/>
  <c r="AA194" i="2" s="1"/>
  <c r="F222" i="4"/>
  <c r="F229" i="4" s="1"/>
  <c r="Z531" i="2"/>
  <c r="Z297" i="4"/>
  <c r="Z298" i="4" s="1"/>
  <c r="Z543" i="2"/>
  <c r="X297" i="4"/>
  <c r="X298" i="4" s="1"/>
  <c r="X531" i="2"/>
  <c r="X543" i="2"/>
  <c r="W148" i="4"/>
  <c r="W543" i="2"/>
  <c r="W297" i="4"/>
  <c r="W531" i="2"/>
  <c r="W288" i="4"/>
  <c r="W296" i="4" s="1"/>
  <c r="I293" i="4"/>
  <c r="V297" i="4"/>
  <c r="V543" i="2"/>
  <c r="V531" i="2"/>
  <c r="AS194" i="2"/>
  <c r="AP153" i="4"/>
  <c r="AP154" i="4" s="1"/>
  <c r="Y531" i="2"/>
  <c r="Y543" i="2"/>
  <c r="Y297" i="4"/>
  <c r="Y298" i="4" s="1"/>
  <c r="U296" i="4"/>
  <c r="X192" i="4"/>
  <c r="H26" i="2"/>
  <c r="T297" i="4"/>
  <c r="T298" i="4" s="1"/>
  <c r="AE194" i="2"/>
  <c r="T543" i="2"/>
  <c r="H14" i="2"/>
  <c r="AF11" i="4"/>
  <c r="AF192" i="4"/>
  <c r="X11" i="4"/>
  <c r="V316" i="2"/>
  <c r="AM1093" i="2"/>
  <c r="AE1093" i="2"/>
  <c r="W1003" i="2"/>
  <c r="W145" i="17" s="1"/>
  <c r="AC1003" i="2"/>
  <c r="AC43" i="16" s="1"/>
  <c r="N1003" i="2"/>
  <c r="N145" i="17" s="1"/>
  <c r="AR1003" i="2"/>
  <c r="AR145" i="17" s="1"/>
  <c r="AJ1003" i="2"/>
  <c r="AJ145" i="17" s="1"/>
  <c r="AB1003" i="2"/>
  <c r="AB145" i="17" s="1"/>
  <c r="T1003" i="2"/>
  <c r="T145" i="17" s="1"/>
  <c r="AD1003" i="2"/>
  <c r="AD145" i="17" s="1"/>
  <c r="AQ1093" i="2"/>
  <c r="AI1003" i="2"/>
  <c r="AI43" i="16" s="1"/>
  <c r="AA1003" i="2"/>
  <c r="AA43" i="16" s="1"/>
  <c r="L1003" i="2"/>
  <c r="L145" i="17" s="1"/>
  <c r="AP1093" i="2"/>
  <c r="AH1003" i="2"/>
  <c r="AH43" i="16" s="1"/>
  <c r="Z1003" i="2"/>
  <c r="Z43" i="16" s="1"/>
  <c r="K1093" i="2"/>
  <c r="AL1003" i="2"/>
  <c r="AL145" i="17" s="1"/>
  <c r="V1003" i="2"/>
  <c r="V145" i="17" s="1"/>
  <c r="AG1093" i="2"/>
  <c r="AN1093" i="2"/>
  <c r="AF1093" i="2"/>
  <c r="X1003" i="2"/>
  <c r="X145" i="17" s="1"/>
  <c r="P1003" i="2"/>
  <c r="P145" i="17" s="1"/>
  <c r="X150" i="2"/>
  <c r="AH192" i="4"/>
  <c r="W192" i="4"/>
  <c r="Y11" i="4"/>
  <c r="Z11" i="4"/>
  <c r="P11" i="4"/>
  <c r="AE11" i="4"/>
  <c r="AG11" i="4"/>
  <c r="W11" i="4"/>
  <c r="O11" i="4"/>
  <c r="E18" i="4"/>
  <c r="E124" i="2" s="1"/>
  <c r="S11" i="4"/>
  <c r="AG232" i="4"/>
  <c r="AG254" i="4" s="1"/>
  <c r="N11" i="4"/>
  <c r="S247" i="4"/>
  <c r="Z247" i="4"/>
  <c r="AH11" i="4"/>
  <c r="G157" i="2"/>
  <c r="R11" i="4"/>
  <c r="T11" i="4"/>
  <c r="M11" i="4"/>
  <c r="Z316" i="2"/>
  <c r="AB192" i="4"/>
  <c r="AA192" i="4"/>
  <c r="AA11" i="4"/>
  <c r="AF177" i="4"/>
  <c r="AF199" i="4" s="1"/>
  <c r="AH232" i="4"/>
  <c r="AH254" i="4" s="1"/>
  <c r="L11" i="4"/>
  <c r="T247" i="4"/>
  <c r="AG177" i="4"/>
  <c r="AG199" i="4" s="1"/>
  <c r="AD171" i="4"/>
  <c r="AD177" i="4" s="1"/>
  <c r="AD199" i="4" s="1"/>
  <c r="E1061" i="2"/>
  <c r="E1108" i="2"/>
  <c r="G249" i="2"/>
  <c r="G1147" i="2"/>
  <c r="AE232" i="4"/>
  <c r="AE254" i="4" s="1"/>
  <c r="F1061" i="2"/>
  <c r="F1064" i="2" s="1"/>
  <c r="C126" i="18" s="1"/>
  <c r="F1108" i="2"/>
  <c r="G261" i="4"/>
  <c r="G1061" i="2"/>
  <c r="G1108" i="2"/>
  <c r="AC11" i="4"/>
  <c r="AD232" i="4"/>
  <c r="AD254" i="4" s="1"/>
  <c r="U11" i="4"/>
  <c r="AB11" i="4"/>
  <c r="Q11" i="4"/>
  <c r="AM1003" i="2"/>
  <c r="AM43" i="16" s="1"/>
  <c r="AB41" i="2"/>
  <c r="AB74" i="2"/>
  <c r="F1004" i="2"/>
  <c r="F44" i="16" s="1"/>
  <c r="AA1093" i="2"/>
  <c r="AI1093" i="2"/>
  <c r="AQ1003" i="2"/>
  <c r="AQ43" i="16" s="1"/>
  <c r="AB111" i="7"/>
  <c r="AB239" i="7"/>
  <c r="AB221" i="7"/>
  <c r="AB223" i="7" s="1"/>
  <c r="Z57" i="7"/>
  <c r="Z259" i="7" s="1"/>
  <c r="AK109" i="2"/>
  <c r="X90" i="7"/>
  <c r="X92" i="7" s="1"/>
  <c r="X101" i="7" s="1"/>
  <c r="AJ78" i="7"/>
  <c r="AJ80" i="7" s="1"/>
  <c r="AJ98" i="7" s="1"/>
  <c r="AK106" i="7"/>
  <c r="AK108" i="7" s="1"/>
  <c r="AA66" i="2"/>
  <c r="AJ66" i="2"/>
  <c r="Y801" i="2"/>
  <c r="W86" i="7"/>
  <c r="W88" i="7" s="1"/>
  <c r="W100" i="7" s="1"/>
  <c r="E1188" i="2"/>
  <c r="C55" i="11" s="1"/>
  <c r="E67" i="15" s="1"/>
  <c r="G1188" i="2"/>
  <c r="E55" i="11" s="1"/>
  <c r="H1120" i="2"/>
  <c r="E158" i="18" s="1"/>
  <c r="G1192" i="2"/>
  <c r="E59" i="11" s="1"/>
  <c r="E1192" i="2"/>
  <c r="C59" i="11" s="1"/>
  <c r="E70" i="15" s="1"/>
  <c r="G1182" i="2"/>
  <c r="E49" i="11" s="1"/>
  <c r="H1114" i="2"/>
  <c r="E152" i="18" s="1"/>
  <c r="E1187" i="2"/>
  <c r="C54" i="11" s="1"/>
  <c r="E66" i="15" s="1"/>
  <c r="E1180" i="2"/>
  <c r="C47" i="11" s="1"/>
  <c r="E59" i="15" s="1"/>
  <c r="E1182" i="2"/>
  <c r="C49" i="11" s="1"/>
  <c r="E61" i="15" s="1"/>
  <c r="P316" i="2"/>
  <c r="G1187" i="2"/>
  <c r="E54" i="11" s="1"/>
  <c r="H1119" i="2"/>
  <c r="E157" i="18" s="1"/>
  <c r="G1180" i="2"/>
  <c r="E47" i="11" s="1"/>
  <c r="H1112" i="2"/>
  <c r="E150" i="18" s="1"/>
  <c r="E1183" i="2"/>
  <c r="C50" i="11" s="1"/>
  <c r="E62" i="15" s="1"/>
  <c r="K1003" i="2"/>
  <c r="K43" i="16" s="1"/>
  <c r="AI316" i="2"/>
  <c r="G1186" i="2"/>
  <c r="E53" i="11" s="1"/>
  <c r="H1118" i="2"/>
  <c r="E156" i="18" s="1"/>
  <c r="L143" i="2"/>
  <c r="L148" i="2" s="1"/>
  <c r="L150" i="2" s="1"/>
  <c r="AB316" i="2"/>
  <c r="G1183" i="2"/>
  <c r="E50" i="11" s="1"/>
  <c r="H1115" i="2"/>
  <c r="E153" i="18" s="1"/>
  <c r="K143" i="2"/>
  <c r="K148" i="2" s="1"/>
  <c r="K150" i="2" s="1"/>
  <c r="M4" i="17"/>
  <c r="L4" i="10"/>
  <c r="K9" i="10"/>
  <c r="L4" i="7"/>
  <c r="L4" i="12"/>
  <c r="K4" i="8"/>
  <c r="K4" i="16"/>
  <c r="E1162" i="2"/>
  <c r="E1070" i="2"/>
  <c r="B132" i="18" s="1"/>
  <c r="G1162" i="2"/>
  <c r="H1070" i="2"/>
  <c r="E132" i="18" s="1"/>
  <c r="G1158" i="2"/>
  <c r="E21" i="11" s="1"/>
  <c r="G27" i="15" s="1"/>
  <c r="H1067" i="2"/>
  <c r="E129" i="18" s="1"/>
  <c r="E239" i="2"/>
  <c r="E357" i="2" s="1"/>
  <c r="E1158" i="2"/>
  <c r="C21" i="11" s="1"/>
  <c r="E27" i="15" s="1"/>
  <c r="E1067" i="2"/>
  <c r="B129" i="18" s="1"/>
  <c r="E1165" i="2"/>
  <c r="E1172" i="2"/>
  <c r="C27" i="11" s="1"/>
  <c r="E33" i="15" s="1"/>
  <c r="E1168" i="2"/>
  <c r="C24" i="11" s="1"/>
  <c r="E30" i="15" s="1"/>
  <c r="G1168" i="2"/>
  <c r="E24" i="11" s="1"/>
  <c r="G30" i="15" s="1"/>
  <c r="G1161" i="2"/>
  <c r="E1169" i="2"/>
  <c r="C25" i="11" s="1"/>
  <c r="E31" i="15" s="1"/>
  <c r="G1173" i="2"/>
  <c r="E28" i="11" s="1"/>
  <c r="G34" i="15" s="1"/>
  <c r="G1165" i="2"/>
  <c r="E1161" i="2"/>
  <c r="G1171" i="2"/>
  <c r="E26" i="11" s="1"/>
  <c r="G32" i="15" s="1"/>
  <c r="E1163" i="2"/>
  <c r="G1169" i="2"/>
  <c r="E25" i="11" s="1"/>
  <c r="G31" i="15" s="1"/>
  <c r="G1167" i="2"/>
  <c r="E23" i="11" s="1"/>
  <c r="G29" i="15" s="1"/>
  <c r="E1171" i="2"/>
  <c r="C26" i="11" s="1"/>
  <c r="E32" i="15" s="1"/>
  <c r="F144" i="17"/>
  <c r="E1157" i="2"/>
  <c r="C20" i="11" s="1"/>
  <c r="E26" i="15" s="1"/>
  <c r="E1066" i="2"/>
  <c r="B128" i="18" s="1"/>
  <c r="G1157" i="2"/>
  <c r="E20" i="11" s="1"/>
  <c r="G26" i="15" s="1"/>
  <c r="F41" i="16"/>
  <c r="AJ1093" i="2"/>
  <c r="E1173" i="2"/>
  <c r="C28" i="11" s="1"/>
  <c r="E34" i="15" s="1"/>
  <c r="F1095" i="2"/>
  <c r="G1172" i="2"/>
  <c r="E27" i="11" s="1"/>
  <c r="G33" i="15" s="1"/>
  <c r="G1163" i="2"/>
  <c r="E1167" i="2"/>
  <c r="C23" i="11" s="1"/>
  <c r="E29" i="15" s="1"/>
  <c r="F45" i="16"/>
  <c r="F147" i="17"/>
  <c r="J1093" i="2"/>
  <c r="AS143" i="2"/>
  <c r="AS148" i="2" s="1"/>
  <c r="AS150" i="2" s="1"/>
  <c r="AK143" i="2"/>
  <c r="AK148" i="2" s="1"/>
  <c r="AK150" i="2" s="1"/>
  <c r="AC143" i="2"/>
  <c r="AC148" i="2" s="1"/>
  <c r="AC150" i="2" s="1"/>
  <c r="W150" i="2"/>
  <c r="W1093" i="2"/>
  <c r="X41" i="2"/>
  <c r="X74" i="2"/>
  <c r="AE1003" i="2"/>
  <c r="AE43" i="16" s="1"/>
  <c r="AR1093" i="2"/>
  <c r="E78" i="16"/>
  <c r="AH1093" i="2"/>
  <c r="G152" i="17"/>
  <c r="AP1003" i="2"/>
  <c r="AP43" i="16" s="1"/>
  <c r="G1094" i="2"/>
  <c r="F1093" i="2"/>
  <c r="G930" i="2"/>
  <c r="F1130" i="2"/>
  <c r="F75" i="16" s="1"/>
  <c r="E1129" i="2"/>
  <c r="E74" i="16" s="1"/>
  <c r="H1130" i="2"/>
  <c r="H75" i="16" s="1"/>
  <c r="I145" i="17"/>
  <c r="F1129" i="2"/>
  <c r="F74" i="16" s="1"/>
  <c r="Z226" i="2"/>
  <c r="Z227" i="2" s="1"/>
  <c r="V143" i="2"/>
  <c r="V148" i="2" s="1"/>
  <c r="V150" i="2" s="1"/>
  <c r="H1129" i="2"/>
  <c r="H74" i="16" s="1"/>
  <c r="W680" i="2"/>
  <c r="AA680" i="2"/>
  <c r="AI680" i="2"/>
  <c r="E149" i="17"/>
  <c r="AB226" i="2"/>
  <c r="AB227" i="2" s="1"/>
  <c r="E142" i="17"/>
  <c r="AI143" i="2"/>
  <c r="AI148" i="2" s="1"/>
  <c r="AI150" i="2" s="1"/>
  <c r="AA143" i="2"/>
  <c r="AA148" i="2" s="1"/>
  <c r="AA150" i="2" s="1"/>
  <c r="I42" i="16"/>
  <c r="AB169" i="2"/>
  <c r="AG1003" i="2"/>
  <c r="AG43" i="16" s="1"/>
  <c r="AE316" i="2"/>
  <c r="AB153" i="2"/>
  <c r="M143" i="2"/>
  <c r="M148" i="2" s="1"/>
  <c r="M150" i="2" s="1"/>
  <c r="G1005" i="2"/>
  <c r="G45" i="16" s="1"/>
  <c r="Q680" i="2"/>
  <c r="AB680" i="2"/>
  <c r="AJ680" i="2"/>
  <c r="AF1003" i="2"/>
  <c r="AF43" i="16" s="1"/>
  <c r="AN1003" i="2"/>
  <c r="AN145" i="17" s="1"/>
  <c r="U680" i="2"/>
  <c r="V680" i="2"/>
  <c r="Z680" i="2"/>
  <c r="AD680" i="2"/>
  <c r="AH680" i="2"/>
  <c r="P680" i="2"/>
  <c r="N144" i="17"/>
  <c r="H142" i="17"/>
  <c r="AH316" i="2"/>
  <c r="E148" i="17"/>
  <c r="AP143" i="2"/>
  <c r="AP148" i="2" s="1"/>
  <c r="AP150" i="2" s="1"/>
  <c r="Z143" i="2"/>
  <c r="Z148" i="2" s="1"/>
  <c r="Z150" i="2" s="1"/>
  <c r="J148" i="17"/>
  <c r="AK316" i="2"/>
  <c r="H143" i="17"/>
  <c r="S316" i="2"/>
  <c r="Y316" i="2"/>
  <c r="AD1093" i="2"/>
  <c r="Q316" i="2"/>
  <c r="E145" i="17"/>
  <c r="E43" i="16"/>
  <c r="AL442" i="2"/>
  <c r="AL445" i="2" s="1"/>
  <c r="P1093" i="2"/>
  <c r="G50" i="16"/>
  <c r="Z442" i="2"/>
  <c r="Z445" i="2" s="1"/>
  <c r="AR442" i="2"/>
  <c r="AR445" i="2" s="1"/>
  <c r="J1094" i="2"/>
  <c r="AL1093" i="2"/>
  <c r="N1093" i="2"/>
  <c r="X442" i="2"/>
  <c r="X445" i="2" s="1"/>
  <c r="AH442" i="2"/>
  <c r="AH445" i="2" s="1"/>
  <c r="E45" i="15"/>
  <c r="X1093" i="2"/>
  <c r="AJ143" i="2"/>
  <c r="AJ148" i="2" s="1"/>
  <c r="AJ150" i="2" s="1"/>
  <c r="V442" i="2"/>
  <c r="V445" i="2" s="1"/>
  <c r="T442" i="2"/>
  <c r="T445" i="2" s="1"/>
  <c r="R442" i="2"/>
  <c r="R445" i="2" s="1"/>
  <c r="Z267" i="2"/>
  <c r="H1093" i="2"/>
  <c r="E1093" i="2"/>
  <c r="O442" i="2"/>
  <c r="O445" i="2" s="1"/>
  <c r="Z280" i="2"/>
  <c r="F148" i="17"/>
  <c r="AJ442" i="2"/>
  <c r="AJ445" i="2" s="1"/>
  <c r="AA442" i="2"/>
  <c r="AA445" i="2" s="1"/>
  <c r="G47" i="16"/>
  <c r="AN442" i="2"/>
  <c r="AN445" i="2" s="1"/>
  <c r="N442" i="2"/>
  <c r="N445" i="2" s="1"/>
  <c r="Z274" i="2"/>
  <c r="V1093" i="2"/>
  <c r="F536" i="2"/>
  <c r="AF442" i="2"/>
  <c r="AF445" i="2" s="1"/>
  <c r="E41" i="15"/>
  <c r="N169" i="2"/>
  <c r="R143" i="2"/>
  <c r="R148" i="2" s="1"/>
  <c r="R150" i="2" s="1"/>
  <c r="W267" i="2"/>
  <c r="J145" i="17"/>
  <c r="Q143" i="2"/>
  <c r="Q148" i="2" s="1"/>
  <c r="Q150" i="2" s="1"/>
  <c r="W274" i="2"/>
  <c r="G1202" i="2"/>
  <c r="L144" i="17"/>
  <c r="E42" i="16"/>
  <c r="F930" i="2"/>
  <c r="W297" i="2"/>
  <c r="AN143" i="2"/>
  <c r="AN148" i="2" s="1"/>
  <c r="AN150" i="2" s="1"/>
  <c r="AF143" i="2"/>
  <c r="AF148" i="2" s="1"/>
  <c r="AF150" i="2" s="1"/>
  <c r="AC160" i="2"/>
  <c r="AC226" i="2"/>
  <c r="AC227" i="2" s="1"/>
  <c r="N264" i="2"/>
  <c r="F143" i="17"/>
  <c r="X267" i="2"/>
  <c r="V226" i="2"/>
  <c r="V227" i="2" s="1"/>
  <c r="T143" i="2"/>
  <c r="T148" i="2" s="1"/>
  <c r="T150" i="2" s="1"/>
  <c r="F42" i="16"/>
  <c r="AC1093" i="2"/>
  <c r="AO143" i="2"/>
  <c r="AO148" i="2" s="1"/>
  <c r="AO150" i="2" s="1"/>
  <c r="AG143" i="2"/>
  <c r="AG148" i="2" s="1"/>
  <c r="AG150" i="2" s="1"/>
  <c r="F775" i="2"/>
  <c r="M1003" i="2"/>
  <c r="M1093" i="2"/>
  <c r="J152" i="17"/>
  <c r="J50" i="16"/>
  <c r="J1018" i="2"/>
  <c r="J1131" i="2" s="1"/>
  <c r="J76" i="16" s="1"/>
  <c r="E583" i="2"/>
  <c r="E601" i="2" s="1"/>
  <c r="E582" i="2"/>
  <c r="E591" i="2" s="1"/>
  <c r="E161" i="2"/>
  <c r="F180" i="2"/>
  <c r="E1213" i="2"/>
  <c r="E75" i="16"/>
  <c r="Z121" i="2"/>
  <c r="F97" i="2"/>
  <c r="F99" i="2" s="1"/>
  <c r="AO1093" i="2"/>
  <c r="AO1003" i="2"/>
  <c r="Y1003" i="2"/>
  <c r="Y1093" i="2"/>
  <c r="Q1003" i="2"/>
  <c r="Q1093" i="2"/>
  <c r="H1095" i="2"/>
  <c r="H1005" i="2"/>
  <c r="Y226" i="2"/>
  <c r="Y227" i="2" s="1"/>
  <c r="Y169" i="2"/>
  <c r="Y160" i="2"/>
  <c r="Y153" i="2"/>
  <c r="O144" i="17"/>
  <c r="O42" i="16"/>
  <c r="J41" i="16"/>
  <c r="J143" i="17"/>
  <c r="G1203" i="2"/>
  <c r="G78" i="16"/>
  <c r="U143" i="2"/>
  <c r="U148" i="2" s="1"/>
  <c r="U150" i="2" s="1"/>
  <c r="P143" i="2"/>
  <c r="P148" i="2" s="1"/>
  <c r="P150" i="2" s="1"/>
  <c r="AD143" i="2"/>
  <c r="AD148" i="2" s="1"/>
  <c r="AD150" i="2" s="1"/>
  <c r="S143" i="2"/>
  <c r="S148" i="2" s="1"/>
  <c r="S150" i="2" s="1"/>
  <c r="J1043" i="2"/>
  <c r="H42" i="16"/>
  <c r="AM143" i="2"/>
  <c r="AM148" i="2" s="1"/>
  <c r="AM150" i="2" s="1"/>
  <c r="AE143" i="2"/>
  <c r="AE148" i="2" s="1"/>
  <c r="AE150" i="2" s="1"/>
  <c r="AR143" i="2"/>
  <c r="AR148" i="2" s="1"/>
  <c r="AR150" i="2" s="1"/>
  <c r="N143" i="2"/>
  <c r="N148" i="2" s="1"/>
  <c r="N150" i="2" s="1"/>
  <c r="Y150" i="2"/>
  <c r="E143" i="17"/>
  <c r="E41" i="16"/>
  <c r="H47" i="16"/>
  <c r="H149" i="17"/>
  <c r="Z31" i="2"/>
  <c r="Z41" i="2"/>
  <c r="T274" i="2"/>
  <c r="T280" i="2"/>
  <c r="T297" i="2"/>
  <c r="T267" i="2"/>
  <c r="F43" i="16"/>
  <c r="F145" i="17"/>
  <c r="G44" i="16"/>
  <c r="G146" i="17"/>
  <c r="E1204" i="2"/>
  <c r="C38" i="11" s="1"/>
  <c r="E53" i="15" s="1"/>
  <c r="E79" i="16"/>
  <c r="E220" i="2"/>
  <c r="E922" i="2"/>
  <c r="G144" i="17"/>
  <c r="AQ442" i="2"/>
  <c r="AQ445" i="2" s="1"/>
  <c r="AO442" i="2"/>
  <c r="AO445" i="2" s="1"/>
  <c r="AE442" i="2"/>
  <c r="AE445" i="2" s="1"/>
  <c r="AB442" i="2"/>
  <c r="AB445" i="2" s="1"/>
  <c r="M442" i="2"/>
  <c r="M445" i="2" s="1"/>
  <c r="F396" i="2"/>
  <c r="F1039" i="2" s="1"/>
  <c r="E236" i="2"/>
  <c r="E345" i="2" s="1"/>
  <c r="E154" i="2"/>
  <c r="E179" i="2" s="1"/>
  <c r="E709" i="2" s="1"/>
  <c r="E268" i="2"/>
  <c r="F152" i="17"/>
  <c r="W442" i="2"/>
  <c r="W445" i="2" s="1"/>
  <c r="AM442" i="2"/>
  <c r="AM445" i="2" s="1"/>
  <c r="AD442" i="2"/>
  <c r="AD445" i="2" s="1"/>
  <c r="Q442" i="2"/>
  <c r="Q445" i="2" s="1"/>
  <c r="L442" i="2"/>
  <c r="L445" i="2" s="1"/>
  <c r="X297" i="2"/>
  <c r="E223" i="2"/>
  <c r="J142" i="17"/>
  <c r="K42" i="16"/>
  <c r="L1093" i="2"/>
  <c r="AI442" i="2"/>
  <c r="AI445" i="2" s="1"/>
  <c r="U442" i="2"/>
  <c r="U445" i="2" s="1"/>
  <c r="AS442" i="2"/>
  <c r="AS445" i="2" s="1"/>
  <c r="H922" i="2"/>
  <c r="G148" i="17"/>
  <c r="E45" i="16"/>
  <c r="T1093" i="2"/>
  <c r="E50" i="16"/>
  <c r="J149" i="17"/>
  <c r="AG442" i="2"/>
  <c r="AG445" i="2" s="1"/>
  <c r="AP442" i="2"/>
  <c r="AP445" i="2" s="1"/>
  <c r="AK442" i="2"/>
  <c r="AK445" i="2" s="1"/>
  <c r="P442" i="2"/>
  <c r="P445" i="2" s="1"/>
  <c r="K442" i="2"/>
  <c r="K445" i="2" s="1"/>
  <c r="G142" i="17"/>
  <c r="AB143" i="2"/>
  <c r="AB148" i="2" s="1"/>
  <c r="AB150" i="2" s="1"/>
  <c r="E1216" i="2"/>
  <c r="E1200" i="2"/>
  <c r="C34" i="11" s="1"/>
  <c r="E49" i="15" s="1"/>
  <c r="O143" i="2"/>
  <c r="O148" i="2" s="1"/>
  <c r="O150" i="2" s="1"/>
  <c r="S442" i="2"/>
  <c r="S445" i="2" s="1"/>
  <c r="Y442" i="2"/>
  <c r="Y445" i="2" s="1"/>
  <c r="E152" i="17"/>
  <c r="AA74" i="2"/>
  <c r="AB1093" i="2"/>
  <c r="E1095" i="2"/>
  <c r="G1201" i="2"/>
  <c r="E276" i="2"/>
  <c r="AA41" i="2"/>
  <c r="Z1093" i="2"/>
  <c r="G41" i="16"/>
  <c r="G143" i="17"/>
  <c r="F47" i="16"/>
  <c r="F149" i="17"/>
  <c r="J930" i="2"/>
  <c r="J922" i="2"/>
  <c r="P226" i="2"/>
  <c r="P227" i="2" s="1"/>
  <c r="P169" i="2"/>
  <c r="F444" i="2"/>
  <c r="F139" i="17"/>
  <c r="F18" i="16"/>
  <c r="F93" i="17"/>
  <c r="F397" i="2"/>
  <c r="F1040" i="2" s="1"/>
  <c r="Q274" i="2"/>
  <c r="V31" i="2"/>
  <c r="V74" i="2"/>
  <c r="V41" i="2"/>
  <c r="AS1003" i="2"/>
  <c r="AS1093" i="2"/>
  <c r="AK1093" i="2"/>
  <c r="AK1003" i="2"/>
  <c r="U1003" i="2"/>
  <c r="U1093" i="2"/>
  <c r="G1003" i="2"/>
  <c r="G1093" i="2"/>
  <c r="H1004" i="2"/>
  <c r="H1094" i="2"/>
  <c r="R264" i="2"/>
  <c r="AL143" i="2"/>
  <c r="AL148" i="2" s="1"/>
  <c r="AL150" i="2" s="1"/>
  <c r="X227" i="2"/>
  <c r="AC41" i="2"/>
  <c r="AC31" i="2"/>
  <c r="G1199" i="2"/>
  <c r="G74" i="16"/>
  <c r="G1200" i="2"/>
  <c r="G75" i="16"/>
  <c r="E221" i="2"/>
  <c r="H1018" i="2"/>
  <c r="H1131" i="2" s="1"/>
  <c r="H76" i="16" s="1"/>
  <c r="H50" i="16"/>
  <c r="H152" i="17"/>
  <c r="H148" i="17"/>
  <c r="AQ143" i="2"/>
  <c r="AQ148" i="2" s="1"/>
  <c r="AQ150" i="2" s="1"/>
  <c r="S1093" i="2"/>
  <c r="S1003" i="2"/>
  <c r="E1004" i="2"/>
  <c r="E1094" i="2"/>
  <c r="P42" i="16"/>
  <c r="F303" i="2"/>
  <c r="R1003" i="2"/>
  <c r="R1093" i="2"/>
  <c r="E1205" i="2"/>
  <c r="C39" i="11" s="1"/>
  <c r="E1218" i="2"/>
  <c r="O226" i="2"/>
  <c r="O227" i="2" s="1"/>
  <c r="O153" i="2"/>
  <c r="Y31" i="2"/>
  <c r="Y41" i="2"/>
  <c r="N274" i="2"/>
  <c r="N280" i="2"/>
  <c r="F142" i="17"/>
  <c r="J146" i="17"/>
  <c r="H43" i="16"/>
  <c r="H145" i="17"/>
  <c r="W41" i="2"/>
  <c r="W74" i="2"/>
  <c r="E1215" i="2"/>
  <c r="E1202" i="2"/>
  <c r="C36" i="11" s="1"/>
  <c r="E40" i="15" s="1"/>
  <c r="E77" i="16"/>
  <c r="E1201" i="2"/>
  <c r="C35" i="11" s="1"/>
  <c r="E50" i="15" s="1"/>
  <c r="E1214" i="2"/>
  <c r="G1204" i="2"/>
  <c r="G79" i="16"/>
  <c r="Z74" i="2"/>
  <c r="E1217" i="2"/>
  <c r="M144" i="17"/>
  <c r="M42" i="16"/>
  <c r="O1093" i="2"/>
  <c r="O1003" i="2"/>
  <c r="M169" i="2"/>
  <c r="M153" i="2"/>
  <c r="M226" i="2"/>
  <c r="M227" i="2" s="1"/>
  <c r="AH143" i="2"/>
  <c r="AH148" i="2" s="1"/>
  <c r="AH150" i="2" s="1"/>
  <c r="F1018" i="2"/>
  <c r="F1131" i="2" s="1"/>
  <c r="M280" i="2"/>
  <c r="M297" i="2"/>
  <c r="M267" i="2"/>
  <c r="S169" i="2"/>
  <c r="S226" i="2"/>
  <c r="S227" i="2" s="1"/>
  <c r="A60" i="18"/>
  <c r="F60" i="18" s="1"/>
  <c r="AA226" i="2"/>
  <c r="AA227" i="2" s="1"/>
  <c r="L274" i="2"/>
  <c r="AC267" i="2"/>
  <c r="AC280" i="2"/>
  <c r="AC297" i="2"/>
  <c r="Z160" i="2"/>
  <c r="S160" i="2"/>
  <c r="U226" i="2"/>
  <c r="U227" i="2" s="1"/>
  <c r="U160" i="2"/>
  <c r="P153" i="2"/>
  <c r="U169" i="2"/>
  <c r="P160" i="2"/>
  <c r="O267" i="2"/>
  <c r="K297" i="2"/>
  <c r="G15" i="15"/>
  <c r="E157" i="2"/>
  <c r="O297" i="2"/>
  <c r="K274" i="2"/>
  <c r="O280" i="2"/>
  <c r="K267" i="2"/>
  <c r="Z153" i="2"/>
  <c r="L169" i="2"/>
  <c r="F55" i="18"/>
  <c r="AC153" i="2"/>
  <c r="L160" i="2"/>
  <c r="Y280" i="2"/>
  <c r="AA160" i="2"/>
  <c r="Y274" i="2"/>
  <c r="V297" i="2"/>
  <c r="F1151" i="2"/>
  <c r="AA153" i="2"/>
  <c r="L280" i="2"/>
  <c r="E307" i="2"/>
  <c r="E390" i="2"/>
  <c r="L267" i="2"/>
  <c r="K169" i="2"/>
  <c r="E9" i="15"/>
  <c r="E11" i="15"/>
  <c r="E21" i="15"/>
  <c r="V267" i="2"/>
  <c r="Y297" i="2"/>
  <c r="E206" i="4"/>
  <c r="O169" i="2"/>
  <c r="K226" i="2"/>
  <c r="K227" i="2" s="1"/>
  <c r="V280" i="2"/>
  <c r="T160" i="2"/>
  <c r="K160" i="2"/>
  <c r="T226" i="2"/>
  <c r="T227" i="2" s="1"/>
  <c r="S274" i="2"/>
  <c r="Q280" i="2"/>
  <c r="W226" i="2"/>
  <c r="W227" i="2" s="1"/>
  <c r="Q267" i="2"/>
  <c r="N160" i="2"/>
  <c r="E35" i="15"/>
  <c r="N153" i="2"/>
  <c r="U267" i="2"/>
  <c r="U280" i="2"/>
  <c r="S280" i="2"/>
  <c r="S297" i="2"/>
  <c r="AC169" i="2"/>
  <c r="X160" i="2"/>
  <c r="L226" i="2"/>
  <c r="L227" i="2" s="1"/>
  <c r="N297" i="2"/>
  <c r="Q226" i="2"/>
  <c r="Q227" i="2" s="1"/>
  <c r="N267" i="2"/>
  <c r="Q160" i="2"/>
  <c r="X280" i="2"/>
  <c r="Q169" i="2"/>
  <c r="X153" i="2"/>
  <c r="W153" i="2"/>
  <c r="Q153" i="2"/>
  <c r="X169" i="2"/>
  <c r="W160" i="2"/>
  <c r="R297" i="2"/>
  <c r="R274" i="2"/>
  <c r="R267" i="2"/>
  <c r="R280" i="2"/>
  <c r="AA274" i="2"/>
  <c r="AA280" i="2"/>
  <c r="AA297" i="2"/>
  <c r="AB280" i="2"/>
  <c r="AB297" i="2"/>
  <c r="AB267" i="2"/>
  <c r="U274" i="2"/>
  <c r="U297" i="2"/>
  <c r="AB274" i="2"/>
  <c r="P297" i="2"/>
  <c r="P267" i="2"/>
  <c r="P274" i="2"/>
  <c r="R160" i="2"/>
  <c r="T169" i="2"/>
  <c r="R153" i="2"/>
  <c r="V153" i="2"/>
  <c r="R169" i="2"/>
  <c r="V169" i="2"/>
  <c r="Z239" i="7" l="1"/>
  <c r="Z111" i="7"/>
  <c r="Z221" i="7"/>
  <c r="Z223" i="7" s="1"/>
  <c r="O11" i="10"/>
  <c r="N4" i="7"/>
  <c r="N4" i="16"/>
  <c r="N4" i="10"/>
  <c r="N4" i="17"/>
  <c r="N4" i="14"/>
  <c r="N4" i="9"/>
  <c r="N4" i="8"/>
  <c r="N607" i="2"/>
  <c r="M4" i="10"/>
  <c r="M4" i="12"/>
  <c r="M4" i="14"/>
  <c r="M4" i="7"/>
  <c r="M4" i="8"/>
  <c r="M4" i="9"/>
  <c r="AJ239" i="7"/>
  <c r="M4" i="16"/>
  <c r="M607" i="2"/>
  <c r="M4" i="2"/>
  <c r="M4" i="4"/>
  <c r="Y103" i="7"/>
  <c r="N4" i="12"/>
  <c r="N4" i="4"/>
  <c r="N4" i="2"/>
  <c r="AG505" i="7"/>
  <c r="AG453" i="7"/>
  <c r="AS107" i="7"/>
  <c r="AS678" i="2"/>
  <c r="AS680" i="2" s="1"/>
  <c r="AJ221" i="7"/>
  <c r="AJ223" i="7" s="1"/>
  <c r="AJ226" i="7" s="1"/>
  <c r="AI504" i="7"/>
  <c r="AG399" i="7"/>
  <c r="AG400" i="7" s="1"/>
  <c r="AG878" i="2" s="1"/>
  <c r="AH416" i="7"/>
  <c r="AH453" i="7" s="1"/>
  <c r="AH447" i="7"/>
  <c r="AE629" i="2"/>
  <c r="AS329" i="7"/>
  <c r="AS629" i="2"/>
  <c r="AO678" i="2"/>
  <c r="AO680" i="2" s="1"/>
  <c r="AO107" i="7"/>
  <c r="AO314" i="2"/>
  <c r="AO316" i="2" s="1"/>
  <c r="AI883" i="2"/>
  <c r="AI415" i="7"/>
  <c r="Z253" i="7"/>
  <c r="AH883" i="2"/>
  <c r="AH422" i="7"/>
  <c r="AH909" i="2" s="1"/>
  <c r="AS314" i="2"/>
  <c r="AS316" i="2" s="1"/>
  <c r="AP678" i="2"/>
  <c r="AP680" i="2" s="1"/>
  <c r="AP107" i="7"/>
  <c r="AP314" i="2"/>
  <c r="AP316" i="2" s="1"/>
  <c r="AG883" i="2"/>
  <c r="AO329" i="7"/>
  <c r="W423" i="7"/>
  <c r="W414" i="7"/>
  <c r="P411" i="7"/>
  <c r="AI930" i="2"/>
  <c r="AJ930" i="2"/>
  <c r="Q411" i="7"/>
  <c r="Q883" i="2" s="1"/>
  <c r="AI452" i="7"/>
  <c r="V878" i="2"/>
  <c r="V930" i="2" s="1"/>
  <c r="AH399" i="7"/>
  <c r="AH400" i="7" s="1"/>
  <c r="AH452" i="7" s="1"/>
  <c r="K682" i="2"/>
  <c r="K55" i="10"/>
  <c r="K28" i="10"/>
  <c r="K43" i="10" s="1"/>
  <c r="X108" i="7"/>
  <c r="X221" i="7" s="1"/>
  <c r="X223" i="7" s="1"/>
  <c r="AA108" i="7"/>
  <c r="AA221" i="7" s="1"/>
  <c r="AA223" i="7" s="1"/>
  <c r="AJ894" i="2"/>
  <c r="C117" i="18"/>
  <c r="C112" i="18"/>
  <c r="D117" i="18"/>
  <c r="D112" i="18"/>
  <c r="V894" i="2"/>
  <c r="AG928" i="2"/>
  <c r="AG923" i="2"/>
  <c r="AC928" i="2"/>
  <c r="AC923" i="2"/>
  <c r="AL923" i="2"/>
  <c r="AL928" i="2"/>
  <c r="S928" i="2"/>
  <c r="S923" i="2"/>
  <c r="AH923" i="2"/>
  <c r="AH928" i="2"/>
  <c r="AR894" i="2"/>
  <c r="T894" i="2"/>
  <c r="AB922" i="2"/>
  <c r="N264" i="7"/>
  <c r="N881" i="2"/>
  <c r="AI329" i="7"/>
  <c r="X57" i="7"/>
  <c r="X259" i="7" s="1"/>
  <c r="N165" i="7"/>
  <c r="AB504" i="7"/>
  <c r="AA399" i="7"/>
  <c r="AA400" i="7" s="1"/>
  <c r="AA504" i="7" s="1"/>
  <c r="I312" i="7"/>
  <c r="O678" i="2"/>
  <c r="O680" i="2" s="1"/>
  <c r="P423" i="7"/>
  <c r="N253" i="7"/>
  <c r="AQ411" i="7"/>
  <c r="AB103" i="7"/>
  <c r="AB110" i="7" s="1"/>
  <c r="AB112" i="7" s="1"/>
  <c r="O314" i="2"/>
  <c r="O316" i="2" s="1"/>
  <c r="N463" i="7"/>
  <c r="M678" i="2"/>
  <c r="M680" i="2" s="1"/>
  <c r="AA103" i="7"/>
  <c r="AA234" i="7" s="1"/>
  <c r="Q629" i="2"/>
  <c r="AG874" i="2"/>
  <c r="AG877" i="2" s="1"/>
  <c r="AG447" i="7"/>
  <c r="N550" i="2"/>
  <c r="N556" i="2" s="1"/>
  <c r="N560" i="2" s="1"/>
  <c r="M314" i="2"/>
  <c r="M316" i="2" s="1"/>
  <c r="Y111" i="7"/>
  <c r="Y239" i="7"/>
  <c r="AR678" i="2"/>
  <c r="AR680" i="2" s="1"/>
  <c r="AI353" i="7"/>
  <c r="AA878" i="2"/>
  <c r="AA930" i="2" s="1"/>
  <c r="AA874" i="2"/>
  <c r="AA877" i="2" s="1"/>
  <c r="AA422" i="7"/>
  <c r="AA909" i="2" s="1"/>
  <c r="AD892" i="2"/>
  <c r="AD894" i="2" s="1"/>
  <c r="AD405" i="7"/>
  <c r="AP423" i="7"/>
  <c r="AP414" i="7"/>
  <c r="AL874" i="2"/>
  <c r="AL877" i="2" s="1"/>
  <c r="AL447" i="7"/>
  <c r="AL399" i="7"/>
  <c r="AL400" i="7" s="1"/>
  <c r="Z874" i="2"/>
  <c r="Z877" i="2" s="1"/>
  <c r="Z399" i="7"/>
  <c r="Z400" i="7" s="1"/>
  <c r="AI550" i="2"/>
  <c r="AI556" i="2" s="1"/>
  <c r="AI560" i="2" s="1"/>
  <c r="Y878" i="2"/>
  <c r="Y930" i="2" s="1"/>
  <c r="Z415" i="7"/>
  <c r="Z416" i="7" s="1"/>
  <c r="Z883" i="2"/>
  <c r="AF874" i="2"/>
  <c r="AF877" i="2" s="1"/>
  <c r="AF422" i="7"/>
  <c r="AF909" i="2" s="1"/>
  <c r="AI264" i="7"/>
  <c r="X678" i="2"/>
  <c r="X680" i="2" s="1"/>
  <c r="X415" i="7"/>
  <c r="X883" i="2"/>
  <c r="AM423" i="7"/>
  <c r="AM414" i="7"/>
  <c r="AI165" i="7"/>
  <c r="X314" i="2"/>
  <c r="X316" i="2" s="1"/>
  <c r="AN422" i="7"/>
  <c r="AN909" i="2" s="1"/>
  <c r="AN874" i="2"/>
  <c r="AN877" i="2" s="1"/>
  <c r="AN399" i="7"/>
  <c r="AN400" i="7" s="1"/>
  <c r="AN447" i="7"/>
  <c r="AM881" i="2"/>
  <c r="AM411" i="7"/>
  <c r="AE881" i="2"/>
  <c r="AE411" i="7"/>
  <c r="Y415" i="7"/>
  <c r="Y416" i="7" s="1"/>
  <c r="Y883" i="2"/>
  <c r="X423" i="7"/>
  <c r="X414" i="7"/>
  <c r="R405" i="7"/>
  <c r="R423" i="7" s="1"/>
  <c r="AA452" i="7"/>
  <c r="AG504" i="7"/>
  <c r="W881" i="2"/>
  <c r="W411" i="7"/>
  <c r="AE874" i="2"/>
  <c r="AE877" i="2" s="1"/>
  <c r="AE399" i="7"/>
  <c r="AE400" i="7" s="1"/>
  <c r="AE422" i="7"/>
  <c r="AE909" i="2" s="1"/>
  <c r="AE447" i="7"/>
  <c r="Z329" i="7"/>
  <c r="Z629" i="2"/>
  <c r="AL453" i="7"/>
  <c r="S550" i="2"/>
  <c r="S556" i="2" s="1"/>
  <c r="S560" i="2" s="1"/>
  <c r="S353" i="7"/>
  <c r="S253" i="7"/>
  <c r="S286" i="7"/>
  <c r="O399" i="7"/>
  <c r="O400" i="7" s="1"/>
  <c r="O878" i="2" s="1"/>
  <c r="O422" i="7"/>
  <c r="O909" i="2" s="1"/>
  <c r="AI463" i="7"/>
  <c r="AI286" i="7"/>
  <c r="S504" i="7"/>
  <c r="S452" i="7"/>
  <c r="S878" i="2"/>
  <c r="Z550" i="2"/>
  <c r="Z556" i="2" s="1"/>
  <c r="Z560" i="2" s="1"/>
  <c r="Z353" i="7"/>
  <c r="Z264" i="7"/>
  <c r="Z165" i="7"/>
  <c r="X103" i="7"/>
  <c r="X110" i="7" s="1"/>
  <c r="AH550" i="2"/>
  <c r="AH556" i="2" s="1"/>
  <c r="AH560" i="2" s="1"/>
  <c r="AH463" i="7"/>
  <c r="AH353" i="7"/>
  <c r="AH264" i="7"/>
  <c r="T452" i="7"/>
  <c r="T504" i="7"/>
  <c r="T878" i="2"/>
  <c r="AH878" i="2"/>
  <c r="AH504" i="7"/>
  <c r="M874" i="2"/>
  <c r="M877" i="2" s="1"/>
  <c r="M422" i="7"/>
  <c r="M909" i="2" s="1"/>
  <c r="Z103" i="7"/>
  <c r="Z234" i="7" s="1"/>
  <c r="R107" i="7"/>
  <c r="R314" i="2"/>
  <c r="R316" i="2" s="1"/>
  <c r="R678" i="2"/>
  <c r="R680" i="2" s="1"/>
  <c r="AG930" i="2"/>
  <c r="AG922" i="2"/>
  <c r="AO550" i="2"/>
  <c r="AO556" i="2" s="1"/>
  <c r="AO560" i="2" s="1"/>
  <c r="AO353" i="7"/>
  <c r="AO463" i="7"/>
  <c r="AO264" i="7"/>
  <c r="AO253" i="7"/>
  <c r="AO165" i="7"/>
  <c r="AO286" i="7"/>
  <c r="I160" i="7"/>
  <c r="I253" i="7" s="1"/>
  <c r="AB881" i="2"/>
  <c r="AB411" i="7"/>
  <c r="I424" i="7"/>
  <c r="I910" i="2" s="1"/>
  <c r="Y221" i="7"/>
  <c r="Y223" i="7" s="1"/>
  <c r="Y226" i="7" s="1"/>
  <c r="AO414" i="7"/>
  <c r="AO423" i="7"/>
  <c r="O881" i="2"/>
  <c r="AN414" i="7"/>
  <c r="AN416" i="7" s="1"/>
  <c r="AN453" i="7" s="1"/>
  <c r="AN423" i="7"/>
  <c r="Y452" i="7"/>
  <c r="AG452" i="7"/>
  <c r="U399" i="7"/>
  <c r="U400" i="7" s="1"/>
  <c r="U447" i="7"/>
  <c r="U422" i="7"/>
  <c r="U909" i="2" s="1"/>
  <c r="U874" i="2"/>
  <c r="U877" i="2" s="1"/>
  <c r="AD878" i="2"/>
  <c r="AD452" i="7"/>
  <c r="AD504" i="7"/>
  <c r="N414" i="7"/>
  <c r="N423" i="7"/>
  <c r="R414" i="7"/>
  <c r="AR414" i="7"/>
  <c r="AR423" i="7"/>
  <c r="T414" i="7"/>
  <c r="T423" i="7"/>
  <c r="AR264" i="7"/>
  <c r="AR550" i="2"/>
  <c r="AR556" i="2" s="1"/>
  <c r="AR560" i="2" s="1"/>
  <c r="AR253" i="7"/>
  <c r="AR353" i="7"/>
  <c r="AR286" i="7"/>
  <c r="AS414" i="7"/>
  <c r="AS423" i="7"/>
  <c r="AC399" i="7"/>
  <c r="AC400" i="7" s="1"/>
  <c r="AC422" i="7"/>
  <c r="AC909" i="2" s="1"/>
  <c r="AC447" i="7"/>
  <c r="AC874" i="2"/>
  <c r="AC877" i="2" s="1"/>
  <c r="Q423" i="7"/>
  <c r="Q414" i="7"/>
  <c r="M414" i="7"/>
  <c r="M423" i="7"/>
  <c r="L411" i="7"/>
  <c r="AJ414" i="7"/>
  <c r="AJ423" i="7"/>
  <c r="AQ399" i="7"/>
  <c r="AQ400" i="7" s="1"/>
  <c r="AQ874" i="2"/>
  <c r="AQ877" i="2" s="1"/>
  <c r="AQ422" i="7"/>
  <c r="AQ909" i="2" s="1"/>
  <c r="AQ447" i="7"/>
  <c r="AK422" i="7"/>
  <c r="AK909" i="2" s="1"/>
  <c r="AK447" i="7"/>
  <c r="AK399" i="7"/>
  <c r="AK400" i="7" s="1"/>
  <c r="AK874" i="2"/>
  <c r="AK877" i="2" s="1"/>
  <c r="AB57" i="7"/>
  <c r="AB259" i="7" s="1"/>
  <c r="AB258" i="7"/>
  <c r="K881" i="2"/>
  <c r="AQ414" i="7"/>
  <c r="AQ423" i="7"/>
  <c r="AO411" i="7"/>
  <c r="L414" i="7"/>
  <c r="L423" i="7"/>
  <c r="T881" i="2"/>
  <c r="T411" i="7"/>
  <c r="R894" i="2"/>
  <c r="O894" i="2"/>
  <c r="R883" i="2"/>
  <c r="R415" i="7"/>
  <c r="M883" i="2"/>
  <c r="M415" i="7"/>
  <c r="K883" i="2"/>
  <c r="K415" i="7"/>
  <c r="P878" i="2"/>
  <c r="P452" i="7"/>
  <c r="P504" i="7"/>
  <c r="L874" i="2"/>
  <c r="L877" i="2" s="1"/>
  <c r="L422" i="7"/>
  <c r="L909" i="2" s="1"/>
  <c r="L399" i="7"/>
  <c r="L400" i="7" s="1"/>
  <c r="L447" i="7"/>
  <c r="K893" i="2"/>
  <c r="K894" i="2" s="1"/>
  <c r="K405" i="7"/>
  <c r="K423" i="7" s="1"/>
  <c r="AA892" i="2"/>
  <c r="AA894" i="2" s="1"/>
  <c r="AA405" i="7"/>
  <c r="F330" i="7"/>
  <c r="U330" i="7"/>
  <c r="U415" i="7"/>
  <c r="U883" i="2"/>
  <c r="AF930" i="2"/>
  <c r="O452" i="7"/>
  <c r="AI892" i="2"/>
  <c r="AI894" i="2" s="1"/>
  <c r="AI405" i="7"/>
  <c r="F910" i="2"/>
  <c r="V415" i="7"/>
  <c r="V416" i="7" s="1"/>
  <c r="V883" i="2"/>
  <c r="M452" i="7"/>
  <c r="M878" i="2"/>
  <c r="M504" i="7"/>
  <c r="AS448" i="7"/>
  <c r="F448" i="7" s="1"/>
  <c r="F440" i="7"/>
  <c r="AQ415" i="7"/>
  <c r="AQ883" i="2"/>
  <c r="AS415" i="7"/>
  <c r="AS416" i="7" s="1"/>
  <c r="AS883" i="2"/>
  <c r="I550" i="2"/>
  <c r="I556" i="2" s="1"/>
  <c r="AP399" i="7"/>
  <c r="AP400" i="7" s="1"/>
  <c r="AP874" i="2"/>
  <c r="AP877" i="2" s="1"/>
  <c r="AP447" i="7"/>
  <c r="AP422" i="7"/>
  <c r="AP909" i="2" s="1"/>
  <c r="O415" i="7"/>
  <c r="O883" i="2"/>
  <c r="AC893" i="2"/>
  <c r="AC894" i="2" s="1"/>
  <c r="AC405" i="7"/>
  <c r="U893" i="2"/>
  <c r="U894" i="2" s="1"/>
  <c r="U405" i="7"/>
  <c r="Q422" i="7"/>
  <c r="Q909" i="2" s="1"/>
  <c r="Q399" i="7"/>
  <c r="Q400" i="7" s="1"/>
  <c r="Q447" i="7"/>
  <c r="Q874" i="2"/>
  <c r="Q877" i="2" s="1"/>
  <c r="K874" i="2"/>
  <c r="K877" i="2" s="1"/>
  <c r="K399" i="7"/>
  <c r="K400" i="7" s="1"/>
  <c r="K447" i="7"/>
  <c r="K449" i="7" s="1"/>
  <c r="L445" i="7" s="1"/>
  <c r="I396" i="7"/>
  <c r="K422" i="7"/>
  <c r="O405" i="7"/>
  <c r="O423" i="7" s="1"/>
  <c r="AR447" i="7"/>
  <c r="AR422" i="7"/>
  <c r="AR909" i="2" s="1"/>
  <c r="AR399" i="7"/>
  <c r="AR400" i="7" s="1"/>
  <c r="AR874" i="2"/>
  <c r="AR877" i="2" s="1"/>
  <c r="AJ415" i="7"/>
  <c r="AJ416" i="7" s="1"/>
  <c r="AJ883" i="2"/>
  <c r="AD883" i="2"/>
  <c r="AD415" i="7"/>
  <c r="AA258" i="7"/>
  <c r="AA57" i="7"/>
  <c r="AA259" i="7" s="1"/>
  <c r="AN505" i="7"/>
  <c r="AS422" i="7"/>
  <c r="AS909" i="2" s="1"/>
  <c r="AS399" i="7"/>
  <c r="AS400" i="7" s="1"/>
  <c r="AS447" i="7"/>
  <c r="AS874" i="2"/>
  <c r="AS877" i="2" s="1"/>
  <c r="I329" i="7"/>
  <c r="I629" i="2"/>
  <c r="AR415" i="7"/>
  <c r="AR416" i="7" s="1"/>
  <c r="AR883" i="2"/>
  <c r="P415" i="7"/>
  <c r="P416" i="7" s="1"/>
  <c r="P883" i="2"/>
  <c r="AO399" i="7"/>
  <c r="AO400" i="7" s="1"/>
  <c r="AO874" i="2"/>
  <c r="AO877" i="2" s="1"/>
  <c r="AO422" i="7"/>
  <c r="AO909" i="2" s="1"/>
  <c r="AO447" i="7"/>
  <c r="AQ452" i="7"/>
  <c r="AQ504" i="7"/>
  <c r="AQ878" i="2"/>
  <c r="R422" i="7"/>
  <c r="R909" i="2" s="1"/>
  <c r="R874" i="2"/>
  <c r="R877" i="2" s="1"/>
  <c r="R399" i="7"/>
  <c r="R400" i="7" s="1"/>
  <c r="R447" i="7"/>
  <c r="W874" i="2"/>
  <c r="W877" i="2" s="1"/>
  <c r="W447" i="7"/>
  <c r="W399" i="7"/>
  <c r="W400" i="7" s="1"/>
  <c r="W422" i="7"/>
  <c r="W909" i="2" s="1"/>
  <c r="AK893" i="2"/>
  <c r="AK894" i="2" s="1"/>
  <c r="AK405" i="7"/>
  <c r="AP883" i="2"/>
  <c r="AP415" i="7"/>
  <c r="AP416" i="7" s="1"/>
  <c r="AF883" i="2"/>
  <c r="AF415" i="7"/>
  <c r="AF416" i="7" s="1"/>
  <c r="I330" i="7"/>
  <c r="K330" i="7"/>
  <c r="L883" i="2"/>
  <c r="L415" i="7"/>
  <c r="X447" i="7"/>
  <c r="X399" i="7"/>
  <c r="X400" i="7" s="1"/>
  <c r="X874" i="2"/>
  <c r="X877" i="2" s="1"/>
  <c r="X422" i="7"/>
  <c r="X909" i="2" s="1"/>
  <c r="S892" i="2"/>
  <c r="S894" i="2" s="1"/>
  <c r="S405" i="7"/>
  <c r="L430" i="7"/>
  <c r="L433" i="7" s="1"/>
  <c r="M429" i="7" s="1"/>
  <c r="N883" i="2"/>
  <c r="N415" i="7"/>
  <c r="AK883" i="2"/>
  <c r="AK415" i="7"/>
  <c r="N447" i="7"/>
  <c r="N874" i="2"/>
  <c r="N877" i="2" s="1"/>
  <c r="N399" i="7"/>
  <c r="N400" i="7" s="1"/>
  <c r="N422" i="7"/>
  <c r="N909" i="2" s="1"/>
  <c r="AM874" i="2"/>
  <c r="AM877" i="2" s="1"/>
  <c r="AM447" i="7"/>
  <c r="AM399" i="7"/>
  <c r="AM400" i="7" s="1"/>
  <c r="AM422" i="7"/>
  <c r="AM909" i="2" s="1"/>
  <c r="L438" i="7"/>
  <c r="L441" i="7" s="1"/>
  <c r="M437" i="7" s="1"/>
  <c r="C32" i="18" a="1"/>
  <c r="C32" i="18" s="1"/>
  <c r="F77" i="9" s="1"/>
  <c r="F600" i="2" s="1"/>
  <c r="C21" i="18" a="1"/>
  <c r="C21" i="18" s="1"/>
  <c r="F114" i="4" s="1"/>
  <c r="F166" i="2" s="1"/>
  <c r="C18" i="18" a="1"/>
  <c r="C18" i="18" s="1"/>
  <c r="F45" i="9" s="1"/>
  <c r="F273" i="2" s="1"/>
  <c r="U275" i="2" s="1"/>
  <c r="C19" i="18" a="1"/>
  <c r="C19" i="18" s="1"/>
  <c r="F46" i="9" s="1"/>
  <c r="F15" i="15" s="1"/>
  <c r="J15" i="15" s="1"/>
  <c r="I15" i="15" s="1"/>
  <c r="C44" i="18" a="1"/>
  <c r="C44" i="18" s="1"/>
  <c r="F129" i="9" s="1"/>
  <c r="F962" i="2" s="1"/>
  <c r="C15" i="18" a="1"/>
  <c r="C15" i="18" s="1"/>
  <c r="F44" i="9" s="1"/>
  <c r="F13" i="15" s="1"/>
  <c r="J13" i="15" s="1"/>
  <c r="I13" i="15" s="1"/>
  <c r="J70" i="14"/>
  <c r="I70" i="14"/>
  <c r="C66" i="18"/>
  <c r="C106" i="18"/>
  <c r="D106" i="18"/>
  <c r="D100" i="18"/>
  <c r="C27" i="18" a="1"/>
  <c r="C27" i="18" s="1"/>
  <c r="F82" i="9" s="1"/>
  <c r="C39" i="18" a="1"/>
  <c r="C39" i="18" s="1"/>
  <c r="F110" i="9" s="1"/>
  <c r="F981" i="2" s="1"/>
  <c r="C26" i="18" a="1"/>
  <c r="C26" i="18" s="1"/>
  <c r="F36" i="9" s="1"/>
  <c r="F21" i="15" s="1"/>
  <c r="J21" i="15" s="1"/>
  <c r="I21" i="15" s="1"/>
  <c r="C25" i="18" a="1"/>
  <c r="C25" i="18" s="1"/>
  <c r="F35" i="9" s="1"/>
  <c r="F20" i="15" s="1"/>
  <c r="J20" i="15" s="1"/>
  <c r="I20" i="15" s="1"/>
  <c r="C14" i="18" a="1"/>
  <c r="C14" i="18" s="1"/>
  <c r="F43" i="9" s="1"/>
  <c r="F157" i="2" s="1"/>
  <c r="AB161" i="2" s="1"/>
  <c r="AB180" i="2" s="1"/>
  <c r="C37" i="18" a="1"/>
  <c r="C37" i="18" s="1"/>
  <c r="F100" i="9" s="1"/>
  <c r="F822" i="2" s="1"/>
  <c r="C34" i="18" a="1"/>
  <c r="C34" i="18" s="1"/>
  <c r="F91" i="9" s="1"/>
  <c r="F743" i="2" s="1"/>
  <c r="C38" i="18" a="1"/>
  <c r="C38" i="18" s="1"/>
  <c r="F109" i="9" s="1"/>
  <c r="F917" i="2" s="1"/>
  <c r="C11" i="18" a="1"/>
  <c r="C11" i="18" s="1"/>
  <c r="F40" i="9" s="1"/>
  <c r="F206" i="4" s="1"/>
  <c r="G207" i="4" s="1"/>
  <c r="G136" i="2" s="1"/>
  <c r="C12" i="18" a="1"/>
  <c r="C12" i="18" s="1"/>
  <c r="F41" i="9" s="1"/>
  <c r="F261" i="4" s="1"/>
  <c r="J262" i="4" s="1"/>
  <c r="J250" i="2" s="1"/>
  <c r="C36" i="18" a="1"/>
  <c r="C36" i="18" s="1"/>
  <c r="F103" i="9" s="1"/>
  <c r="F902" i="2" s="1"/>
  <c r="C40" i="18" a="1"/>
  <c r="C40" i="18" s="1"/>
  <c r="F112" i="9" s="1"/>
  <c r="F844" i="2" s="1"/>
  <c r="C35" i="18" a="1"/>
  <c r="C35" i="18" s="1"/>
  <c r="F92" i="9" s="1"/>
  <c r="F685" i="2" s="1"/>
  <c r="Z693" i="2" s="1"/>
  <c r="C43" i="18" a="1"/>
  <c r="C43" i="18" s="1"/>
  <c r="F128" i="9" s="1"/>
  <c r="F961" i="2" s="1"/>
  <c r="E50" i="2"/>
  <c r="E77" i="2"/>
  <c r="C23" i="18" a="1"/>
  <c r="C23" i="18" s="1"/>
  <c r="F33" i="9" s="1"/>
  <c r="L17" i="4" s="1"/>
  <c r="L50" i="2" s="1"/>
  <c r="C41" i="18" a="1"/>
  <c r="C41" i="18" s="1"/>
  <c r="F116" i="9" s="1"/>
  <c r="F857" i="2" s="1"/>
  <c r="C33" i="18" a="1"/>
  <c r="C33" i="18" s="1"/>
  <c r="F96" i="9" s="1"/>
  <c r="F517" i="2" s="1"/>
  <c r="C13" i="18" a="1"/>
  <c r="C13" i="18" s="1"/>
  <c r="F42" i="9" s="1"/>
  <c r="F184" i="2" s="1"/>
  <c r="I186" i="2" s="1"/>
  <c r="C24" i="18" a="1"/>
  <c r="C24" i="18" s="1"/>
  <c r="F34" i="9" s="1"/>
  <c r="F19" i="15" s="1"/>
  <c r="J19" i="15" s="1"/>
  <c r="I19" i="15" s="1"/>
  <c r="C20" i="18" a="1"/>
  <c r="C20" i="18" s="1"/>
  <c r="F122" i="4" s="1"/>
  <c r="F281" i="2" s="1"/>
  <c r="V282" i="2" s="1"/>
  <c r="X268" i="2"/>
  <c r="X302" i="2" s="1"/>
  <c r="F84" i="14"/>
  <c r="F1050" i="2"/>
  <c r="F853" i="2"/>
  <c r="F718" i="2"/>
  <c r="F774" i="2"/>
  <c r="F95" i="17"/>
  <c r="F806" i="2"/>
  <c r="F653" i="2"/>
  <c r="AL43" i="16"/>
  <c r="F28" i="16"/>
  <c r="F101" i="14"/>
  <c r="W43" i="16"/>
  <c r="F659" i="2"/>
  <c r="F816" i="2"/>
  <c r="C16" i="18" a="1"/>
  <c r="C16" i="18" s="1"/>
  <c r="F48" i="9" s="1"/>
  <c r="F172" i="2" s="1"/>
  <c r="G17" i="15"/>
  <c r="C17" i="18" a="1"/>
  <c r="C17" i="18" s="1"/>
  <c r="F119" i="4" s="1"/>
  <c r="F291" i="2" s="1"/>
  <c r="C22" i="18" a="1"/>
  <c r="C22" i="18" s="1"/>
  <c r="F121" i="4" s="1"/>
  <c r="F292" i="2" s="1"/>
  <c r="L43" i="16"/>
  <c r="C55" i="18"/>
  <c r="P43" i="16"/>
  <c r="O17" i="4"/>
  <c r="D55" i="18"/>
  <c r="D88" i="18"/>
  <c r="D82" i="18"/>
  <c r="D76" i="18"/>
  <c r="D94" i="18"/>
  <c r="D71" i="18"/>
  <c r="C60" i="18"/>
  <c r="C88" i="18"/>
  <c r="C82" i="18"/>
  <c r="C100" i="18"/>
  <c r="C76" i="18"/>
  <c r="C71" i="18"/>
  <c r="C94" i="18"/>
  <c r="A66" i="18"/>
  <c r="F66" i="18" s="1"/>
  <c r="D66" i="18"/>
  <c r="M17" i="4"/>
  <c r="D60" i="18"/>
  <c r="E1107" i="2"/>
  <c r="F1107" i="2"/>
  <c r="G1110" i="2" s="1"/>
  <c r="D148" i="18" s="1"/>
  <c r="T43" i="16"/>
  <c r="E180" i="2"/>
  <c r="E162" i="2"/>
  <c r="Y264" i="2"/>
  <c r="Y268" i="2" s="1"/>
  <c r="Y302" i="2" s="1"/>
  <c r="X294" i="4"/>
  <c r="V298" i="4"/>
  <c r="AL194" i="2"/>
  <c r="AI145" i="17"/>
  <c r="AM145" i="17"/>
  <c r="AC145" i="17"/>
  <c r="AH145" i="17"/>
  <c r="AB43" i="16"/>
  <c r="X43" i="16"/>
  <c r="AD43" i="16"/>
  <c r="AA145" i="17"/>
  <c r="G1060" i="2"/>
  <c r="G1107" i="2"/>
  <c r="AR194" i="2"/>
  <c r="AO194" i="2"/>
  <c r="AD194" i="2"/>
  <c r="AN194" i="2"/>
  <c r="Z194" i="2"/>
  <c r="Y153" i="4"/>
  <c r="Y154" i="4" s="1"/>
  <c r="AJ194" i="2"/>
  <c r="AA153" i="4"/>
  <c r="AA154" i="4" s="1"/>
  <c r="U153" i="4"/>
  <c r="U154" i="4" s="1"/>
  <c r="AB194" i="2"/>
  <c r="AQ194" i="2"/>
  <c r="AM153" i="4"/>
  <c r="AM154" i="4" s="1"/>
  <c r="AI153" i="4"/>
  <c r="AI154" i="4" s="1"/>
  <c r="X153" i="4"/>
  <c r="X154" i="4" s="1"/>
  <c r="U298" i="4"/>
  <c r="AC153" i="4"/>
  <c r="AC154" i="4" s="1"/>
  <c r="AH194" i="2"/>
  <c r="V153" i="4"/>
  <c r="V154" i="4" s="1"/>
  <c r="F17" i="15"/>
  <c r="E12" i="10"/>
  <c r="E1141" i="2" s="1"/>
  <c r="E17" i="15"/>
  <c r="F12" i="10"/>
  <c r="F1141" i="2" s="1"/>
  <c r="K17" i="4"/>
  <c r="N17" i="4"/>
  <c r="I288" i="4"/>
  <c r="I296" i="4" s="1"/>
  <c r="AK194" i="2"/>
  <c r="W194" i="2"/>
  <c r="W196" i="2" s="1"/>
  <c r="W335" i="2" s="1"/>
  <c r="W154" i="4"/>
  <c r="F155" i="4" s="1"/>
  <c r="I297" i="4"/>
  <c r="I531" i="2"/>
  <c r="I543" i="2"/>
  <c r="W298" i="4"/>
  <c r="E1114" i="2"/>
  <c r="B152" i="18" s="1"/>
  <c r="E1121" i="2"/>
  <c r="B159" i="18" s="1"/>
  <c r="N43" i="16"/>
  <c r="AJ43" i="16"/>
  <c r="Z145" i="17"/>
  <c r="X154" i="2"/>
  <c r="X179" i="2" s="1"/>
  <c r="X709" i="2" s="1"/>
  <c r="AR43" i="16"/>
  <c r="V43" i="16"/>
  <c r="F146" i="17"/>
  <c r="F817" i="2"/>
  <c r="F829" i="2"/>
  <c r="K727" i="2"/>
  <c r="K732" i="2" s="1"/>
  <c r="K740" i="2" s="1"/>
  <c r="AJ240" i="7"/>
  <c r="AJ241" i="7" s="1"/>
  <c r="AJ244" i="7" s="1"/>
  <c r="E1112" i="2"/>
  <c r="B150" i="18" s="1"/>
  <c r="E1124" i="2"/>
  <c r="B162" i="18" s="1"/>
  <c r="E1120" i="2"/>
  <c r="B158" i="18" s="1"/>
  <c r="E1119" i="2"/>
  <c r="B157" i="18" s="1"/>
  <c r="E1115" i="2"/>
  <c r="B153" i="18" s="1"/>
  <c r="F1110" i="2"/>
  <c r="C148" i="18" s="1"/>
  <c r="E1125" i="2"/>
  <c r="B163" i="18" s="1"/>
  <c r="E1123" i="2"/>
  <c r="B161" i="18" s="1"/>
  <c r="E1113" i="2"/>
  <c r="B151" i="18" s="1"/>
  <c r="Z226" i="7"/>
  <c r="Z240" i="7"/>
  <c r="Z241" i="7" s="1"/>
  <c r="Z244" i="7" s="1"/>
  <c r="AQ145" i="17"/>
  <c r="AB240" i="7"/>
  <c r="AB241" i="7" s="1"/>
  <c r="AB244" i="7" s="1"/>
  <c r="AB226" i="7"/>
  <c r="AK111" i="7"/>
  <c r="AK221" i="7"/>
  <c r="AK223" i="7" s="1"/>
  <c r="AK239" i="7"/>
  <c r="K145" i="17"/>
  <c r="G1184" i="2"/>
  <c r="E51" i="11" s="1"/>
  <c r="H1116" i="2"/>
  <c r="E154" i="18" s="1"/>
  <c r="E1184" i="2"/>
  <c r="C51" i="11" s="1"/>
  <c r="E63" i="15" s="1"/>
  <c r="E1116" i="2"/>
  <c r="B154" i="18" s="1"/>
  <c r="G1185" i="2"/>
  <c r="E52" i="11" s="1"/>
  <c r="H1117" i="2"/>
  <c r="E155" i="18" s="1"/>
  <c r="G147" i="17"/>
  <c r="W154" i="2"/>
  <c r="W179" i="2" s="1"/>
  <c r="W709" i="2" s="1"/>
  <c r="E1185" i="2"/>
  <c r="C52" i="11" s="1"/>
  <c r="E64" i="15" s="1"/>
  <c r="E1117" i="2"/>
  <c r="B155" i="18" s="1"/>
  <c r="E1186" i="2"/>
  <c r="C53" i="11" s="1"/>
  <c r="E65" i="15" s="1"/>
  <c r="E1118" i="2"/>
  <c r="B156" i="18" s="1"/>
  <c r="K1033" i="2"/>
  <c r="K252" i="4"/>
  <c r="K1142" i="2"/>
  <c r="K606" i="2"/>
  <c r="K320" i="4"/>
  <c r="K246" i="4"/>
  <c r="K91" i="17"/>
  <c r="K53" i="17"/>
  <c r="K964" i="2"/>
  <c r="K965" i="2" s="1"/>
  <c r="K578" i="2"/>
  <c r="K579" i="2" s="1"/>
  <c r="K311" i="4"/>
  <c r="K137" i="17"/>
  <c r="K12" i="17"/>
  <c r="K2" i="10"/>
  <c r="K191" i="4"/>
  <c r="K2" i="17"/>
  <c r="K2" i="7"/>
  <c r="K197" i="4"/>
  <c r="K2" i="12"/>
  <c r="K2" i="14"/>
  <c r="K52" i="14" s="1"/>
  <c r="K2" i="9"/>
  <c r="L9" i="10"/>
  <c r="K2" i="16"/>
  <c r="P16" i="4"/>
  <c r="P17" i="4" s="1"/>
  <c r="K2" i="8"/>
  <c r="K117" i="8" s="1"/>
  <c r="K2" i="2"/>
  <c r="K2" i="4"/>
  <c r="AB217" i="7"/>
  <c r="O607" i="2"/>
  <c r="O4" i="16"/>
  <c r="P11" i="10"/>
  <c r="O4" i="7"/>
  <c r="O4" i="10"/>
  <c r="O4" i="8"/>
  <c r="O4" i="14"/>
  <c r="O4" i="9"/>
  <c r="O4" i="17"/>
  <c r="O4" i="12"/>
  <c r="O4" i="4"/>
  <c r="O4" i="2"/>
  <c r="Y234" i="7"/>
  <c r="Y217" i="7"/>
  <c r="Y110" i="7"/>
  <c r="AP145" i="17"/>
  <c r="AE145" i="17"/>
  <c r="E1199" i="2"/>
  <c r="C33" i="11" s="1"/>
  <c r="AF145" i="17"/>
  <c r="AG145" i="17"/>
  <c r="E1212" i="2"/>
  <c r="AA154" i="2"/>
  <c r="AA179" i="2" s="1"/>
  <c r="AA709" i="2" s="1"/>
  <c r="AB154" i="2"/>
  <c r="AB179" i="2" s="1"/>
  <c r="AB709" i="2" s="1"/>
  <c r="AN43" i="16"/>
  <c r="V154" i="2"/>
  <c r="V179" i="2" s="1"/>
  <c r="V709" i="2" s="1"/>
  <c r="Z154" i="2"/>
  <c r="Z179" i="2" s="1"/>
  <c r="Z709" i="2" s="1"/>
  <c r="AC154" i="2"/>
  <c r="AC179" i="2" s="1"/>
  <c r="AC709" i="2" s="1"/>
  <c r="Y154" i="2"/>
  <c r="Y179" i="2" s="1"/>
  <c r="Y709" i="2" s="1"/>
  <c r="F1041" i="2"/>
  <c r="E42" i="15"/>
  <c r="F17" i="16"/>
  <c r="F766" i="2"/>
  <c r="F92" i="17"/>
  <c r="F398" i="2"/>
  <c r="F807" i="2"/>
  <c r="F435" i="2"/>
  <c r="F800" i="2"/>
  <c r="F138" i="17"/>
  <c r="F19" i="16"/>
  <c r="E38" i="15"/>
  <c r="F96" i="17"/>
  <c r="Y145" i="17"/>
  <c r="Y43" i="16"/>
  <c r="M145" i="17"/>
  <c r="M43" i="16"/>
  <c r="F660" i="2"/>
  <c r="AO145" i="17"/>
  <c r="AO43" i="16"/>
  <c r="F29" i="16"/>
  <c r="H45" i="16"/>
  <c r="H147" i="17"/>
  <c r="F1051" i="2"/>
  <c r="F85" i="14"/>
  <c r="F654" i="2"/>
  <c r="E39" i="15"/>
  <c r="Q43" i="16"/>
  <c r="Q145" i="17"/>
  <c r="K1184" i="2"/>
  <c r="E269" i="2"/>
  <c r="E302" i="2"/>
  <c r="F151" i="2"/>
  <c r="E51" i="15"/>
  <c r="F76" i="16"/>
  <c r="H1198" i="2"/>
  <c r="R145" i="17"/>
  <c r="R43" i="16"/>
  <c r="AK43" i="16"/>
  <c r="AK145" i="17"/>
  <c r="O43" i="16"/>
  <c r="O145" i="17"/>
  <c r="E146" i="17"/>
  <c r="E44" i="16"/>
  <c r="H44" i="16"/>
  <c r="H146" i="17"/>
  <c r="AS145" i="17"/>
  <c r="AS43" i="16"/>
  <c r="S145" i="17"/>
  <c r="S43" i="16"/>
  <c r="U43" i="16"/>
  <c r="U145" i="17"/>
  <c r="G43" i="16"/>
  <c r="G145" i="17"/>
  <c r="E43" i="15"/>
  <c r="E54" i="15"/>
  <c r="F390" i="2"/>
  <c r="G1218" i="2"/>
  <c r="G1212" i="2"/>
  <c r="G1213" i="2"/>
  <c r="G1214" i="2"/>
  <c r="G1215" i="2"/>
  <c r="G1216" i="2"/>
  <c r="G1217" i="2"/>
  <c r="F14" i="15"/>
  <c r="J14" i="15" s="1"/>
  <c r="I14" i="15" s="1"/>
  <c r="Z110" i="7" l="1"/>
  <c r="Z112" i="7" s="1"/>
  <c r="Z217" i="7"/>
  <c r="X240" i="7"/>
  <c r="X226" i="7"/>
  <c r="X111" i="7"/>
  <c r="X239" i="7"/>
  <c r="X241" i="7" s="1"/>
  <c r="X244" i="7" s="1"/>
  <c r="AA110" i="7"/>
  <c r="AA217" i="7"/>
  <c r="AI928" i="2"/>
  <c r="AI923" i="2"/>
  <c r="I286" i="7"/>
  <c r="I165" i="7"/>
  <c r="M416" i="7"/>
  <c r="AH505" i="7"/>
  <c r="I353" i="7"/>
  <c r="AA239" i="7"/>
  <c r="I264" i="7"/>
  <c r="K909" i="2"/>
  <c r="K425" i="7"/>
  <c r="I463" i="7"/>
  <c r="O504" i="7"/>
  <c r="Q415" i="7"/>
  <c r="AA111" i="7"/>
  <c r="AA112" i="7" s="1"/>
  <c r="AA163" i="7" s="1"/>
  <c r="V922" i="2"/>
  <c r="AA226" i="7"/>
  <c r="AA240" i="7"/>
  <c r="L28" i="10"/>
  <c r="L43" i="10" s="1"/>
  <c r="L682" i="2"/>
  <c r="L55" i="10"/>
  <c r="K29" i="10"/>
  <c r="K30" i="10" s="1"/>
  <c r="K683" i="2" s="1"/>
  <c r="K31" i="10"/>
  <c r="K61" i="10" s="1"/>
  <c r="K62" i="10" s="1"/>
  <c r="K38" i="10"/>
  <c r="K944" i="2"/>
  <c r="K12" i="2"/>
  <c r="K908" i="2"/>
  <c r="K918" i="2" s="1"/>
  <c r="K1006" i="2" s="1"/>
  <c r="K46" i="16" s="1"/>
  <c r="F23" i="15"/>
  <c r="J23" i="15" s="1"/>
  <c r="I23" i="15" s="1"/>
  <c r="X112" i="7"/>
  <c r="X343" i="7" s="1"/>
  <c r="AF928" i="2"/>
  <c r="AF923" i="2"/>
  <c r="O928" i="2"/>
  <c r="O923" i="2"/>
  <c r="AK928" i="2"/>
  <c r="AK923" i="2"/>
  <c r="M928" i="2"/>
  <c r="M923" i="2"/>
  <c r="Z928" i="2"/>
  <c r="Z923" i="2"/>
  <c r="AP923" i="2"/>
  <c r="AP928" i="2"/>
  <c r="N923" i="2"/>
  <c r="N928" i="2"/>
  <c r="AD923" i="2"/>
  <c r="AD928" i="2"/>
  <c r="R923" i="2"/>
  <c r="R928" i="2"/>
  <c r="X928" i="2"/>
  <c r="X923" i="2"/>
  <c r="L923" i="2"/>
  <c r="L928" i="2"/>
  <c r="P928" i="2"/>
  <c r="P923" i="2"/>
  <c r="AJ928" i="2"/>
  <c r="AJ923" i="2"/>
  <c r="AS928" i="2"/>
  <c r="AS923" i="2"/>
  <c r="Q923" i="2"/>
  <c r="Q928" i="2"/>
  <c r="Y923" i="2"/>
  <c r="Y928" i="2"/>
  <c r="AR923" i="2"/>
  <c r="AR928" i="2"/>
  <c r="V923" i="2"/>
  <c r="V928" i="2"/>
  <c r="AQ928" i="2"/>
  <c r="AQ923" i="2"/>
  <c r="U928" i="2"/>
  <c r="U923" i="2"/>
  <c r="K928" i="2"/>
  <c r="K923" i="2"/>
  <c r="AA922" i="2"/>
  <c r="Y922" i="2"/>
  <c r="X161" i="2"/>
  <c r="X180" i="2" s="1"/>
  <c r="AB234" i="7"/>
  <c r="R416" i="7"/>
  <c r="AE878" i="2"/>
  <c r="AE452" i="7"/>
  <c r="AE504" i="7"/>
  <c r="AN878" i="2"/>
  <c r="AN504" i="7"/>
  <c r="AN452" i="7"/>
  <c r="W415" i="7"/>
  <c r="W416" i="7" s="1"/>
  <c r="W883" i="2"/>
  <c r="Y453" i="7"/>
  <c r="Y505" i="7"/>
  <c r="Z878" i="2"/>
  <c r="Z504" i="7"/>
  <c r="Z452" i="7"/>
  <c r="AD423" i="7"/>
  <c r="AD414" i="7"/>
  <c r="AD416" i="7" s="1"/>
  <c r="AE415" i="7"/>
  <c r="AE416" i="7" s="1"/>
  <c r="AE883" i="2"/>
  <c r="Y112" i="7"/>
  <c r="Y317" i="7" s="1"/>
  <c r="X234" i="7"/>
  <c r="L416" i="7"/>
  <c r="AL878" i="2"/>
  <c r="AL504" i="7"/>
  <c r="AL452" i="7"/>
  <c r="X217" i="7"/>
  <c r="AM883" i="2"/>
  <c r="AM415" i="7"/>
  <c r="AM416" i="7" s="1"/>
  <c r="X416" i="7"/>
  <c r="Z453" i="7"/>
  <c r="Z505" i="7"/>
  <c r="S930" i="2"/>
  <c r="S922" i="2"/>
  <c r="Q416" i="7"/>
  <c r="Q505" i="7" s="1"/>
  <c r="AH922" i="2"/>
  <c r="AH930" i="2"/>
  <c r="T930" i="2"/>
  <c r="T922" i="2"/>
  <c r="N416" i="7"/>
  <c r="N505" i="7" s="1"/>
  <c r="I411" i="7"/>
  <c r="I415" i="7" s="1"/>
  <c r="U504" i="7"/>
  <c r="U878" i="2"/>
  <c r="U452" i="7"/>
  <c r="AA414" i="7"/>
  <c r="AA416" i="7" s="1"/>
  <c r="AA423" i="7"/>
  <c r="AC878" i="2"/>
  <c r="AC452" i="7"/>
  <c r="AC504" i="7"/>
  <c r="Y240" i="7"/>
  <c r="Y241" i="7" s="1"/>
  <c r="Y244" i="7" s="1"/>
  <c r="L420" i="7"/>
  <c r="L425" i="7" s="1"/>
  <c r="T415" i="7"/>
  <c r="T416" i="7" s="1"/>
  <c r="T883" i="2"/>
  <c r="AB415" i="7"/>
  <c r="AB416" i="7" s="1"/>
  <c r="AB883" i="2"/>
  <c r="AK414" i="7"/>
  <c r="AK423" i="7"/>
  <c r="AQ416" i="7"/>
  <c r="AQ505" i="7" s="1"/>
  <c r="AD922" i="2"/>
  <c r="AD930" i="2"/>
  <c r="AC414" i="7"/>
  <c r="AC416" i="7" s="1"/>
  <c r="AC505" i="7" s="1"/>
  <c r="AC423" i="7"/>
  <c r="S414" i="7"/>
  <c r="S416" i="7" s="1"/>
  <c r="S505" i="7" s="1"/>
  <c r="S423" i="7"/>
  <c r="O414" i="7"/>
  <c r="O416" i="7" s="1"/>
  <c r="O505" i="7" s="1"/>
  <c r="AK452" i="7"/>
  <c r="AK504" i="7"/>
  <c r="AK878" i="2"/>
  <c r="U414" i="7"/>
  <c r="U416" i="7" s="1"/>
  <c r="U423" i="7"/>
  <c r="AI414" i="7"/>
  <c r="AI416" i="7" s="1"/>
  <c r="AI453" i="7" s="1"/>
  <c r="AI423" i="7"/>
  <c r="AO415" i="7"/>
  <c r="AO416" i="7" s="1"/>
  <c r="AO883" i="2"/>
  <c r="N161" i="2"/>
  <c r="N162" i="2" s="1"/>
  <c r="R161" i="2"/>
  <c r="R180" i="2" s="1"/>
  <c r="K161" i="2"/>
  <c r="K180" i="2" s="1"/>
  <c r="L446" i="7"/>
  <c r="L449" i="7" s="1"/>
  <c r="M445" i="7" s="1"/>
  <c r="M505" i="7"/>
  <c r="M453" i="7"/>
  <c r="M438" i="7"/>
  <c r="M441" i="7" s="1"/>
  <c r="N437" i="7" s="1"/>
  <c r="L453" i="7"/>
  <c r="L505" i="7"/>
  <c r="AR504" i="7"/>
  <c r="AR452" i="7"/>
  <c r="AR878" i="2"/>
  <c r="AS505" i="7"/>
  <c r="AS453" i="7"/>
  <c r="M930" i="2"/>
  <c r="M922" i="2"/>
  <c r="AM452" i="7"/>
  <c r="AM878" i="2"/>
  <c r="AM504" i="7"/>
  <c r="O930" i="2"/>
  <c r="O922" i="2"/>
  <c r="AR453" i="7"/>
  <c r="AR505" i="7"/>
  <c r="S453" i="7"/>
  <c r="AK416" i="7"/>
  <c r="AO878" i="2"/>
  <c r="AO504" i="7"/>
  <c r="AO452" i="7"/>
  <c r="AS452" i="7"/>
  <c r="AS504" i="7"/>
  <c r="AS878" i="2"/>
  <c r="Q878" i="2"/>
  <c r="Q504" i="7"/>
  <c r="Q452" i="7"/>
  <c r="AJ453" i="7"/>
  <c r="AJ505" i="7"/>
  <c r="R453" i="7"/>
  <c r="R505" i="7"/>
  <c r="K414" i="7"/>
  <c r="K416" i="7" s="1"/>
  <c r="I405" i="7"/>
  <c r="P930" i="2"/>
  <c r="P922" i="2"/>
  <c r="AA453" i="7"/>
  <c r="AA505" i="7"/>
  <c r="AQ930" i="2"/>
  <c r="AQ922" i="2"/>
  <c r="P453" i="7"/>
  <c r="P505" i="7"/>
  <c r="V505" i="7"/>
  <c r="V453" i="7"/>
  <c r="I894" i="2"/>
  <c r="I883" i="2"/>
  <c r="N504" i="7"/>
  <c r="N452" i="7"/>
  <c r="N878" i="2"/>
  <c r="AF453" i="7"/>
  <c r="AF505" i="7"/>
  <c r="W504" i="7"/>
  <c r="W452" i="7"/>
  <c r="W878" i="2"/>
  <c r="I874" i="2"/>
  <c r="I877" i="2" s="1"/>
  <c r="I447" i="7"/>
  <c r="I422" i="7"/>
  <c r="I909" i="2" s="1"/>
  <c r="I399" i="7"/>
  <c r="U453" i="7"/>
  <c r="U505" i="7"/>
  <c r="X504" i="7"/>
  <c r="X452" i="7"/>
  <c r="X878" i="2"/>
  <c r="AI505" i="7"/>
  <c r="L452" i="7"/>
  <c r="L878" i="2"/>
  <c r="L504" i="7"/>
  <c r="M430" i="7"/>
  <c r="M433" i="7" s="1"/>
  <c r="N429" i="7" s="1"/>
  <c r="R504" i="7"/>
  <c r="R452" i="7"/>
  <c r="R878" i="2"/>
  <c r="AP505" i="7"/>
  <c r="AP453" i="7"/>
  <c r="K878" i="2"/>
  <c r="K504" i="7"/>
  <c r="K452" i="7"/>
  <c r="I400" i="7"/>
  <c r="AP878" i="2"/>
  <c r="AP452" i="7"/>
  <c r="AP504" i="7"/>
  <c r="L161" i="2"/>
  <c r="L180" i="2" s="1"/>
  <c r="M161" i="2"/>
  <c r="M162" i="2" s="1"/>
  <c r="U161" i="2"/>
  <c r="U162" i="2" s="1"/>
  <c r="K966" i="2"/>
  <c r="S161" i="2"/>
  <c r="S180" i="2" s="1"/>
  <c r="P161" i="2"/>
  <c r="P180" i="2" s="1"/>
  <c r="AA161" i="2"/>
  <c r="AA162" i="2" s="1"/>
  <c r="W161" i="2"/>
  <c r="W180" i="2" s="1"/>
  <c r="V161" i="2"/>
  <c r="V180" i="2" s="1"/>
  <c r="Q161" i="2"/>
  <c r="Q162" i="2" s="1"/>
  <c r="O161" i="2"/>
  <c r="O180" i="2" s="1"/>
  <c r="AC161" i="2"/>
  <c r="AC180" i="2" s="1"/>
  <c r="Z161" i="2"/>
  <c r="Z162" i="2" s="1"/>
  <c r="T161" i="2"/>
  <c r="T180" i="2" s="1"/>
  <c r="Y161" i="2"/>
  <c r="Y180" i="2" s="1"/>
  <c r="F12" i="15"/>
  <c r="J12" i="15" s="1"/>
  <c r="I12" i="15" s="1"/>
  <c r="A71" i="18"/>
  <c r="F71" i="18" s="1"/>
  <c r="I262" i="4"/>
  <c r="I250" i="2" s="1"/>
  <c r="H262" i="4"/>
  <c r="H250" i="2" s="1"/>
  <c r="K74" i="14"/>
  <c r="K41" i="14"/>
  <c r="F10" i="15"/>
  <c r="J10" i="15" s="1"/>
  <c r="I10" i="15" s="1"/>
  <c r="F262" i="4"/>
  <c r="F250" i="2" s="1"/>
  <c r="G262" i="4"/>
  <c r="G250" i="2" s="1"/>
  <c r="F249" i="2"/>
  <c r="E252" i="2" s="1"/>
  <c r="E262" i="2" s="1"/>
  <c r="E262" i="4"/>
  <c r="E250" i="2" s="1"/>
  <c r="AB162" i="2"/>
  <c r="K745" i="2"/>
  <c r="X269" i="2"/>
  <c r="R693" i="2"/>
  <c r="R727" i="2" s="1"/>
  <c r="R732" i="2" s="1"/>
  <c r="R740" i="2" s="1"/>
  <c r="R745" i="2" s="1"/>
  <c r="R752" i="2" s="1"/>
  <c r="N693" i="2"/>
  <c r="N727" i="2" s="1"/>
  <c r="N732" i="2" s="1"/>
  <c r="N740" i="2" s="1"/>
  <c r="N745" i="2" s="1"/>
  <c r="X693" i="2"/>
  <c r="AR693" i="2"/>
  <c r="AR727" i="2" s="1"/>
  <c r="AR732" i="2" s="1"/>
  <c r="AR740" i="2" s="1"/>
  <c r="AR745" i="2" s="1"/>
  <c r="AR752" i="2" s="1"/>
  <c r="Y693" i="2"/>
  <c r="O693" i="2"/>
  <c r="O727" i="2" s="1"/>
  <c r="O732" i="2" s="1"/>
  <c r="O740" i="2" s="1"/>
  <c r="O745" i="2" s="1"/>
  <c r="L693" i="2"/>
  <c r="L727" i="2" s="1"/>
  <c r="L732" i="2" s="1"/>
  <c r="L740" i="2" s="1"/>
  <c r="L745" i="2" s="1"/>
  <c r="T693" i="2"/>
  <c r="T727" i="2" s="1"/>
  <c r="T732" i="2" s="1"/>
  <c r="T740" i="2" s="1"/>
  <c r="T745" i="2" s="1"/>
  <c r="T752" i="2" s="1"/>
  <c r="AL693" i="2"/>
  <c r="AL727" i="2" s="1"/>
  <c r="AL732" i="2" s="1"/>
  <c r="AL740" i="2" s="1"/>
  <c r="AL745" i="2" s="1"/>
  <c r="AL752" i="2" s="1"/>
  <c r="S693" i="2"/>
  <c r="S727" i="2" s="1"/>
  <c r="S732" i="2" s="1"/>
  <c r="S740" i="2" s="1"/>
  <c r="S745" i="2" s="1"/>
  <c r="S752" i="2" s="1"/>
  <c r="AM693" i="2"/>
  <c r="AM727" i="2" s="1"/>
  <c r="AM732" i="2" s="1"/>
  <c r="AM740" i="2" s="1"/>
  <c r="AM745" i="2" s="1"/>
  <c r="AM752" i="2" s="1"/>
  <c r="AO693" i="2"/>
  <c r="AO727" i="2" s="1"/>
  <c r="AO732" i="2" s="1"/>
  <c r="AO740" i="2" s="1"/>
  <c r="AO745" i="2" s="1"/>
  <c r="AO752" i="2" s="1"/>
  <c r="K693" i="2"/>
  <c r="Q693" i="2"/>
  <c r="Q727" i="2" s="1"/>
  <c r="Q732" i="2" s="1"/>
  <c r="Q740" i="2" s="1"/>
  <c r="Q745" i="2" s="1"/>
  <c r="Q752" i="2" s="1"/>
  <c r="AN693" i="2"/>
  <c r="AN727" i="2" s="1"/>
  <c r="AN732" i="2" s="1"/>
  <c r="AN740" i="2" s="1"/>
  <c r="AN745" i="2" s="1"/>
  <c r="AN752" i="2" s="1"/>
  <c r="AI693" i="2"/>
  <c r="M693" i="2"/>
  <c r="M727" i="2" s="1"/>
  <c r="M732" i="2" s="1"/>
  <c r="M740" i="2" s="1"/>
  <c r="M745" i="2" s="1"/>
  <c r="P693" i="2"/>
  <c r="P727" i="2" s="1"/>
  <c r="P732" i="2" s="1"/>
  <c r="P740" i="2" s="1"/>
  <c r="P745" i="2" s="1"/>
  <c r="AB693" i="2"/>
  <c r="AS693" i="2"/>
  <c r="AS727" i="2" s="1"/>
  <c r="AS732" i="2" s="1"/>
  <c r="AS740" i="2" s="1"/>
  <c r="AS745" i="2" s="1"/>
  <c r="AS752" i="2" s="1"/>
  <c r="AP693" i="2"/>
  <c r="AP727" i="2" s="1"/>
  <c r="AP732" i="2" s="1"/>
  <c r="AP740" i="2" s="1"/>
  <c r="AP745" i="2" s="1"/>
  <c r="AP752" i="2" s="1"/>
  <c r="U693" i="2"/>
  <c r="U727" i="2" s="1"/>
  <c r="U732" i="2" s="1"/>
  <c r="U740" i="2" s="1"/>
  <c r="U745" i="2" s="1"/>
  <c r="U752" i="2" s="1"/>
  <c r="AQ693" i="2"/>
  <c r="AQ727" i="2" s="1"/>
  <c r="AQ732" i="2" s="1"/>
  <c r="AQ740" i="2" s="1"/>
  <c r="AQ745" i="2" s="1"/>
  <c r="AQ752" i="2" s="1"/>
  <c r="AG693" i="2"/>
  <c r="F307" i="2"/>
  <c r="G309" i="2" s="1"/>
  <c r="G321" i="2" s="1"/>
  <c r="J207" i="4"/>
  <c r="J136" i="2" s="1"/>
  <c r="F135" i="2"/>
  <c r="E138" i="2" s="1"/>
  <c r="F18" i="15"/>
  <c r="J18" i="15" s="1"/>
  <c r="I18" i="15" s="1"/>
  <c r="F9" i="15"/>
  <c r="J9" i="15" s="1"/>
  <c r="I9" i="15" s="1"/>
  <c r="J17" i="15"/>
  <c r="I17" i="15" s="1"/>
  <c r="B37" i="15"/>
  <c r="B48" i="15"/>
  <c r="B58" i="15"/>
  <c r="H207" i="4"/>
  <c r="H136" i="2" s="1"/>
  <c r="AE693" i="2"/>
  <c r="AC693" i="2"/>
  <c r="W693" i="2"/>
  <c r="I207" i="4"/>
  <c r="I136" i="2" s="1"/>
  <c r="E207" i="4"/>
  <c r="E136" i="2" s="1"/>
  <c r="F207" i="4"/>
  <c r="F136" i="2" s="1"/>
  <c r="E693" i="2"/>
  <c r="E705" i="2"/>
  <c r="E736" i="2" s="1"/>
  <c r="E704" i="2"/>
  <c r="E735" i="2" s="1"/>
  <c r="W692" i="2"/>
  <c r="W726" i="2" s="1"/>
  <c r="W731" i="2" s="1"/>
  <c r="W739" i="2" s="1"/>
  <c r="W744" i="2" s="1"/>
  <c r="W751" i="2" s="1"/>
  <c r="V692" i="2"/>
  <c r="V726" i="2" s="1"/>
  <c r="U692" i="2"/>
  <c r="U726" i="2" s="1"/>
  <c r="U731" i="2" s="1"/>
  <c r="U739" i="2" s="1"/>
  <c r="U744" i="2" s="1"/>
  <c r="U751" i="2" s="1"/>
  <c r="Q692" i="2"/>
  <c r="Q726" i="2" s="1"/>
  <c r="Q731" i="2" s="1"/>
  <c r="Q739" i="2" s="1"/>
  <c r="Q744" i="2" s="1"/>
  <c r="Q751" i="2" s="1"/>
  <c r="AE692" i="2"/>
  <c r="AA692" i="2"/>
  <c r="AA726" i="2" s="1"/>
  <c r="AA731" i="2" s="1"/>
  <c r="AA739" i="2" s="1"/>
  <c r="AA744" i="2" s="1"/>
  <c r="AA751" i="2" s="1"/>
  <c r="AD692" i="2"/>
  <c r="AS692" i="2"/>
  <c r="AS726" i="2" s="1"/>
  <c r="AS731" i="2" s="1"/>
  <c r="AS739" i="2" s="1"/>
  <c r="AS744" i="2" s="1"/>
  <c r="AS751" i="2" s="1"/>
  <c r="AO692" i="2"/>
  <c r="AO726" i="2" s="1"/>
  <c r="AO731" i="2" s="1"/>
  <c r="AO739" i="2" s="1"/>
  <c r="AO744" i="2" s="1"/>
  <c r="AO751" i="2" s="1"/>
  <c r="AM692" i="2"/>
  <c r="AM726" i="2" s="1"/>
  <c r="AM731" i="2" s="1"/>
  <c r="AM739" i="2" s="1"/>
  <c r="AM744" i="2" s="1"/>
  <c r="AM751" i="2" s="1"/>
  <c r="P692" i="2"/>
  <c r="P726" i="2" s="1"/>
  <c r="P731" i="2" s="1"/>
  <c r="P739" i="2" s="1"/>
  <c r="P744" i="2" s="1"/>
  <c r="X692" i="2"/>
  <c r="X726" i="2" s="1"/>
  <c r="X731" i="2" s="1"/>
  <c r="X739" i="2" s="1"/>
  <c r="X744" i="2" s="1"/>
  <c r="X751" i="2" s="1"/>
  <c r="AI692" i="2"/>
  <c r="L692" i="2"/>
  <c r="L726" i="2" s="1"/>
  <c r="L731" i="2" s="1"/>
  <c r="L739" i="2" s="1"/>
  <c r="L744" i="2" s="1"/>
  <c r="M692" i="2"/>
  <c r="M726" i="2" s="1"/>
  <c r="M731" i="2" s="1"/>
  <c r="M739" i="2" s="1"/>
  <c r="M744" i="2" s="1"/>
  <c r="AJ692" i="2"/>
  <c r="AQ692" i="2"/>
  <c r="AQ726" i="2" s="1"/>
  <c r="AQ731" i="2" s="1"/>
  <c r="AQ739" i="2" s="1"/>
  <c r="AQ744" i="2" s="1"/>
  <c r="AQ751" i="2" s="1"/>
  <c r="AC692" i="2"/>
  <c r="AC726" i="2" s="1"/>
  <c r="AC731" i="2" s="1"/>
  <c r="AC739" i="2" s="1"/>
  <c r="AC744" i="2" s="1"/>
  <c r="AC751" i="2" s="1"/>
  <c r="AF692" i="2"/>
  <c r="E692" i="2"/>
  <c r="AR692" i="2"/>
  <c r="AR726" i="2" s="1"/>
  <c r="AR731" i="2" s="1"/>
  <c r="AR739" i="2" s="1"/>
  <c r="AR744" i="2" s="1"/>
  <c r="AL692" i="2"/>
  <c r="AL726" i="2" s="1"/>
  <c r="AL731" i="2" s="1"/>
  <c r="AL739" i="2" s="1"/>
  <c r="AL744" i="2" s="1"/>
  <c r="AL751" i="2" s="1"/>
  <c r="R692" i="2"/>
  <c r="R726" i="2" s="1"/>
  <c r="R731" i="2" s="1"/>
  <c r="R739" i="2" s="1"/>
  <c r="R744" i="2" s="1"/>
  <c r="AG692" i="2"/>
  <c r="Y692" i="2"/>
  <c r="Y726" i="2" s="1"/>
  <c r="Y731" i="2" s="1"/>
  <c r="Y739" i="2" s="1"/>
  <c r="Y744" i="2" s="1"/>
  <c r="Y751" i="2" s="1"/>
  <c r="AB692" i="2"/>
  <c r="AB726" i="2" s="1"/>
  <c r="AB731" i="2" s="1"/>
  <c r="AB739" i="2" s="1"/>
  <c r="AB744" i="2" s="1"/>
  <c r="AB751" i="2" s="1"/>
  <c r="S692" i="2"/>
  <c r="S726" i="2" s="1"/>
  <c r="S731" i="2" s="1"/>
  <c r="S739" i="2" s="1"/>
  <c r="S744" i="2" s="1"/>
  <c r="S751" i="2" s="1"/>
  <c r="K692" i="2"/>
  <c r="AP692" i="2"/>
  <c r="AP726" i="2" s="1"/>
  <c r="AP731" i="2" s="1"/>
  <c r="AP739" i="2" s="1"/>
  <c r="AP744" i="2" s="1"/>
  <c r="AP751" i="2" s="1"/>
  <c r="O692" i="2"/>
  <c r="O726" i="2" s="1"/>
  <c r="O731" i="2" s="1"/>
  <c r="O739" i="2" s="1"/>
  <c r="O744" i="2" s="1"/>
  <c r="Z692" i="2"/>
  <c r="Z726" i="2" s="1"/>
  <c r="Z731" i="2" s="1"/>
  <c r="Z739" i="2" s="1"/>
  <c r="Z744" i="2" s="1"/>
  <c r="Z751" i="2" s="1"/>
  <c r="N692" i="2"/>
  <c r="N726" i="2" s="1"/>
  <c r="N731" i="2" s="1"/>
  <c r="N739" i="2" s="1"/>
  <c r="N744" i="2" s="1"/>
  <c r="AH692" i="2"/>
  <c r="AK692" i="2"/>
  <c r="T692" i="2"/>
  <c r="T726" i="2" s="1"/>
  <c r="T731" i="2" s="1"/>
  <c r="T739" i="2" s="1"/>
  <c r="T744" i="2" s="1"/>
  <c r="T751" i="2" s="1"/>
  <c r="AN692" i="2"/>
  <c r="AN726" i="2" s="1"/>
  <c r="AN731" i="2" s="1"/>
  <c r="AN739" i="2" s="1"/>
  <c r="AN744" i="2" s="1"/>
  <c r="AN751" i="2" s="1"/>
  <c r="V693" i="2"/>
  <c r="AJ693" i="2"/>
  <c r="AA693" i="2"/>
  <c r="AH693" i="2"/>
  <c r="AF693" i="2"/>
  <c r="AK693" i="2"/>
  <c r="AD693" i="2"/>
  <c r="P77" i="2"/>
  <c r="P50" i="2"/>
  <c r="N77" i="2"/>
  <c r="N50" i="2"/>
  <c r="K77" i="2"/>
  <c r="K50" i="2"/>
  <c r="M77" i="2"/>
  <c r="M50" i="2"/>
  <c r="O77" i="2"/>
  <c r="O50" i="2"/>
  <c r="F11" i="15"/>
  <c r="J11" i="15" s="1"/>
  <c r="I11" i="15" s="1"/>
  <c r="H186" i="2"/>
  <c r="H199" i="2" s="1"/>
  <c r="G186" i="2"/>
  <c r="G54" i="17" s="1"/>
  <c r="L18" i="4"/>
  <c r="L19" i="4" s="1"/>
  <c r="L77" i="2"/>
  <c r="J186" i="2"/>
  <c r="J13" i="16" s="1"/>
  <c r="F186" i="2"/>
  <c r="F232" i="2" s="1"/>
  <c r="E186" i="2"/>
  <c r="E190" i="2" s="1"/>
  <c r="K18" i="4"/>
  <c r="F22" i="15"/>
  <c r="J22" i="15" s="1"/>
  <c r="I22" i="15" s="1"/>
  <c r="M18" i="4"/>
  <c r="N18" i="4"/>
  <c r="O18" i="4"/>
  <c r="P18" i="4"/>
  <c r="K217" i="2"/>
  <c r="K234" i="2"/>
  <c r="K154" i="2"/>
  <c r="K179" i="2" s="1"/>
  <c r="K709" i="2" s="1"/>
  <c r="T282" i="2"/>
  <c r="T288" i="2" s="1"/>
  <c r="P282" i="2"/>
  <c r="P288" i="2" s="1"/>
  <c r="O282" i="2"/>
  <c r="O288" i="2" s="1"/>
  <c r="Y282" i="2"/>
  <c r="Y288" i="2" s="1"/>
  <c r="K282" i="2"/>
  <c r="K288" i="2" s="1"/>
  <c r="X282" i="2"/>
  <c r="X288" i="2" s="1"/>
  <c r="AB282" i="2"/>
  <c r="AB288" i="2" s="1"/>
  <c r="F293" i="2"/>
  <c r="AA282" i="2"/>
  <c r="AA288" i="2" s="1"/>
  <c r="AC282" i="2"/>
  <c r="AC288" i="2" s="1"/>
  <c r="U282" i="2"/>
  <c r="U288" i="2" s="1"/>
  <c r="Q282" i="2"/>
  <c r="Q288" i="2" s="1"/>
  <c r="W282" i="2"/>
  <c r="W288" i="2" s="1"/>
  <c r="N282" i="2"/>
  <c r="N288" i="2" s="1"/>
  <c r="Z282" i="2"/>
  <c r="Z288" i="2" s="1"/>
  <c r="R282" i="2"/>
  <c r="R288" i="2" s="1"/>
  <c r="M282" i="2"/>
  <c r="M288" i="2" s="1"/>
  <c r="L282" i="2"/>
  <c r="L288" i="2" s="1"/>
  <c r="S282" i="2"/>
  <c r="S288" i="2" s="1"/>
  <c r="F113" i="4"/>
  <c r="F165" i="2" s="1"/>
  <c r="F167" i="2" s="1"/>
  <c r="F170" i="2" s="1"/>
  <c r="K174" i="2" s="1"/>
  <c r="K175" i="2" s="1"/>
  <c r="V288" i="2"/>
  <c r="Y269" i="2"/>
  <c r="I298" i="4"/>
  <c r="F191" i="2"/>
  <c r="N1156" i="2"/>
  <c r="N1178" i="2"/>
  <c r="N1198" i="2"/>
  <c r="E1150" i="2"/>
  <c r="AK226" i="7"/>
  <c r="AK240" i="7"/>
  <c r="AK241" i="7" s="1"/>
  <c r="AK244" i="7" s="1"/>
  <c r="AB317" i="7"/>
  <c r="AB343" i="7"/>
  <c r="AB163" i="7"/>
  <c r="Z317" i="7"/>
  <c r="Z163" i="7"/>
  <c r="Z343" i="7"/>
  <c r="L1033" i="2"/>
  <c r="L137" i="17"/>
  <c r="L12" i="17"/>
  <c r="L1142" i="2"/>
  <c r="L246" i="4"/>
  <c r="L606" i="2"/>
  <c r="L320" i="4"/>
  <c r="L964" i="2"/>
  <c r="L578" i="2"/>
  <c r="L579" i="2" s="1"/>
  <c r="L311" i="4"/>
  <c r="L91" i="17"/>
  <c r="L53" i="17"/>
  <c r="L252" i="4"/>
  <c r="L2" i="16"/>
  <c r="L2" i="12"/>
  <c r="L2" i="8"/>
  <c r="L117" i="8" s="1"/>
  <c r="M9" i="10"/>
  <c r="L2" i="9"/>
  <c r="L197" i="4"/>
  <c r="L191" i="4"/>
  <c r="L2" i="14"/>
  <c r="L52" i="14" s="1"/>
  <c r="L2" i="7"/>
  <c r="Q16" i="4"/>
  <c r="Q17" i="4" s="1"/>
  <c r="Q50" i="2" s="1"/>
  <c r="L2" i="10"/>
  <c r="L2" i="17"/>
  <c r="L2" i="2"/>
  <c r="L2" i="4"/>
  <c r="K1143" i="2"/>
  <c r="K1148" i="2" s="1"/>
  <c r="K1144" i="2"/>
  <c r="K1149" i="2" s="1"/>
  <c r="K1145" i="2"/>
  <c r="K1150" i="2" s="1"/>
  <c r="P607" i="2"/>
  <c r="P4" i="12"/>
  <c r="Q11" i="10"/>
  <c r="P4" i="16"/>
  <c r="P4" i="8"/>
  <c r="P4" i="17"/>
  <c r="P4" i="7"/>
  <c r="P4" i="9"/>
  <c r="P4" i="10"/>
  <c r="P4" i="14"/>
  <c r="P4" i="2"/>
  <c r="P4" i="4"/>
  <c r="K28" i="2"/>
  <c r="K29" i="2" s="1"/>
  <c r="K528" i="2"/>
  <c r="K33" i="2"/>
  <c r="K419" i="2"/>
  <c r="K425" i="2"/>
  <c r="K426" i="2" s="1"/>
  <c r="K430" i="2" s="1"/>
  <c r="K434" i="2"/>
  <c r="K228" i="2"/>
  <c r="K422" i="2"/>
  <c r="K423" i="2" s="1"/>
  <c r="K429" i="2" s="1"/>
  <c r="K62" i="2"/>
  <c r="K538" i="2"/>
  <c r="K539" i="2" s="1"/>
  <c r="K544" i="2" s="1"/>
  <c r="K37" i="7"/>
  <c r="K206" i="7"/>
  <c r="K207" i="7" s="1"/>
  <c r="K211" i="7" s="1"/>
  <c r="K292" i="7"/>
  <c r="K263" i="7"/>
  <c r="K203" i="7"/>
  <c r="K204" i="7" s="1"/>
  <c r="K210" i="7" s="1"/>
  <c r="K200" i="7"/>
  <c r="K201" i="7" s="1"/>
  <c r="K209" i="7" s="1"/>
  <c r="K212" i="7" s="1"/>
  <c r="K218" i="7" s="1"/>
  <c r="K45" i="7"/>
  <c r="K287" i="7"/>
  <c r="K288" i="7" s="1"/>
  <c r="K295" i="7" s="1"/>
  <c r="R154" i="2"/>
  <c r="R179" i="2" s="1"/>
  <c r="R709" i="2" s="1"/>
  <c r="O154" i="2"/>
  <c r="O179" i="2" s="1"/>
  <c r="P154" i="2"/>
  <c r="P179" i="2" s="1"/>
  <c r="S154" i="2"/>
  <c r="S179" i="2" s="1"/>
  <c r="S709" i="2" s="1"/>
  <c r="T154" i="2"/>
  <c r="T179" i="2" s="1"/>
  <c r="T709" i="2" s="1"/>
  <c r="U154" i="2"/>
  <c r="U179" i="2" s="1"/>
  <c r="N154" i="2"/>
  <c r="N179" i="2" s="1"/>
  <c r="M154" i="2"/>
  <c r="M179" i="2" s="1"/>
  <c r="L154" i="2"/>
  <c r="L179" i="2" s="1"/>
  <c r="Q154" i="2"/>
  <c r="Q179" i="2" s="1"/>
  <c r="AA275" i="2"/>
  <c r="AA276" i="2" s="1"/>
  <c r="U276" i="2"/>
  <c r="U303" i="2"/>
  <c r="M275" i="2"/>
  <c r="K275" i="2"/>
  <c r="O275" i="2"/>
  <c r="Z275" i="2"/>
  <c r="W275" i="2"/>
  <c r="L275" i="2"/>
  <c r="AC275" i="2"/>
  <c r="Y275" i="2"/>
  <c r="S275" i="2"/>
  <c r="T275" i="2"/>
  <c r="N275" i="2"/>
  <c r="X275" i="2"/>
  <c r="V275" i="2"/>
  <c r="Q275" i="2"/>
  <c r="R275" i="2"/>
  <c r="AB275" i="2"/>
  <c r="P275" i="2"/>
  <c r="I54" i="17"/>
  <c r="I190" i="2"/>
  <c r="I199" i="2"/>
  <c r="I13" i="16"/>
  <c r="I232" i="2"/>
  <c r="AA241" i="7" l="1"/>
  <c r="AA244" i="7" s="1"/>
  <c r="N453" i="7"/>
  <c r="AA317" i="7"/>
  <c r="L29" i="10"/>
  <c r="L30" i="10" s="1"/>
  <c r="L38" i="10"/>
  <c r="M55" i="10"/>
  <c r="M28" i="10"/>
  <c r="M43" i="10" s="1"/>
  <c r="M682" i="2"/>
  <c r="AA343" i="7"/>
  <c r="K249" i="4"/>
  <c r="K633" i="2"/>
  <c r="K393" i="2"/>
  <c r="K194" i="4"/>
  <c r="A76" i="18"/>
  <c r="E169" i="2"/>
  <c r="L12" i="2"/>
  <c r="X163" i="7"/>
  <c r="X317" i="7"/>
  <c r="M180" i="2"/>
  <c r="K911" i="2"/>
  <c r="K912" i="2" s="1"/>
  <c r="L907" i="2" s="1"/>
  <c r="K761" i="2"/>
  <c r="X162" i="2"/>
  <c r="W923" i="2"/>
  <c r="W928" i="2"/>
  <c r="AO928" i="2"/>
  <c r="AO923" i="2"/>
  <c r="I928" i="2"/>
  <c r="I923" i="2"/>
  <c r="AB923" i="2"/>
  <c r="AB928" i="2"/>
  <c r="T928" i="2"/>
  <c r="T923" i="2"/>
  <c r="AM928" i="2"/>
  <c r="AM923" i="2"/>
  <c r="AE923" i="2"/>
  <c r="AE928" i="2"/>
  <c r="U180" i="2"/>
  <c r="N180" i="2"/>
  <c r="R162" i="2"/>
  <c r="Q453" i="7"/>
  <c r="AD453" i="7"/>
  <c r="AD505" i="7"/>
  <c r="O453" i="7"/>
  <c r="X453" i="7"/>
  <c r="X505" i="7"/>
  <c r="W453" i="7"/>
  <c r="W505" i="7"/>
  <c r="Z930" i="2"/>
  <c r="Z922" i="2"/>
  <c r="AN930" i="2"/>
  <c r="AN922" i="2"/>
  <c r="Y343" i="7"/>
  <c r="AM453" i="7"/>
  <c r="AM505" i="7"/>
  <c r="Y163" i="7"/>
  <c r="AQ453" i="7"/>
  <c r="AE453" i="7"/>
  <c r="AE505" i="7"/>
  <c r="AE930" i="2"/>
  <c r="AE922" i="2"/>
  <c r="AL930" i="2"/>
  <c r="AL922" i="2"/>
  <c r="AO505" i="7"/>
  <c r="AO453" i="7"/>
  <c r="AC453" i="7"/>
  <c r="AK922" i="2"/>
  <c r="AK930" i="2"/>
  <c r="AB505" i="7"/>
  <c r="AB453" i="7"/>
  <c r="AC922" i="2"/>
  <c r="AC930" i="2"/>
  <c r="T453" i="7"/>
  <c r="T505" i="7"/>
  <c r="I414" i="7"/>
  <c r="I423" i="7"/>
  <c r="U930" i="2"/>
  <c r="U922" i="2"/>
  <c r="Q180" i="2"/>
  <c r="V162" i="2"/>
  <c r="L162" i="2"/>
  <c r="AA180" i="2"/>
  <c r="Y162" i="2"/>
  <c r="K162" i="2"/>
  <c r="N430" i="7"/>
  <c r="N433" i="7" s="1"/>
  <c r="O429" i="7" s="1"/>
  <c r="I878" i="2"/>
  <c r="I452" i="7"/>
  <c r="I504" i="7"/>
  <c r="AO930" i="2"/>
  <c r="AO922" i="2"/>
  <c r="AK505" i="7"/>
  <c r="AK453" i="7"/>
  <c r="K922" i="2"/>
  <c r="K930" i="2"/>
  <c r="X930" i="2"/>
  <c r="X922" i="2"/>
  <c r="AR930" i="2"/>
  <c r="AR922" i="2"/>
  <c r="N930" i="2"/>
  <c r="N922" i="2"/>
  <c r="W922" i="2"/>
  <c r="W930" i="2"/>
  <c r="Q922" i="2"/>
  <c r="Q930" i="2"/>
  <c r="AS930" i="2"/>
  <c r="AS922" i="2"/>
  <c r="AP930" i="2"/>
  <c r="AP922" i="2"/>
  <c r="K453" i="7"/>
  <c r="I416" i="7"/>
  <c r="K505" i="7"/>
  <c r="AM922" i="2"/>
  <c r="AM930" i="2"/>
  <c r="N438" i="7"/>
  <c r="N441" i="7" s="1"/>
  <c r="O437" i="7" s="1"/>
  <c r="M446" i="7"/>
  <c r="M449" i="7" s="1"/>
  <c r="N445" i="7" s="1"/>
  <c r="R922" i="2"/>
  <c r="R930" i="2"/>
  <c r="L930" i="2"/>
  <c r="L922" i="2"/>
  <c r="Z180" i="2"/>
  <c r="S162" i="2"/>
  <c r="T162" i="2"/>
  <c r="P162" i="2"/>
  <c r="E280" i="2"/>
  <c r="E297" i="2"/>
  <c r="W162" i="2"/>
  <c r="O162" i="2"/>
  <c r="K1096" i="2"/>
  <c r="AC162" i="2"/>
  <c r="E267" i="2"/>
  <c r="E274" i="2"/>
  <c r="K726" i="2"/>
  <c r="K731" i="2" s="1"/>
  <c r="K739" i="2" s="1"/>
  <c r="K744" i="2" s="1"/>
  <c r="K746" i="2" s="1"/>
  <c r="K777" i="2" s="1"/>
  <c r="L74" i="14"/>
  <c r="L41" i="14"/>
  <c r="K148" i="17"/>
  <c r="K931" i="2"/>
  <c r="E153" i="2"/>
  <c r="G323" i="2"/>
  <c r="G14" i="16" s="1"/>
  <c r="I309" i="2"/>
  <c r="I321" i="2" s="1"/>
  <c r="R746" i="2"/>
  <c r="R777" i="2" s="1"/>
  <c r="AL753" i="2"/>
  <c r="AL1092" i="2" s="1"/>
  <c r="AM753" i="2"/>
  <c r="AM1092" i="2" s="1"/>
  <c r="T753" i="2"/>
  <c r="T1092" i="2" s="1"/>
  <c r="S753" i="2"/>
  <c r="S1002" i="2" s="1"/>
  <c r="S42" i="16" s="1"/>
  <c r="N746" i="2"/>
  <c r="N777" i="2" s="1"/>
  <c r="AO746" i="2"/>
  <c r="AO777" i="2" s="1"/>
  <c r="O746" i="2"/>
  <c r="O777" i="2" s="1"/>
  <c r="U753" i="2"/>
  <c r="U1092" i="2" s="1"/>
  <c r="AQ753" i="2"/>
  <c r="AQ1002" i="2" s="1"/>
  <c r="AQ42" i="16" s="1"/>
  <c r="Q753" i="2"/>
  <c r="Q809" i="2" s="1"/>
  <c r="AQ746" i="2"/>
  <c r="AQ777" i="2" s="1"/>
  <c r="AO753" i="2"/>
  <c r="AO809" i="2" s="1"/>
  <c r="L746" i="2"/>
  <c r="L777" i="2" s="1"/>
  <c r="AN753" i="2"/>
  <c r="AN1092" i="2" s="1"/>
  <c r="AS753" i="2"/>
  <c r="AS1002" i="2" s="1"/>
  <c r="AS42" i="16" s="1"/>
  <c r="AP753" i="2"/>
  <c r="AP809" i="2" s="1"/>
  <c r="AR746" i="2"/>
  <c r="AR777" i="2" s="1"/>
  <c r="F309" i="2"/>
  <c r="F321" i="2" s="1"/>
  <c r="F323" i="2" s="1"/>
  <c r="F14" i="16" s="1"/>
  <c r="E309" i="2"/>
  <c r="E321" i="2" s="1"/>
  <c r="E323" i="2" s="1"/>
  <c r="E379" i="2" s="1"/>
  <c r="H309" i="2"/>
  <c r="H321" i="2" s="1"/>
  <c r="J309" i="2"/>
  <c r="J321" i="2" s="1"/>
  <c r="I323" i="2"/>
  <c r="I379" i="2" s="1"/>
  <c r="H323" i="2"/>
  <c r="H55" i="17" s="1"/>
  <c r="R751" i="2"/>
  <c r="R753" i="2" s="1"/>
  <c r="R1092" i="2" s="1"/>
  <c r="M746" i="2"/>
  <c r="M777" i="2" s="1"/>
  <c r="AS746" i="2"/>
  <c r="AS777" i="2" s="1"/>
  <c r="AR751" i="2"/>
  <c r="AR753" i="2" s="1"/>
  <c r="AR1002" i="2" s="1"/>
  <c r="AL746" i="2"/>
  <c r="AL777" i="2" s="1"/>
  <c r="P746" i="2"/>
  <c r="P777" i="2" s="1"/>
  <c r="AP746" i="2"/>
  <c r="AP777" i="2" s="1"/>
  <c r="AM746" i="2"/>
  <c r="AM777" i="2" s="1"/>
  <c r="U746" i="2"/>
  <c r="U777" i="2" s="1"/>
  <c r="S746" i="2"/>
  <c r="S777" i="2" s="1"/>
  <c r="Q746" i="2"/>
  <c r="Q777" i="2" s="1"/>
  <c r="E226" i="2"/>
  <c r="AN746" i="2"/>
  <c r="AN777" i="2" s="1"/>
  <c r="E160" i="2"/>
  <c r="T746" i="2"/>
  <c r="T777" i="2" s="1"/>
  <c r="V731" i="2"/>
  <c r="V739" i="2" s="1"/>
  <c r="V744" i="2" s="1"/>
  <c r="V751" i="2" s="1"/>
  <c r="G232" i="2"/>
  <c r="H232" i="2"/>
  <c r="H190" i="2"/>
  <c r="G190" i="2"/>
  <c r="G13" i="16"/>
  <c r="G199" i="2"/>
  <c r="H13" i="16"/>
  <c r="H54" i="17"/>
  <c r="J232" i="2"/>
  <c r="J199" i="2"/>
  <c r="J190" i="2"/>
  <c r="J54" i="17"/>
  <c r="F54" i="17"/>
  <c r="F190" i="2"/>
  <c r="F13" i="16"/>
  <c r="F199" i="2"/>
  <c r="L124" i="2"/>
  <c r="L20" i="4"/>
  <c r="L632" i="2" s="1"/>
  <c r="L512" i="2"/>
  <c r="E232" i="2"/>
  <c r="Q18" i="4"/>
  <c r="Q124" i="2" s="1"/>
  <c r="Q77" i="2"/>
  <c r="E13" i="16"/>
  <c r="E199" i="2"/>
  <c r="E54" i="17"/>
  <c r="M19" i="4"/>
  <c r="M512" i="2" s="1"/>
  <c r="M124" i="2"/>
  <c r="K19" i="4"/>
  <c r="K20" i="4" s="1"/>
  <c r="K563" i="2" s="1"/>
  <c r="K124" i="2"/>
  <c r="P19" i="4"/>
  <c r="P512" i="2" s="1"/>
  <c r="P124" i="2"/>
  <c r="O19" i="4"/>
  <c r="O20" i="4" s="1"/>
  <c r="O632" i="2" s="1"/>
  <c r="O124" i="2"/>
  <c r="N19" i="4"/>
  <c r="N20" i="4" s="1"/>
  <c r="N632" i="2" s="1"/>
  <c r="N124" i="2"/>
  <c r="L217" i="2"/>
  <c r="L234" i="2"/>
  <c r="K318" i="2"/>
  <c r="K319" i="2" s="1"/>
  <c r="K256" i="2" s="1"/>
  <c r="K239" i="2"/>
  <c r="K237" i="2"/>
  <c r="K236" i="2"/>
  <c r="K238" i="2"/>
  <c r="K240" i="2"/>
  <c r="K295" i="2"/>
  <c r="K304" i="2" s="1"/>
  <c r="K309" i="2" s="1"/>
  <c r="N174" i="2"/>
  <c r="N181" i="2" s="1"/>
  <c r="N186" i="2" s="1"/>
  <c r="X174" i="2"/>
  <c r="X175" i="2" s="1"/>
  <c r="AB174" i="2"/>
  <c r="AB181" i="2" s="1"/>
  <c r="AC174" i="2"/>
  <c r="AC181" i="2" s="1"/>
  <c r="V174" i="2"/>
  <c r="V175" i="2" s="1"/>
  <c r="R174" i="2"/>
  <c r="R181" i="2" s="1"/>
  <c r="R186" i="2" s="1"/>
  <c r="AA174" i="2"/>
  <c r="AA181" i="2" s="1"/>
  <c r="W174" i="2"/>
  <c r="W181" i="2" s="1"/>
  <c r="P174" i="2"/>
  <c r="P175" i="2" s="1"/>
  <c r="T174" i="2"/>
  <c r="T175" i="2" s="1"/>
  <c r="AB295" i="2"/>
  <c r="AB304" i="2" s="1"/>
  <c r="AB309" i="2" s="1"/>
  <c r="V295" i="2"/>
  <c r="V298" i="2" s="1"/>
  <c r="Z174" i="2"/>
  <c r="Z175" i="2" s="1"/>
  <c r="M295" i="2"/>
  <c r="M304" i="2" s="1"/>
  <c r="M309" i="2" s="1"/>
  <c r="AA295" i="2"/>
  <c r="AA304" i="2" s="1"/>
  <c r="AA309" i="2" s="1"/>
  <c r="M174" i="2"/>
  <c r="M181" i="2" s="1"/>
  <c r="M186" i="2" s="1"/>
  <c r="Q174" i="2"/>
  <c r="Q181" i="2" s="1"/>
  <c r="Q186" i="2" s="1"/>
  <c r="L174" i="2"/>
  <c r="L175" i="2" s="1"/>
  <c r="Y174" i="2"/>
  <c r="Y181" i="2" s="1"/>
  <c r="Q295" i="2"/>
  <c r="Q304" i="2" s="1"/>
  <c r="Q309" i="2" s="1"/>
  <c r="S174" i="2"/>
  <c r="S175" i="2" s="1"/>
  <c r="O174" i="2"/>
  <c r="O181" i="2" s="1"/>
  <c r="O186" i="2" s="1"/>
  <c r="P295" i="2"/>
  <c r="P304" i="2" s="1"/>
  <c r="P309" i="2" s="1"/>
  <c r="S295" i="2"/>
  <c r="S298" i="2" s="1"/>
  <c r="U295" i="2"/>
  <c r="U304" i="2" s="1"/>
  <c r="U309" i="2" s="1"/>
  <c r="T295" i="2"/>
  <c r="T304" i="2" s="1"/>
  <c r="T309" i="2" s="1"/>
  <c r="U174" i="2"/>
  <c r="U181" i="2" s="1"/>
  <c r="U186" i="2" s="1"/>
  <c r="O295" i="2"/>
  <c r="O304" i="2" s="1"/>
  <c r="O309" i="2" s="1"/>
  <c r="L295" i="2"/>
  <c r="L298" i="2" s="1"/>
  <c r="AC295" i="2"/>
  <c r="AC304" i="2" s="1"/>
  <c r="AC309" i="2" s="1"/>
  <c r="R295" i="2"/>
  <c r="R298" i="2" s="1"/>
  <c r="Z295" i="2"/>
  <c r="Z298" i="2" s="1"/>
  <c r="X295" i="2"/>
  <c r="N295" i="2"/>
  <c r="N304" i="2" s="1"/>
  <c r="N309" i="2" s="1"/>
  <c r="Y295" i="2"/>
  <c r="Y304" i="2" s="1"/>
  <c r="Y309" i="2" s="1"/>
  <c r="W295" i="2"/>
  <c r="W298" i="2" s="1"/>
  <c r="K181" i="2"/>
  <c r="K207" i="4"/>
  <c r="K136" i="2" s="1"/>
  <c r="L33" i="2"/>
  <c r="L538" i="2"/>
  <c r="L539" i="2" s="1"/>
  <c r="L434" i="2"/>
  <c r="L422" i="2"/>
  <c r="L423" i="2" s="1"/>
  <c r="L429" i="2" s="1"/>
  <c r="L944" i="2"/>
  <c r="L419" i="2"/>
  <c r="L62" i="2"/>
  <c r="L28" i="2"/>
  <c r="L29" i="2" s="1"/>
  <c r="L425" i="2"/>
  <c r="L426" i="2" s="1"/>
  <c r="L430" i="2" s="1"/>
  <c r="L528" i="2"/>
  <c r="L542" i="2" s="1"/>
  <c r="L228" i="2"/>
  <c r="K133" i="7"/>
  <c r="K542" i="2"/>
  <c r="M1033" i="2"/>
  <c r="M252" i="4"/>
  <c r="M137" i="17"/>
  <c r="M12" i="17"/>
  <c r="M1142" i="2"/>
  <c r="M320" i="4"/>
  <c r="M246" i="4"/>
  <c r="M606" i="2"/>
  <c r="M964" i="2"/>
  <c r="M578" i="2"/>
  <c r="M579" i="2" s="1"/>
  <c r="M91" i="17"/>
  <c r="M53" i="17"/>
  <c r="M197" i="4"/>
  <c r="M191" i="4"/>
  <c r="M2" i="7"/>
  <c r="R16" i="4"/>
  <c r="R17" i="4" s="1"/>
  <c r="R50" i="2" s="1"/>
  <c r="M2" i="10"/>
  <c r="M311" i="4"/>
  <c r="M2" i="14"/>
  <c r="M52" i="14" s="1"/>
  <c r="M2" i="16"/>
  <c r="M2" i="17"/>
  <c r="M2" i="8"/>
  <c r="M117" i="8" s="1"/>
  <c r="M2" i="12"/>
  <c r="M2" i="9"/>
  <c r="M2" i="4"/>
  <c r="M2" i="2"/>
  <c r="N9" i="10"/>
  <c r="K265" i="7"/>
  <c r="K266" i="7" s="1"/>
  <c r="L206" i="7"/>
  <c r="L207" i="7" s="1"/>
  <c r="L211" i="7" s="1"/>
  <c r="L292" i="7"/>
  <c r="L263" i="7"/>
  <c r="L200" i="7"/>
  <c r="L201" i="7" s="1"/>
  <c r="L209" i="7" s="1"/>
  <c r="L212" i="7" s="1"/>
  <c r="L218" i="7" s="1"/>
  <c r="L287" i="7"/>
  <c r="L288" i="7" s="1"/>
  <c r="L295" i="7" s="1"/>
  <c r="L37" i="7"/>
  <c r="L203" i="7"/>
  <c r="L204" i="7" s="1"/>
  <c r="L210" i="7" s="1"/>
  <c r="L45" i="7"/>
  <c r="K428" i="7"/>
  <c r="K444" i="7"/>
  <c r="K419" i="7"/>
  <c r="K906" i="2" s="1"/>
  <c r="K436" i="7"/>
  <c r="K420" i="2"/>
  <c r="K428" i="2" s="1"/>
  <c r="K431" i="2" s="1"/>
  <c r="K439" i="2" s="1"/>
  <c r="Q607" i="2"/>
  <c r="Q4" i="9"/>
  <c r="Q4" i="7"/>
  <c r="R11" i="10"/>
  <c r="Q4" i="14"/>
  <c r="Q4" i="16"/>
  <c r="Q4" i="8"/>
  <c r="Q4" i="17"/>
  <c r="Q4" i="10"/>
  <c r="Q4" i="12"/>
  <c r="Q4" i="2"/>
  <c r="Q4" i="4"/>
  <c r="L1143" i="2"/>
  <c r="L1148" i="2" s="1"/>
  <c r="L1144" i="2"/>
  <c r="L1149" i="2" s="1"/>
  <c r="L1145" i="2"/>
  <c r="L1150" i="2" s="1"/>
  <c r="K64" i="2"/>
  <c r="K67" i="2" s="1"/>
  <c r="K111" i="2"/>
  <c r="K113" i="2" s="1"/>
  <c r="K116" i="2" s="1"/>
  <c r="L207" i="4"/>
  <c r="L136" i="2" s="1"/>
  <c r="P709" i="2"/>
  <c r="O709" i="2"/>
  <c r="U709" i="2"/>
  <c r="Q709" i="2"/>
  <c r="L709" i="2"/>
  <c r="M709" i="2"/>
  <c r="N709" i="2"/>
  <c r="F76" i="18"/>
  <c r="A82" i="18"/>
  <c r="AA303" i="2"/>
  <c r="P303" i="2"/>
  <c r="P276" i="2"/>
  <c r="T276" i="2"/>
  <c r="T303" i="2"/>
  <c r="K276" i="2"/>
  <c r="K303" i="2"/>
  <c r="AB303" i="2"/>
  <c r="AB276" i="2"/>
  <c r="S303" i="2"/>
  <c r="S276" i="2"/>
  <c r="M303" i="2"/>
  <c r="M276" i="2"/>
  <c r="Y276" i="2"/>
  <c r="Y303" i="2"/>
  <c r="R303" i="2"/>
  <c r="R276" i="2"/>
  <c r="AC276" i="2"/>
  <c r="AC303" i="2"/>
  <c r="Q276" i="2"/>
  <c r="Q303" i="2"/>
  <c r="L276" i="2"/>
  <c r="L303" i="2"/>
  <c r="V276" i="2"/>
  <c r="V303" i="2"/>
  <c r="W276" i="2"/>
  <c r="W303" i="2"/>
  <c r="X303" i="2"/>
  <c r="X276" i="2"/>
  <c r="Z303" i="2"/>
  <c r="Z276" i="2"/>
  <c r="N303" i="2"/>
  <c r="N276" i="2"/>
  <c r="O303" i="2"/>
  <c r="O276" i="2"/>
  <c r="L683" i="2" l="1"/>
  <c r="L31" i="10"/>
  <c r="L61" i="10" s="1"/>
  <c r="L62" i="10" s="1"/>
  <c r="K202" i="4"/>
  <c r="K203" i="4"/>
  <c r="K201" i="4"/>
  <c r="K199" i="4"/>
  <c r="M29" i="10"/>
  <c r="M30" i="10" s="1"/>
  <c r="M38" i="10"/>
  <c r="N55" i="10"/>
  <c r="N28" i="10"/>
  <c r="N43" i="10" s="1"/>
  <c r="N682" i="2"/>
  <c r="L194" i="4"/>
  <c r="L393" i="2"/>
  <c r="L249" i="4"/>
  <c r="L633" i="2"/>
  <c r="K257" i="4"/>
  <c r="K258" i="4"/>
  <c r="K254" i="4"/>
  <c r="K256" i="4"/>
  <c r="K255" i="4"/>
  <c r="Y186" i="2"/>
  <c r="Y54" i="17" s="1"/>
  <c r="AC186" i="2"/>
  <c r="AC13" i="16" s="1"/>
  <c r="K186" i="2"/>
  <c r="K13" i="16" s="1"/>
  <c r="AB186" i="2"/>
  <c r="AB232" i="2" s="1"/>
  <c r="AA186" i="2"/>
  <c r="AA54" i="17" s="1"/>
  <c r="W186" i="2"/>
  <c r="W232" i="2" s="1"/>
  <c r="M12" i="2"/>
  <c r="L908" i="2"/>
  <c r="L911" i="2" s="1"/>
  <c r="K924" i="2"/>
  <c r="K925" i="2" s="1"/>
  <c r="K929" i="2"/>
  <c r="K932" i="2" s="1"/>
  <c r="K1021" i="2" s="1"/>
  <c r="K1134" i="2" s="1"/>
  <c r="K79" i="16" s="1"/>
  <c r="N446" i="7"/>
  <c r="N449" i="7" s="1"/>
  <c r="O445" i="7" s="1"/>
  <c r="I453" i="7"/>
  <c r="I505" i="7"/>
  <c r="O430" i="7"/>
  <c r="O433" i="7" s="1"/>
  <c r="P429" i="7" s="1"/>
  <c r="O438" i="7"/>
  <c r="O441" i="7" s="1"/>
  <c r="P437" i="7" s="1"/>
  <c r="M420" i="7"/>
  <c r="M425" i="7" s="1"/>
  <c r="I922" i="2"/>
  <c r="I930" i="2"/>
  <c r="Y321" i="2"/>
  <c r="M74" i="14"/>
  <c r="M41" i="14"/>
  <c r="K566" i="2"/>
  <c r="K581" i="2" s="1"/>
  <c r="G710" i="2"/>
  <c r="G379" i="2"/>
  <c r="G55" i="17"/>
  <c r="AL809" i="2"/>
  <c r="AL1002" i="2"/>
  <c r="AL42" i="16" s="1"/>
  <c r="AM1002" i="2"/>
  <c r="AM144" i="17" s="1"/>
  <c r="AM809" i="2"/>
  <c r="AQ144" i="17"/>
  <c r="S809" i="2"/>
  <c r="S144" i="17"/>
  <c r="T809" i="2"/>
  <c r="T1002" i="2"/>
  <c r="T42" i="16" s="1"/>
  <c r="S1092" i="2"/>
  <c r="I14" i="16"/>
  <c r="AQ1092" i="2"/>
  <c r="U1002" i="2"/>
  <c r="U144" i="17" s="1"/>
  <c r="AQ809" i="2"/>
  <c r="Q1002" i="2"/>
  <c r="Q144" i="17" s="1"/>
  <c r="Q1092" i="2"/>
  <c r="AO1002" i="2"/>
  <c r="AO42" i="16" s="1"/>
  <c r="E14" i="16"/>
  <c r="AR1092" i="2"/>
  <c r="U809" i="2"/>
  <c r="AN809" i="2"/>
  <c r="AN1002" i="2"/>
  <c r="AN144" i="17" s="1"/>
  <c r="E55" i="17"/>
  <c r="AR809" i="2"/>
  <c r="AO1092" i="2"/>
  <c r="AP1002" i="2"/>
  <c r="AP144" i="17" s="1"/>
  <c r="H379" i="2"/>
  <c r="E710" i="2"/>
  <c r="H710" i="2"/>
  <c r="F55" i="17"/>
  <c r="H14" i="16"/>
  <c r="F379" i="2"/>
  <c r="F710" i="2"/>
  <c r="AS1092" i="2"/>
  <c r="AS144" i="17"/>
  <c r="AS809" i="2"/>
  <c r="AP1092" i="2"/>
  <c r="R809" i="2"/>
  <c r="R1002" i="2"/>
  <c r="R42" i="16" s="1"/>
  <c r="I710" i="2"/>
  <c r="I55" i="17"/>
  <c r="L563" i="2"/>
  <c r="Q19" i="4"/>
  <c r="Q20" i="4" s="1"/>
  <c r="Q632" i="2" s="1"/>
  <c r="R18" i="4"/>
  <c r="R124" i="2" s="1"/>
  <c r="R77" i="2"/>
  <c r="N512" i="2"/>
  <c r="K512" i="2"/>
  <c r="M20" i="4"/>
  <c r="M563" i="2" s="1"/>
  <c r="K632" i="2"/>
  <c r="O512" i="2"/>
  <c r="O563" i="2"/>
  <c r="N563" i="2"/>
  <c r="P20" i="4"/>
  <c r="P563" i="2" s="1"/>
  <c r="K298" i="2"/>
  <c r="W175" i="2"/>
  <c r="AA175" i="2"/>
  <c r="L635" i="2"/>
  <c r="L641" i="2" s="1"/>
  <c r="P181" i="2"/>
  <c r="M217" i="2"/>
  <c r="M234" i="2"/>
  <c r="L318" i="2"/>
  <c r="L319" i="2" s="1"/>
  <c r="L256" i="2" s="1"/>
  <c r="L237" i="2"/>
  <c r="L239" i="2"/>
  <c r="L236" i="2"/>
  <c r="L240" i="2"/>
  <c r="L238" i="2"/>
  <c r="K545" i="2"/>
  <c r="AA298" i="2"/>
  <c r="N175" i="2"/>
  <c r="AC175" i="2"/>
  <c r="V181" i="2"/>
  <c r="V304" i="2"/>
  <c r="V309" i="2" s="1"/>
  <c r="O298" i="2"/>
  <c r="X181" i="2"/>
  <c r="AB175" i="2"/>
  <c r="M298" i="2"/>
  <c r="AB298" i="2"/>
  <c r="T298" i="2"/>
  <c r="L304" i="2"/>
  <c r="L309" i="2" s="1"/>
  <c r="N298" i="2"/>
  <c r="U298" i="2"/>
  <c r="T181" i="2"/>
  <c r="R175" i="2"/>
  <c r="Z181" i="2"/>
  <c r="O175" i="2"/>
  <c r="S304" i="2"/>
  <c r="S309" i="2" s="1"/>
  <c r="P298" i="2"/>
  <c r="Z304" i="2"/>
  <c r="Z309" i="2" s="1"/>
  <c r="R304" i="2"/>
  <c r="R309" i="2" s="1"/>
  <c r="AC298" i="2"/>
  <c r="M175" i="2"/>
  <c r="U175" i="2"/>
  <c r="W304" i="2"/>
  <c r="W309" i="2" s="1"/>
  <c r="Q298" i="2"/>
  <c r="S181" i="2"/>
  <c r="L181" i="2"/>
  <c r="Y175" i="2"/>
  <c r="Q175" i="2"/>
  <c r="X304" i="2"/>
  <c r="X298" i="2"/>
  <c r="Y298" i="2"/>
  <c r="F82" i="18"/>
  <c r="A88" i="18"/>
  <c r="F88" i="18" s="1"/>
  <c r="M62" i="2"/>
  <c r="M528" i="2"/>
  <c r="M542" i="2" s="1"/>
  <c r="M422" i="2"/>
  <c r="M423" i="2" s="1"/>
  <c r="M429" i="2" s="1"/>
  <c r="M425" i="2"/>
  <c r="M426" i="2" s="1"/>
  <c r="M430" i="2" s="1"/>
  <c r="M28" i="2"/>
  <c r="M29" i="2" s="1"/>
  <c r="M228" i="2"/>
  <c r="M33" i="2"/>
  <c r="M944" i="2"/>
  <c r="M538" i="2"/>
  <c r="M539" i="2" s="1"/>
  <c r="M544" i="2" s="1"/>
  <c r="M434" i="2"/>
  <c r="M419" i="2"/>
  <c r="L544" i="2"/>
  <c r="L545" i="2" s="1"/>
  <c r="L265" i="7"/>
  <c r="L266" i="7" s="1"/>
  <c r="M206" i="7"/>
  <c r="M207" i="7" s="1"/>
  <c r="M211" i="7" s="1"/>
  <c r="M200" i="7"/>
  <c r="M201" i="7" s="1"/>
  <c r="M209" i="7" s="1"/>
  <c r="M212" i="7" s="1"/>
  <c r="M218" i="7" s="1"/>
  <c r="M203" i="7"/>
  <c r="M204" i="7" s="1"/>
  <c r="M210" i="7" s="1"/>
  <c r="M292" i="7"/>
  <c r="M263" i="7"/>
  <c r="M287" i="7"/>
  <c r="M288" i="7" s="1"/>
  <c r="M295" i="7" s="1"/>
  <c r="M45" i="7"/>
  <c r="M37" i="7"/>
  <c r="L428" i="7"/>
  <c r="L419" i="7"/>
  <c r="L906" i="2" s="1"/>
  <c r="L436" i="7"/>
  <c r="L444" i="7"/>
  <c r="L64" i="2"/>
  <c r="L67" i="2" s="1"/>
  <c r="L111" i="2"/>
  <c r="L113" i="2" s="1"/>
  <c r="L116" i="2" s="1"/>
  <c r="M207" i="4"/>
  <c r="M136" i="2" s="1"/>
  <c r="M1143" i="2"/>
  <c r="M1148" i="2" s="1"/>
  <c r="M1144" i="2"/>
  <c r="M1149" i="2" s="1"/>
  <c r="M1145" i="2"/>
  <c r="M1150" i="2" s="1"/>
  <c r="R607" i="2"/>
  <c r="R4" i="14"/>
  <c r="R4" i="9"/>
  <c r="R4" i="17"/>
  <c r="R4" i="10"/>
  <c r="S11" i="10"/>
  <c r="R4" i="16"/>
  <c r="R4" i="12"/>
  <c r="R4" i="8"/>
  <c r="R4" i="7"/>
  <c r="R4" i="4"/>
  <c r="R4" i="2"/>
  <c r="L133" i="7"/>
  <c r="L420" i="2"/>
  <c r="L428" i="2" s="1"/>
  <c r="L431" i="2" s="1"/>
  <c r="L439" i="2" s="1"/>
  <c r="N1033" i="2"/>
  <c r="N91" i="17"/>
  <c r="N53" i="17"/>
  <c r="N320" i="4"/>
  <c r="N252" i="4"/>
  <c r="N137" i="17"/>
  <c r="N12" i="17"/>
  <c r="N1142" i="2"/>
  <c r="N606" i="2"/>
  <c r="N246" i="4"/>
  <c r="N964" i="2"/>
  <c r="N578" i="2"/>
  <c r="N579" i="2" s="1"/>
  <c r="N311" i="4"/>
  <c r="N197" i="4"/>
  <c r="N191" i="4"/>
  <c r="N2" i="8"/>
  <c r="N117" i="8" s="1"/>
  <c r="N2" i="17"/>
  <c r="N2" i="12"/>
  <c r="N2" i="7"/>
  <c r="S16" i="4"/>
  <c r="S17" i="4" s="1"/>
  <c r="S50" i="2" s="1"/>
  <c r="N2" i="14"/>
  <c r="N52" i="14" s="1"/>
  <c r="N2" i="10"/>
  <c r="N2" i="9"/>
  <c r="N2" i="16"/>
  <c r="N2" i="2"/>
  <c r="N2" i="4"/>
  <c r="O9" i="10"/>
  <c r="R54" i="17"/>
  <c r="R190" i="2"/>
  <c r="R192" i="2" s="1"/>
  <c r="R195" i="2" s="1"/>
  <c r="R196" i="2" s="1"/>
  <c r="R335" i="2" s="1"/>
  <c r="R232" i="2"/>
  <c r="R13" i="16"/>
  <c r="R199" i="2"/>
  <c r="R201" i="2" s="1"/>
  <c r="R204" i="2" s="1"/>
  <c r="R205" i="2" s="1"/>
  <c r="R330" i="2" s="1"/>
  <c r="U199" i="2"/>
  <c r="U201" i="2" s="1"/>
  <c r="U204" i="2" s="1"/>
  <c r="U205" i="2" s="1"/>
  <c r="U330" i="2" s="1"/>
  <c r="U54" i="17"/>
  <c r="U232" i="2"/>
  <c r="U190" i="2"/>
  <c r="U192" i="2" s="1"/>
  <c r="U195" i="2" s="1"/>
  <c r="U196" i="2" s="1"/>
  <c r="U335" i="2" s="1"/>
  <c r="U13" i="16"/>
  <c r="O199" i="2"/>
  <c r="O201" i="2" s="1"/>
  <c r="O204" i="2" s="1"/>
  <c r="O205" i="2" s="1"/>
  <c r="O330" i="2" s="1"/>
  <c r="O54" i="17"/>
  <c r="O13" i="16"/>
  <c r="O190" i="2"/>
  <c r="O192" i="2" s="1"/>
  <c r="O195" i="2" s="1"/>
  <c r="O196" i="2" s="1"/>
  <c r="O335" i="2" s="1"/>
  <c r="O232" i="2"/>
  <c r="M190" i="2"/>
  <c r="M192" i="2" s="1"/>
  <c r="M195" i="2" s="1"/>
  <c r="M196" i="2" s="1"/>
  <c r="M335" i="2" s="1"/>
  <c r="M13" i="16"/>
  <c r="M54" i="17"/>
  <c r="M199" i="2"/>
  <c r="M201" i="2" s="1"/>
  <c r="M204" i="2" s="1"/>
  <c r="M205" i="2" s="1"/>
  <c r="M330" i="2" s="1"/>
  <c r="M232" i="2"/>
  <c r="Q232" i="2"/>
  <c r="Q13" i="16"/>
  <c r="Q54" i="17"/>
  <c r="Q199" i="2"/>
  <c r="Q201" i="2" s="1"/>
  <c r="Q204" i="2" s="1"/>
  <c r="Q205" i="2" s="1"/>
  <c r="Q330" i="2" s="1"/>
  <c r="Q190" i="2"/>
  <c r="Q192" i="2" s="1"/>
  <c r="Q195" i="2" s="1"/>
  <c r="Q196" i="2" s="1"/>
  <c r="Q335" i="2" s="1"/>
  <c r="N190" i="2"/>
  <c r="N192" i="2" s="1"/>
  <c r="N195" i="2" s="1"/>
  <c r="N196" i="2" s="1"/>
  <c r="N335" i="2" s="1"/>
  <c r="N13" i="16"/>
  <c r="N232" i="2"/>
  <c r="N54" i="17"/>
  <c r="N199" i="2"/>
  <c r="N201" i="2" s="1"/>
  <c r="N204" i="2" s="1"/>
  <c r="N205" i="2" s="1"/>
  <c r="N330" i="2" s="1"/>
  <c r="AR42" i="16"/>
  <c r="AR144" i="17"/>
  <c r="AA190" i="2" l="1"/>
  <c r="AA192" i="2" s="1"/>
  <c r="AA195" i="2" s="1"/>
  <c r="AA196" i="2" s="1"/>
  <c r="AA335" i="2" s="1"/>
  <c r="K54" i="17"/>
  <c r="K199" i="2"/>
  <c r="K201" i="2" s="1"/>
  <c r="K204" i="2" s="1"/>
  <c r="K205" i="2" s="1"/>
  <c r="K330" i="2" s="1"/>
  <c r="K232" i="2"/>
  <c r="K190" i="2"/>
  <c r="K192" i="2" s="1"/>
  <c r="K195" i="2" s="1"/>
  <c r="K196" i="2" s="1"/>
  <c r="K335" i="2" s="1"/>
  <c r="AC190" i="2"/>
  <c r="AC192" i="2" s="1"/>
  <c r="AC195" i="2" s="1"/>
  <c r="AC196" i="2" s="1"/>
  <c r="AC335" i="2" s="1"/>
  <c r="L199" i="4"/>
  <c r="L201" i="4"/>
  <c r="L203" i="4"/>
  <c r="L202" i="4"/>
  <c r="Y190" i="2"/>
  <c r="Y192" i="2" s="1"/>
  <c r="Y195" i="2" s="1"/>
  <c r="Y13" i="16"/>
  <c r="M683" i="2"/>
  <c r="M31" i="10"/>
  <c r="M61" i="10" s="1"/>
  <c r="M62" i="10" s="1"/>
  <c r="L257" i="4"/>
  <c r="N29" i="10"/>
  <c r="N30" i="10" s="1"/>
  <c r="N38" i="10"/>
  <c r="AC54" i="17"/>
  <c r="O682" i="2"/>
  <c r="O55" i="10"/>
  <c r="O28" i="10"/>
  <c r="O43" i="10" s="1"/>
  <c r="Y232" i="2"/>
  <c r="Y199" i="2"/>
  <c r="Y201" i="2" s="1"/>
  <c r="Y204" i="2" s="1"/>
  <c r="L255" i="4"/>
  <c r="K262" i="4"/>
  <c r="K250" i="2" s="1"/>
  <c r="M633" i="2"/>
  <c r="M566" i="2"/>
  <c r="M581" i="2" s="1"/>
  <c r="M194" i="4"/>
  <c r="M199" i="4" s="1"/>
  <c r="M249" i="4"/>
  <c r="M393" i="2"/>
  <c r="L256" i="4"/>
  <c r="AC199" i="2"/>
  <c r="AC201" i="2" s="1"/>
  <c r="AC204" i="2" s="1"/>
  <c r="AC205" i="2" s="1"/>
  <c r="AC330" i="2" s="1"/>
  <c r="L254" i="4"/>
  <c r="AC232" i="2"/>
  <c r="L258" i="4"/>
  <c r="AA232" i="2"/>
  <c r="AA199" i="2"/>
  <c r="AA201" i="2" s="1"/>
  <c r="AA204" i="2" s="1"/>
  <c r="AA205" i="2" s="1"/>
  <c r="AA330" i="2" s="1"/>
  <c r="AA13" i="16"/>
  <c r="X309" i="2"/>
  <c r="X321" i="2" s="1"/>
  <c r="W13" i="16"/>
  <c r="W54" i="17"/>
  <c r="W199" i="2"/>
  <c r="W201" i="2" s="1"/>
  <c r="W204" i="2" s="1"/>
  <c r="W205" i="2" s="1"/>
  <c r="W330" i="2" s="1"/>
  <c r="W190" i="2"/>
  <c r="W192" i="2" s="1"/>
  <c r="W195" i="2" s="1"/>
  <c r="V186" i="2"/>
  <c r="V232" i="2" s="1"/>
  <c r="P186" i="2"/>
  <c r="P199" i="2" s="1"/>
  <c r="P201" i="2" s="1"/>
  <c r="P204" i="2" s="1"/>
  <c r="P205" i="2" s="1"/>
  <c r="P330" i="2" s="1"/>
  <c r="AB190" i="2"/>
  <c r="AB192" i="2" s="1"/>
  <c r="AB195" i="2" s="1"/>
  <c r="AB196" i="2" s="1"/>
  <c r="AB335" i="2" s="1"/>
  <c r="Z186" i="2"/>
  <c r="Z232" i="2" s="1"/>
  <c r="X186" i="2"/>
  <c r="X199" i="2" s="1"/>
  <c r="X201" i="2" s="1"/>
  <c r="X204" i="2" s="1"/>
  <c r="L186" i="2"/>
  <c r="L190" i="2" s="1"/>
  <c r="L192" i="2" s="1"/>
  <c r="L195" i="2" s="1"/>
  <c r="L196" i="2" s="1"/>
  <c r="L335" i="2" s="1"/>
  <c r="T186" i="2"/>
  <c r="T199" i="2" s="1"/>
  <c r="T201" i="2" s="1"/>
  <c r="T204" i="2" s="1"/>
  <c r="T205" i="2" s="1"/>
  <c r="T330" i="2" s="1"/>
  <c r="AB54" i="17"/>
  <c r="S186" i="2"/>
  <c r="S199" i="2" s="1"/>
  <c r="S201" i="2" s="1"/>
  <c r="S204" i="2" s="1"/>
  <c r="S205" i="2" s="1"/>
  <c r="S330" i="2" s="1"/>
  <c r="AB199" i="2"/>
  <c r="AB201" i="2" s="1"/>
  <c r="AB204" i="2" s="1"/>
  <c r="AB205" i="2" s="1"/>
  <c r="AB330" i="2" s="1"/>
  <c r="AB13" i="16"/>
  <c r="N12" i="2"/>
  <c r="L918" i="2"/>
  <c r="L931" i="2" s="1"/>
  <c r="L761" i="2"/>
  <c r="L924" i="2"/>
  <c r="L925" i="2" s="1"/>
  <c r="L58" i="16" s="1"/>
  <c r="L929" i="2"/>
  <c r="L912" i="2"/>
  <c r="M907" i="2" s="1"/>
  <c r="M908" i="2" s="1"/>
  <c r="M911" i="2" s="1"/>
  <c r="K58" i="16"/>
  <c r="K937" i="2"/>
  <c r="P430" i="7"/>
  <c r="P433" i="7"/>
  <c r="Q429" i="7" s="1"/>
  <c r="P438" i="7"/>
  <c r="P441" i="7"/>
  <c r="Q437" i="7" s="1"/>
  <c r="O446" i="7"/>
  <c r="O449" i="7"/>
  <c r="P445" i="7" s="1"/>
  <c r="N74" i="14"/>
  <c r="N41" i="14"/>
  <c r="L555" i="2"/>
  <c r="L566" i="2"/>
  <c r="L581" i="2" s="1"/>
  <c r="K555" i="2"/>
  <c r="AM42" i="16"/>
  <c r="AL144" i="17"/>
  <c r="T144" i="17"/>
  <c r="U42" i="16"/>
  <c r="A94" i="18"/>
  <c r="F94" i="18" s="1"/>
  <c r="Q42" i="16"/>
  <c r="AO144" i="17"/>
  <c r="AP42" i="16"/>
  <c r="AN42" i="16"/>
  <c r="R144" i="17"/>
  <c r="R19" i="4"/>
  <c r="R20" i="4" s="1"/>
  <c r="R632" i="2" s="1"/>
  <c r="Q512" i="2"/>
  <c r="M632" i="2"/>
  <c r="Q563" i="2"/>
  <c r="S18" i="4"/>
  <c r="S124" i="2" s="1"/>
  <c r="S77" i="2"/>
  <c r="K635" i="2"/>
  <c r="K641" i="2" s="1"/>
  <c r="P632" i="2"/>
  <c r="N217" i="2"/>
  <c r="N234" i="2"/>
  <c r="M318" i="2"/>
  <c r="M319" i="2" s="1"/>
  <c r="M256" i="2" s="1"/>
  <c r="M236" i="2"/>
  <c r="M237" i="2"/>
  <c r="M239" i="2"/>
  <c r="M240" i="2"/>
  <c r="M238" i="2"/>
  <c r="N425" i="2"/>
  <c r="N426" i="2" s="1"/>
  <c r="N430" i="2" s="1"/>
  <c r="N28" i="2"/>
  <c r="N29" i="2" s="1"/>
  <c r="N944" i="2"/>
  <c r="N33" i="2"/>
  <c r="N528" i="2"/>
  <c r="N538" i="2"/>
  <c r="N539" i="2" s="1"/>
  <c r="N419" i="2"/>
  <c r="N422" i="2"/>
  <c r="N423" i="2" s="1"/>
  <c r="N429" i="2" s="1"/>
  <c r="N62" i="2"/>
  <c r="N434" i="2"/>
  <c r="N228" i="2"/>
  <c r="M111" i="2"/>
  <c r="M113" i="2" s="1"/>
  <c r="M116" i="2" s="1"/>
  <c r="M64" i="2"/>
  <c r="M67" i="2" s="1"/>
  <c r="N1144" i="2"/>
  <c r="N1149" i="2" s="1"/>
  <c r="N1143" i="2"/>
  <c r="N1148" i="2" s="1"/>
  <c r="N1145" i="2"/>
  <c r="N1150" i="2" s="1"/>
  <c r="N207" i="4"/>
  <c r="N136" i="2" s="1"/>
  <c r="M133" i="7"/>
  <c r="M420" i="2"/>
  <c r="M428" i="2" s="1"/>
  <c r="M431" i="2" s="1"/>
  <c r="M439" i="2" s="1"/>
  <c r="M265" i="7"/>
  <c r="M266" i="7" s="1"/>
  <c r="O1033" i="2"/>
  <c r="O91" i="17"/>
  <c r="O53" i="17"/>
  <c r="O252" i="4"/>
  <c r="O137" i="17"/>
  <c r="O12" i="17"/>
  <c r="O1142" i="2"/>
  <c r="O606" i="2"/>
  <c r="O246" i="4"/>
  <c r="O964" i="2"/>
  <c r="O578" i="2"/>
  <c r="O579" i="2" s="1"/>
  <c r="O320" i="4"/>
  <c r="O311" i="4"/>
  <c r="T16" i="4"/>
  <c r="T17" i="4" s="1"/>
  <c r="T50" i="2" s="1"/>
  <c r="O191" i="4"/>
  <c r="O197" i="4"/>
  <c r="O2" i="14"/>
  <c r="O52" i="14" s="1"/>
  <c r="O2" i="17"/>
  <c r="O2" i="7"/>
  <c r="O2" i="8"/>
  <c r="O117" i="8" s="1"/>
  <c r="O2" i="10"/>
  <c r="O2" i="12"/>
  <c r="O2" i="16"/>
  <c r="O2" i="9"/>
  <c r="O2" i="4"/>
  <c r="O2" i="2"/>
  <c r="P9" i="10"/>
  <c r="N292" i="7"/>
  <c r="N37" i="7"/>
  <c r="N206" i="7"/>
  <c r="N207" i="7" s="1"/>
  <c r="N211" i="7" s="1"/>
  <c r="N200" i="7"/>
  <c r="N201" i="7" s="1"/>
  <c r="N209" i="7" s="1"/>
  <c r="N212" i="7" s="1"/>
  <c r="N218" i="7" s="1"/>
  <c r="N203" i="7"/>
  <c r="N204" i="7" s="1"/>
  <c r="N210" i="7" s="1"/>
  <c r="N287" i="7"/>
  <c r="N288" i="7" s="1"/>
  <c r="N295" i="7" s="1"/>
  <c r="N45" i="7"/>
  <c r="N263" i="7"/>
  <c r="S607" i="2"/>
  <c r="S4" i="12"/>
  <c r="S4" i="7"/>
  <c r="S4" i="10"/>
  <c r="S4" i="9"/>
  <c r="S4" i="14"/>
  <c r="S4" i="16"/>
  <c r="T11" i="10"/>
  <c r="S4" i="17"/>
  <c r="S4" i="8"/>
  <c r="S4" i="2"/>
  <c r="S4" i="4"/>
  <c r="M419" i="7"/>
  <c r="M906" i="2" s="1"/>
  <c r="M428" i="7"/>
  <c r="M436" i="7"/>
  <c r="M444" i="7"/>
  <c r="M545" i="2"/>
  <c r="M635" i="2" l="1"/>
  <c r="M641" i="2" s="1"/>
  <c r="M202" i="4"/>
  <c r="N683" i="2"/>
  <c r="N31" i="10"/>
  <c r="N61" i="10" s="1"/>
  <c r="N62" i="10" s="1"/>
  <c r="N194" i="4"/>
  <c r="N199" i="4" s="1"/>
  <c r="N393" i="2"/>
  <c r="N249" i="4"/>
  <c r="N566" i="2"/>
  <c r="N581" i="2" s="1"/>
  <c r="N633" i="2"/>
  <c r="N635" i="2" s="1"/>
  <c r="N641" i="2" s="1"/>
  <c r="M258" i="4"/>
  <c r="P682" i="2"/>
  <c r="P28" i="10"/>
  <c r="P43" i="10" s="1"/>
  <c r="P55" i="10"/>
  <c r="M254" i="4"/>
  <c r="M257" i="4"/>
  <c r="N257" i="4" s="1"/>
  <c r="M201" i="4"/>
  <c r="O29" i="10"/>
  <c r="O30" i="10" s="1"/>
  <c r="O38" i="10"/>
  <c r="M203" i="4"/>
  <c r="M256" i="4"/>
  <c r="M255" i="4"/>
  <c r="L262" i="4"/>
  <c r="L250" i="2" s="1"/>
  <c r="S13" i="16"/>
  <c r="V13" i="16"/>
  <c r="V190" i="2"/>
  <c r="V192" i="2" s="1"/>
  <c r="V195" i="2" s="1"/>
  <c r="V196" i="2" s="1"/>
  <c r="V335" i="2" s="1"/>
  <c r="V54" i="17"/>
  <c r="P190" i="2"/>
  <c r="P192" i="2" s="1"/>
  <c r="P195" i="2" s="1"/>
  <c r="P196" i="2" s="1"/>
  <c r="P335" i="2" s="1"/>
  <c r="V199" i="2"/>
  <c r="V201" i="2" s="1"/>
  <c r="V204" i="2" s="1"/>
  <c r="V205" i="2" s="1"/>
  <c r="V330" i="2" s="1"/>
  <c r="Z199" i="2"/>
  <c r="Z201" i="2" s="1"/>
  <c r="Z204" i="2" s="1"/>
  <c r="Z205" i="2" s="1"/>
  <c r="Z330" i="2" s="1"/>
  <c r="P13" i="16"/>
  <c r="X190" i="2"/>
  <c r="X192" i="2" s="1"/>
  <c r="X195" i="2" s="1"/>
  <c r="Z190" i="2"/>
  <c r="Z192" i="2" s="1"/>
  <c r="Z195" i="2" s="1"/>
  <c r="Z196" i="2" s="1"/>
  <c r="Z335" i="2" s="1"/>
  <c r="Z13" i="16"/>
  <c r="Z54" i="17"/>
  <c r="P54" i="17"/>
  <c r="X232" i="2"/>
  <c r="P232" i="2"/>
  <c r="L232" i="2"/>
  <c r="L54" i="17"/>
  <c r="L13" i="16"/>
  <c r="X54" i="17"/>
  <c r="L199" i="2"/>
  <c r="L201" i="2" s="1"/>
  <c r="L204" i="2" s="1"/>
  <c r="L205" i="2" s="1"/>
  <c r="L330" i="2" s="1"/>
  <c r="X13" i="16"/>
  <c r="T232" i="2"/>
  <c r="T13" i="16"/>
  <c r="T54" i="17"/>
  <c r="T190" i="2"/>
  <c r="T192" i="2" s="1"/>
  <c r="T195" i="2" s="1"/>
  <c r="T196" i="2" s="1"/>
  <c r="T335" i="2" s="1"/>
  <c r="S190" i="2"/>
  <c r="S192" i="2" s="1"/>
  <c r="S195" i="2" s="1"/>
  <c r="S196" i="2" s="1"/>
  <c r="S335" i="2" s="1"/>
  <c r="S232" i="2"/>
  <c r="S54" i="17"/>
  <c r="O12" i="2"/>
  <c r="L1006" i="2"/>
  <c r="L148" i="17" s="1"/>
  <c r="L1096" i="2"/>
  <c r="L937" i="2"/>
  <c r="M929" i="2"/>
  <c r="M924" i="2"/>
  <c r="M925" i="2" s="1"/>
  <c r="M937" i="2" s="1"/>
  <c r="M912" i="2"/>
  <c r="N907" i="2" s="1"/>
  <c r="N908" i="2" s="1"/>
  <c r="N911" i="2" s="1"/>
  <c r="L932" i="2"/>
  <c r="L1021" i="2" s="1"/>
  <c r="L1134" i="2" s="1"/>
  <c r="L79" i="16" s="1"/>
  <c r="N420" i="7"/>
  <c r="N425" i="7" s="1"/>
  <c r="P446" i="7"/>
  <c r="P449" i="7" s="1"/>
  <c r="Q445" i="7" s="1"/>
  <c r="M761" i="2"/>
  <c r="M918" i="2"/>
  <c r="Q438" i="7"/>
  <c r="Q441" i="7" s="1"/>
  <c r="R437" i="7" s="1"/>
  <c r="Q430" i="7"/>
  <c r="Q433" i="7" s="1"/>
  <c r="R429" i="7" s="1"/>
  <c r="A100" i="18"/>
  <c r="F100" i="18" s="1"/>
  <c r="O74" i="14"/>
  <c r="O41" i="14"/>
  <c r="M555" i="2"/>
  <c r="K660" i="2"/>
  <c r="L660" i="2"/>
  <c r="L96" i="17"/>
  <c r="L101" i="17" s="1"/>
  <c r="L817" i="2"/>
  <c r="L807" i="2"/>
  <c r="L654" i="2"/>
  <c r="L85" i="14"/>
  <c r="L91" i="14" s="1"/>
  <c r="L1051" i="2"/>
  <c r="L829" i="2"/>
  <c r="L841" i="2" s="1"/>
  <c r="L847" i="2" s="1"/>
  <c r="L29" i="16"/>
  <c r="K582" i="2"/>
  <c r="K591" i="2" s="1"/>
  <c r="K592" i="2" s="1"/>
  <c r="R563" i="2"/>
  <c r="R512" i="2"/>
  <c r="S19" i="4"/>
  <c r="S512" i="2" s="1"/>
  <c r="T18" i="4"/>
  <c r="T19" i="4" s="1"/>
  <c r="T20" i="4" s="1"/>
  <c r="T77" i="2"/>
  <c r="K1051" i="2"/>
  <c r="K85" i="14"/>
  <c r="K91" i="14" s="1"/>
  <c r="K654" i="2"/>
  <c r="K807" i="2"/>
  <c r="K29" i="16"/>
  <c r="O217" i="2"/>
  <c r="O234" i="2"/>
  <c r="N318" i="2"/>
  <c r="N319" i="2" s="1"/>
  <c r="N256" i="2" s="1"/>
  <c r="N237" i="2"/>
  <c r="N239" i="2"/>
  <c r="N236" i="2"/>
  <c r="N238" i="2"/>
  <c r="N240" i="2"/>
  <c r="N542" i="2"/>
  <c r="T607" i="2"/>
  <c r="T4" i="8"/>
  <c r="T4" i="12"/>
  <c r="T4" i="7"/>
  <c r="T4" i="10"/>
  <c r="T4" i="14"/>
  <c r="T4" i="9"/>
  <c r="T4" i="17"/>
  <c r="U11" i="10"/>
  <c r="T4" i="16"/>
  <c r="T4" i="2"/>
  <c r="T4" i="4"/>
  <c r="O1143" i="2"/>
  <c r="O1148" i="2" s="1"/>
  <c r="O1144" i="2"/>
  <c r="O1149" i="2" s="1"/>
  <c r="O1145" i="2"/>
  <c r="O1150" i="2" s="1"/>
  <c r="N544" i="2"/>
  <c r="N436" i="7"/>
  <c r="N444" i="7"/>
  <c r="N419" i="7"/>
  <c r="N906" i="2" s="1"/>
  <c r="N428" i="7"/>
  <c r="N64" i="2"/>
  <c r="N67" i="2" s="1"/>
  <c r="N111" i="2"/>
  <c r="N113" i="2" s="1"/>
  <c r="N116" i="2" s="1"/>
  <c r="N265" i="7"/>
  <c r="N266" i="7" s="1"/>
  <c r="P1033" i="2"/>
  <c r="P578" i="2"/>
  <c r="P579" i="2" s="1"/>
  <c r="P311" i="4"/>
  <c r="P91" i="17"/>
  <c r="P53" i="17"/>
  <c r="P252" i="4"/>
  <c r="P137" i="17"/>
  <c r="P12" i="17"/>
  <c r="P1142" i="2"/>
  <c r="P606" i="2"/>
  <c r="P320" i="4"/>
  <c r="P964" i="2"/>
  <c r="P246" i="4"/>
  <c r="P2" i="7"/>
  <c r="P2" i="12"/>
  <c r="P191" i="4"/>
  <c r="P197" i="4"/>
  <c r="P2" i="14"/>
  <c r="P52" i="14" s="1"/>
  <c r="P2" i="8"/>
  <c r="P117" i="8" s="1"/>
  <c r="P2" i="17"/>
  <c r="P2" i="10"/>
  <c r="P2" i="16"/>
  <c r="P2" i="9"/>
  <c r="U16" i="4"/>
  <c r="U17" i="4" s="1"/>
  <c r="U50" i="2" s="1"/>
  <c r="P2" i="2"/>
  <c r="P2" i="4"/>
  <c r="Q9" i="10"/>
  <c r="O203" i="7"/>
  <c r="O204" i="7" s="1"/>
  <c r="O210" i="7" s="1"/>
  <c r="O287" i="7"/>
  <c r="O288" i="7" s="1"/>
  <c r="O295" i="7" s="1"/>
  <c r="O206" i="7"/>
  <c r="O207" i="7" s="1"/>
  <c r="O211" i="7" s="1"/>
  <c r="O37" i="7"/>
  <c r="O200" i="7"/>
  <c r="O201" i="7" s="1"/>
  <c r="O209" i="7" s="1"/>
  <c r="O212" i="7" s="1"/>
  <c r="O218" i="7" s="1"/>
  <c r="O292" i="7"/>
  <c r="O263" i="7"/>
  <c r="O45" i="7"/>
  <c r="L582" i="2"/>
  <c r="L583" i="2" s="1"/>
  <c r="N133" i="7"/>
  <c r="O419" i="2"/>
  <c r="O425" i="2"/>
  <c r="O426" i="2" s="1"/>
  <c r="O430" i="2" s="1"/>
  <c r="O33" i="2"/>
  <c r="O434" i="2"/>
  <c r="O28" i="2"/>
  <c r="O29" i="2" s="1"/>
  <c r="O422" i="2"/>
  <c r="O423" i="2" s="1"/>
  <c r="O429" i="2" s="1"/>
  <c r="O62" i="2"/>
  <c r="O228" i="2"/>
  <c r="O538" i="2"/>
  <c r="O539" i="2" s="1"/>
  <c r="O544" i="2" s="1"/>
  <c r="O528" i="2"/>
  <c r="O542" i="2" s="1"/>
  <c r="O944" i="2"/>
  <c r="O207" i="4"/>
  <c r="O136" i="2" s="1"/>
  <c r="N420" i="2"/>
  <c r="N428" i="2" s="1"/>
  <c r="N431" i="2" s="1"/>
  <c r="N439" i="2" s="1"/>
  <c r="N254" i="4" l="1"/>
  <c r="N256" i="4"/>
  <c r="N258" i="4"/>
  <c r="O683" i="2"/>
  <c r="O31" i="10"/>
  <c r="O61" i="10" s="1"/>
  <c r="O62" i="10" s="1"/>
  <c r="Q28" i="10"/>
  <c r="Q43" i="10" s="1"/>
  <c r="Q682" i="2"/>
  <c r="Q55" i="10"/>
  <c r="P29" i="10"/>
  <c r="P30" i="10" s="1"/>
  <c r="P31" i="10" s="1"/>
  <c r="P61" i="10" s="1"/>
  <c r="P62" i="10" s="1"/>
  <c r="P38" i="10"/>
  <c r="N255" i="4"/>
  <c r="M262" i="4"/>
  <c r="M250" i="2" s="1"/>
  <c r="N202" i="4"/>
  <c r="O393" i="2"/>
  <c r="O566" i="2"/>
  <c r="O581" i="2" s="1"/>
  <c r="O249" i="4"/>
  <c r="O258" i="4" s="1"/>
  <c r="O633" i="2"/>
  <c r="O635" i="2" s="1"/>
  <c r="O641" i="2" s="1"/>
  <c r="O194" i="4"/>
  <c r="O199" i="4" s="1"/>
  <c r="N201" i="4"/>
  <c r="N203" i="4"/>
  <c r="O203" i="4" s="1"/>
  <c r="P12" i="2"/>
  <c r="L46" i="16"/>
  <c r="M58" i="16"/>
  <c r="N924" i="2"/>
  <c r="N925" i="2" s="1"/>
  <c r="N58" i="16" s="1"/>
  <c r="N929" i="2"/>
  <c r="N912" i="2"/>
  <c r="O907" i="2" s="1"/>
  <c r="O908" i="2" s="1"/>
  <c r="R438" i="7"/>
  <c r="R441" i="7" s="1"/>
  <c r="S437" i="7" s="1"/>
  <c r="M931" i="2"/>
  <c r="M932" i="2" s="1"/>
  <c r="M1006" i="2"/>
  <c r="M1096" i="2"/>
  <c r="Q446" i="7"/>
  <c r="Q449" i="7" s="1"/>
  <c r="R445" i="7" s="1"/>
  <c r="R430" i="7"/>
  <c r="R433" i="7" s="1"/>
  <c r="S429" i="7" s="1"/>
  <c r="P74" i="14"/>
  <c r="P41" i="14"/>
  <c r="K96" i="17"/>
  <c r="K817" i="2"/>
  <c r="K829" i="2"/>
  <c r="K841" i="2" s="1"/>
  <c r="K847" i="2" s="1"/>
  <c r="M660" i="2"/>
  <c r="K583" i="2"/>
  <c r="K601" i="2" s="1"/>
  <c r="S20" i="4"/>
  <c r="S632" i="2" s="1"/>
  <c r="M96" i="17"/>
  <c r="M101" i="17" s="1"/>
  <c r="T124" i="2"/>
  <c r="U18" i="4"/>
  <c r="U124" i="2" s="1"/>
  <c r="U77" i="2"/>
  <c r="T512" i="2"/>
  <c r="T563" i="2"/>
  <c r="T632" i="2"/>
  <c r="P217" i="2"/>
  <c r="P234" i="2"/>
  <c r="O318" i="2"/>
  <c r="O319" i="2" s="1"/>
  <c r="O256" i="2" s="1"/>
  <c r="O240" i="2"/>
  <c r="O239" i="2"/>
  <c r="O236" i="2"/>
  <c r="O237" i="2"/>
  <c r="O238" i="2"/>
  <c r="L601" i="2"/>
  <c r="K594" i="2"/>
  <c r="K597" i="2"/>
  <c r="K624" i="2" s="1"/>
  <c r="O545" i="2"/>
  <c r="O444" i="7"/>
  <c r="O419" i="7"/>
  <c r="O906" i="2" s="1"/>
  <c r="O428" i="7"/>
  <c r="O436" i="7"/>
  <c r="P419" i="2"/>
  <c r="P425" i="2"/>
  <c r="P426" i="2" s="1"/>
  <c r="P430" i="2" s="1"/>
  <c r="P434" i="2"/>
  <c r="P422" i="2"/>
  <c r="P423" i="2" s="1"/>
  <c r="P429" i="2" s="1"/>
  <c r="P228" i="2"/>
  <c r="P538" i="2"/>
  <c r="P539" i="2" s="1"/>
  <c r="P544" i="2" s="1"/>
  <c r="P528" i="2"/>
  <c r="P542" i="2" s="1"/>
  <c r="P28" i="2"/>
  <c r="P29" i="2" s="1"/>
  <c r="P62" i="2"/>
  <c r="P944" i="2"/>
  <c r="P33" i="2"/>
  <c r="P1143" i="2"/>
  <c r="P1148" i="2" s="1"/>
  <c r="P1144" i="2"/>
  <c r="P1149" i="2" s="1"/>
  <c r="P1145" i="2"/>
  <c r="P1150" i="2" s="1"/>
  <c r="P207" i="4"/>
  <c r="P136" i="2" s="1"/>
  <c r="O64" i="2"/>
  <c r="O67" i="2" s="1"/>
  <c r="O111" i="2"/>
  <c r="O113" i="2" s="1"/>
  <c r="O116" i="2" s="1"/>
  <c r="O420" i="2"/>
  <c r="O428" i="2" s="1"/>
  <c r="O431" i="2" s="1"/>
  <c r="O439" i="2" s="1"/>
  <c r="P203" i="7"/>
  <c r="P204" i="7" s="1"/>
  <c r="P210" i="7" s="1"/>
  <c r="P292" i="7"/>
  <c r="P206" i="7"/>
  <c r="P207" i="7" s="1"/>
  <c r="P211" i="7" s="1"/>
  <c r="P200" i="7"/>
  <c r="P201" i="7" s="1"/>
  <c r="P209" i="7" s="1"/>
  <c r="P212" i="7" s="1"/>
  <c r="P218" i="7" s="1"/>
  <c r="P263" i="7"/>
  <c r="P287" i="7"/>
  <c r="P288" i="7" s="1"/>
  <c r="P295" i="7" s="1"/>
  <c r="P37" i="7"/>
  <c r="P45" i="7"/>
  <c r="U607" i="2"/>
  <c r="U4" i="10"/>
  <c r="U4" i="9"/>
  <c r="U4" i="7"/>
  <c r="U4" i="8"/>
  <c r="U4" i="14"/>
  <c r="U4" i="12"/>
  <c r="U4" i="17"/>
  <c r="U4" i="16"/>
  <c r="V11" i="10"/>
  <c r="U4" i="2"/>
  <c r="U4" i="4"/>
  <c r="M582" i="2"/>
  <c r="M591" i="2" s="1"/>
  <c r="M592" i="2" s="1"/>
  <c r="O133" i="7"/>
  <c r="Q1033" i="2"/>
  <c r="Q964" i="2"/>
  <c r="Q578" i="2"/>
  <c r="Q579" i="2" s="1"/>
  <c r="Q311" i="4"/>
  <c r="Q91" i="17"/>
  <c r="Q53" i="17"/>
  <c r="Q252" i="4"/>
  <c r="Q137" i="17"/>
  <c r="Q12" i="17"/>
  <c r="Q1142" i="2"/>
  <c r="Q606" i="2"/>
  <c r="Q246" i="4"/>
  <c r="Q320" i="4"/>
  <c r="Q191" i="4"/>
  <c r="Q197" i="4"/>
  <c r="Q2" i="14"/>
  <c r="Q52" i="14" s="1"/>
  <c r="Q2" i="16"/>
  <c r="Q2" i="17"/>
  <c r="Q2" i="12"/>
  <c r="Q2" i="7"/>
  <c r="Q2" i="9"/>
  <c r="V16" i="4"/>
  <c r="V17" i="4" s="1"/>
  <c r="V50" i="2" s="1"/>
  <c r="Q2" i="10"/>
  <c r="Q2" i="8"/>
  <c r="Q117" i="8" s="1"/>
  <c r="Q2" i="4"/>
  <c r="Q2" i="2"/>
  <c r="R9" i="10"/>
  <c r="N545" i="2"/>
  <c r="L591" i="2"/>
  <c r="L592" i="2" s="1"/>
  <c r="O265" i="7"/>
  <c r="O266" i="7" s="1"/>
  <c r="O256" i="4" l="1"/>
  <c r="Q29" i="10"/>
  <c r="Q30" i="10" s="1"/>
  <c r="Q38" i="10"/>
  <c r="O255" i="4"/>
  <c r="N262" i="4"/>
  <c r="N250" i="2" s="1"/>
  <c r="O254" i="4"/>
  <c r="R28" i="10"/>
  <c r="R43" i="10" s="1"/>
  <c r="R682" i="2"/>
  <c r="R55" i="10"/>
  <c r="O257" i="4"/>
  <c r="P194" i="4"/>
  <c r="P199" i="4" s="1"/>
  <c r="P249" i="4"/>
  <c r="P258" i="4" s="1"/>
  <c r="P393" i="2"/>
  <c r="P633" i="2"/>
  <c r="P635" i="2" s="1"/>
  <c r="P641" i="2" s="1"/>
  <c r="P566" i="2"/>
  <c r="P581" i="2" s="1"/>
  <c r="P683" i="2"/>
  <c r="P203" i="4"/>
  <c r="O201" i="4"/>
  <c r="P201" i="4" s="1"/>
  <c r="O202" i="4"/>
  <c r="P202" i="4" s="1"/>
  <c r="Q12" i="2"/>
  <c r="N937" i="2"/>
  <c r="M1021" i="2"/>
  <c r="M1134" i="2" s="1"/>
  <c r="M79" i="16" s="1"/>
  <c r="O911" i="2"/>
  <c r="S430" i="7"/>
  <c r="S433" i="7" s="1"/>
  <c r="T429" i="7" s="1"/>
  <c r="R446" i="7"/>
  <c r="R449" i="7" s="1"/>
  <c r="S445" i="7" s="1"/>
  <c r="S438" i="7"/>
  <c r="S441" i="7" s="1"/>
  <c r="T437" i="7" s="1"/>
  <c r="M46" i="16"/>
  <c r="M148" i="17"/>
  <c r="N918" i="2"/>
  <c r="N761" i="2"/>
  <c r="O420" i="7"/>
  <c r="O425" i="7" s="1"/>
  <c r="Q74" i="14"/>
  <c r="Q41" i="14"/>
  <c r="M829" i="2"/>
  <c r="M841" i="2" s="1"/>
  <c r="M847" i="2" s="1"/>
  <c r="M1051" i="2"/>
  <c r="M807" i="2"/>
  <c r="M817" i="2"/>
  <c r="M654" i="2"/>
  <c r="M29" i="16"/>
  <c r="M85" i="14"/>
  <c r="M91" i="14" s="1"/>
  <c r="N555" i="2"/>
  <c r="O555" i="2"/>
  <c r="S563" i="2"/>
  <c r="U19" i="4"/>
  <c r="U20" i="4" s="1"/>
  <c r="U563" i="2" s="1"/>
  <c r="V18" i="4"/>
  <c r="V19" i="4" s="1"/>
  <c r="V20" i="4" s="1"/>
  <c r="V77" i="2"/>
  <c r="Q217" i="2"/>
  <c r="Q234" i="2"/>
  <c r="P318" i="2"/>
  <c r="P319" i="2" s="1"/>
  <c r="P256" i="2" s="1"/>
  <c r="P238" i="2"/>
  <c r="P237" i="2"/>
  <c r="P236" i="2"/>
  <c r="P240" i="2"/>
  <c r="P239" i="2"/>
  <c r="V607" i="2"/>
  <c r="V4" i="8"/>
  <c r="W11" i="10"/>
  <c r="V4" i="7"/>
  <c r="V4" i="16"/>
  <c r="V4" i="9"/>
  <c r="V4" i="17"/>
  <c r="V4" i="12"/>
  <c r="V4" i="10"/>
  <c r="V4" i="14"/>
  <c r="V4" i="4"/>
  <c r="V4" i="2"/>
  <c r="P111" i="2"/>
  <c r="P113" i="2" s="1"/>
  <c r="P116" i="2" s="1"/>
  <c r="P64" i="2"/>
  <c r="P67" i="2" s="1"/>
  <c r="Q207" i="4"/>
  <c r="Q136" i="2" s="1"/>
  <c r="P265" i="7"/>
  <c r="P266" i="7" s="1"/>
  <c r="K602" i="2"/>
  <c r="K603" i="2" s="1"/>
  <c r="K595" i="2"/>
  <c r="L590" i="2" s="1"/>
  <c r="P545" i="2"/>
  <c r="P420" i="2"/>
  <c r="P428" i="2" s="1"/>
  <c r="P431" i="2" s="1"/>
  <c r="P439" i="2" s="1"/>
  <c r="Q200" i="7"/>
  <c r="Q201" i="7" s="1"/>
  <c r="Q209" i="7" s="1"/>
  <c r="Q212" i="7" s="1"/>
  <c r="Q218" i="7" s="1"/>
  <c r="Q203" i="7"/>
  <c r="Q204" i="7" s="1"/>
  <c r="Q210" i="7" s="1"/>
  <c r="Q206" i="7"/>
  <c r="Q207" i="7" s="1"/>
  <c r="Q211" i="7" s="1"/>
  <c r="Q263" i="7"/>
  <c r="Q45" i="7"/>
  <c r="Q37" i="7"/>
  <c r="Q287" i="7"/>
  <c r="Q288" i="7" s="1"/>
  <c r="Q295" i="7" s="1"/>
  <c r="Q292" i="7"/>
  <c r="P428" i="7"/>
  <c r="P444" i="7"/>
  <c r="P419" i="7"/>
  <c r="P906" i="2" s="1"/>
  <c r="P436" i="7"/>
  <c r="R1033" i="2"/>
  <c r="R964" i="2"/>
  <c r="R578" i="2"/>
  <c r="R579" i="2" s="1"/>
  <c r="R311" i="4"/>
  <c r="R91" i="17"/>
  <c r="R53" i="17"/>
  <c r="R320" i="4"/>
  <c r="R137" i="17"/>
  <c r="R12" i="17"/>
  <c r="R1142" i="2"/>
  <c r="R606" i="2"/>
  <c r="R246" i="4"/>
  <c r="R252" i="4"/>
  <c r="R197" i="4"/>
  <c r="R191" i="4"/>
  <c r="W16" i="4"/>
  <c r="W17" i="4" s="1"/>
  <c r="W50" i="2" s="1"/>
  <c r="R2" i="12"/>
  <c r="R2" i="14"/>
  <c r="R52" i="14" s="1"/>
  <c r="R2" i="16"/>
  <c r="R2" i="9"/>
  <c r="R2" i="17"/>
  <c r="R2" i="10"/>
  <c r="R2" i="7"/>
  <c r="R2" i="8"/>
  <c r="R117" i="8" s="1"/>
  <c r="R2" i="2"/>
  <c r="R2" i="4"/>
  <c r="S9" i="10"/>
  <c r="Q528" i="2"/>
  <c r="Q228" i="2"/>
  <c r="Q422" i="2"/>
  <c r="Q423" i="2" s="1"/>
  <c r="Q429" i="2" s="1"/>
  <c r="Q944" i="2"/>
  <c r="Q419" i="2"/>
  <c r="Q28" i="2"/>
  <c r="Q29" i="2" s="1"/>
  <c r="Q33" i="2"/>
  <c r="Q62" i="2"/>
  <c r="Q538" i="2"/>
  <c r="Q539" i="2" s="1"/>
  <c r="Q434" i="2"/>
  <c r="Q425" i="2"/>
  <c r="Q426" i="2" s="1"/>
  <c r="Q430" i="2" s="1"/>
  <c r="Q1143" i="2"/>
  <c r="Q1148" i="2" s="1"/>
  <c r="Q1144" i="2"/>
  <c r="Q1149" i="2" s="1"/>
  <c r="Q1145" i="2"/>
  <c r="Q1150" i="2" s="1"/>
  <c r="M583" i="2"/>
  <c r="P133" i="7"/>
  <c r="P257" i="4" l="1"/>
  <c r="Q683" i="2"/>
  <c r="Q31" i="10"/>
  <c r="Q61" i="10" s="1"/>
  <c r="Q62" i="10" s="1"/>
  <c r="Q201" i="4"/>
  <c r="P255" i="4"/>
  <c r="O262" i="4"/>
  <c r="O250" i="2" s="1"/>
  <c r="Q633" i="2"/>
  <c r="Q635" i="2" s="1"/>
  <c r="Q641" i="2" s="1"/>
  <c r="Q194" i="4"/>
  <c r="Q203" i="4" s="1"/>
  <c r="Q393" i="2"/>
  <c r="Q249" i="4"/>
  <c r="Q258" i="4" s="1"/>
  <c r="Q566" i="2"/>
  <c r="Q581" i="2" s="1"/>
  <c r="S682" i="2"/>
  <c r="S55" i="10"/>
  <c r="S28" i="10"/>
  <c r="S43" i="10" s="1"/>
  <c r="R29" i="10"/>
  <c r="R30" i="10" s="1"/>
  <c r="R31" i="10" s="1"/>
  <c r="R61" i="10" s="1"/>
  <c r="R62" i="10" s="1"/>
  <c r="R38" i="10"/>
  <c r="P256" i="4"/>
  <c r="P254" i="4"/>
  <c r="Q202" i="4"/>
  <c r="R12" i="2"/>
  <c r="O924" i="2"/>
  <c r="O925" i="2" s="1"/>
  <c r="O58" i="16" s="1"/>
  <c r="O929" i="2"/>
  <c r="O912" i="2"/>
  <c r="P907" i="2" s="1"/>
  <c r="P908" i="2" s="1"/>
  <c r="T438" i="7"/>
  <c r="S446" i="7"/>
  <c r="S449" i="7" s="1"/>
  <c r="T445" i="7" s="1"/>
  <c r="T430" i="7"/>
  <c r="T433" i="7" s="1"/>
  <c r="U429" i="7" s="1"/>
  <c r="N1096" i="2"/>
  <c r="N931" i="2"/>
  <c r="N932" i="2" s="1"/>
  <c r="N1006" i="2"/>
  <c r="R74" i="14"/>
  <c r="R41" i="14"/>
  <c r="P555" i="2"/>
  <c r="N29" i="16"/>
  <c r="N807" i="2"/>
  <c r="N829" i="2"/>
  <c r="N841" i="2" s="1"/>
  <c r="N847" i="2" s="1"/>
  <c r="N85" i="14"/>
  <c r="N91" i="14" s="1"/>
  <c r="N1051" i="2"/>
  <c r="N654" i="2"/>
  <c r="N660" i="2"/>
  <c r="N817" i="2"/>
  <c r="N96" i="17"/>
  <c r="N101" i="17" s="1"/>
  <c r="O817" i="2"/>
  <c r="O829" i="2"/>
  <c r="O841" i="2" s="1"/>
  <c r="O847" i="2" s="1"/>
  <c r="O29" i="16"/>
  <c r="O654" i="2"/>
  <c r="O85" i="14"/>
  <c r="O91" i="14" s="1"/>
  <c r="O1051" i="2"/>
  <c r="O807" i="2"/>
  <c r="O96" i="17"/>
  <c r="O101" i="17" s="1"/>
  <c r="O660" i="2"/>
  <c r="V90" i="2"/>
  <c r="V356" i="2" s="1"/>
  <c r="V89" i="2"/>
  <c r="V352" i="2" s="1"/>
  <c r="V91" i="2"/>
  <c r="V360" i="2" s="1"/>
  <c r="V88" i="2"/>
  <c r="V348" i="2" s="1"/>
  <c r="V124" i="2"/>
  <c r="U632" i="2"/>
  <c r="U512" i="2"/>
  <c r="V512" i="2"/>
  <c r="W18" i="4"/>
  <c r="W19" i="4" s="1"/>
  <c r="W77" i="2"/>
  <c r="V632" i="2"/>
  <c r="V563" i="2"/>
  <c r="Q318" i="2"/>
  <c r="Q319" i="2" s="1"/>
  <c r="Q256" i="2" s="1"/>
  <c r="Q237" i="2"/>
  <c r="Q236" i="2"/>
  <c r="Q238" i="2"/>
  <c r="Q239" i="2"/>
  <c r="Q240" i="2"/>
  <c r="R217" i="2"/>
  <c r="R234" i="2"/>
  <c r="O582" i="2"/>
  <c r="O591" i="2" s="1"/>
  <c r="O592" i="2" s="1"/>
  <c r="W607" i="2"/>
  <c r="W4" i="17"/>
  <c r="W4" i="7"/>
  <c r="W4" i="12"/>
  <c r="W4" i="9"/>
  <c r="W4" i="14"/>
  <c r="W4" i="10"/>
  <c r="W4" i="8"/>
  <c r="X11" i="10"/>
  <c r="W4" i="16"/>
  <c r="W4" i="4"/>
  <c r="W4" i="2"/>
  <c r="Q544" i="2"/>
  <c r="R1144" i="2"/>
  <c r="R1149" i="2" s="1"/>
  <c r="R1145" i="2"/>
  <c r="R1150" i="2" s="1"/>
  <c r="R1143" i="2"/>
  <c r="Q133" i="7"/>
  <c r="N582" i="2"/>
  <c r="N583" i="2" s="1"/>
  <c r="N601" i="2" s="1"/>
  <c r="S1033" i="2"/>
  <c r="S606" i="2"/>
  <c r="S246" i="4"/>
  <c r="S964" i="2"/>
  <c r="S578" i="2"/>
  <c r="S579" i="2" s="1"/>
  <c r="S320" i="4"/>
  <c r="S311" i="4"/>
  <c r="S91" i="17"/>
  <c r="S53" i="17"/>
  <c r="S252" i="4"/>
  <c r="S137" i="17"/>
  <c r="S12" i="17"/>
  <c r="S1142" i="2"/>
  <c r="S197" i="4"/>
  <c r="S191" i="4"/>
  <c r="S2" i="17"/>
  <c r="S2" i="10"/>
  <c r="S2" i="7"/>
  <c r="X16" i="4"/>
  <c r="X17" i="4" s="1"/>
  <c r="X50" i="2" s="1"/>
  <c r="S2" i="14"/>
  <c r="S52" i="14" s="1"/>
  <c r="S2" i="9"/>
  <c r="S2" i="8"/>
  <c r="S117" i="8" s="1"/>
  <c r="S2" i="12"/>
  <c r="S2" i="16"/>
  <c r="S2" i="2"/>
  <c r="S2" i="4"/>
  <c r="T9" i="10"/>
  <c r="K609" i="2"/>
  <c r="K616" i="2"/>
  <c r="M601" i="2"/>
  <c r="R422" i="2"/>
  <c r="R423" i="2" s="1"/>
  <c r="R429" i="2" s="1"/>
  <c r="R528" i="2"/>
  <c r="R542" i="2" s="1"/>
  <c r="R538" i="2"/>
  <c r="R539" i="2" s="1"/>
  <c r="R544" i="2" s="1"/>
  <c r="R419" i="2"/>
  <c r="R944" i="2"/>
  <c r="R425" i="2"/>
  <c r="R426" i="2" s="1"/>
  <c r="R430" i="2" s="1"/>
  <c r="R28" i="2"/>
  <c r="R29" i="2" s="1"/>
  <c r="R33" i="2"/>
  <c r="R62" i="2"/>
  <c r="R228" i="2"/>
  <c r="R434" i="2"/>
  <c r="Q265" i="7"/>
  <c r="Q266" i="7" s="1"/>
  <c r="Q64" i="2"/>
  <c r="Q67" i="2" s="1"/>
  <c r="Q111" i="2"/>
  <c r="Q113" i="2" s="1"/>
  <c r="Q116" i="2" s="1"/>
  <c r="Q542" i="2"/>
  <c r="R200" i="7"/>
  <c r="R201" i="7" s="1"/>
  <c r="R209" i="7" s="1"/>
  <c r="R212" i="7" s="1"/>
  <c r="R218" i="7" s="1"/>
  <c r="R203" i="7"/>
  <c r="R204" i="7" s="1"/>
  <c r="R210" i="7" s="1"/>
  <c r="R206" i="7"/>
  <c r="R207" i="7" s="1"/>
  <c r="R211" i="7" s="1"/>
  <c r="R263" i="7"/>
  <c r="R45" i="7"/>
  <c r="R37" i="7"/>
  <c r="R292" i="7"/>
  <c r="R287" i="7"/>
  <c r="R288" i="7" s="1"/>
  <c r="R295" i="7" s="1"/>
  <c r="R207" i="4"/>
  <c r="R136" i="2" s="1"/>
  <c r="Q436" i="7"/>
  <c r="Q428" i="7"/>
  <c r="Q419" i="7"/>
  <c r="Q906" i="2" s="1"/>
  <c r="Q444" i="7"/>
  <c r="Q420" i="2"/>
  <c r="Q428" i="2" s="1"/>
  <c r="Q431" i="2" s="1"/>
  <c r="Q439" i="2" s="1"/>
  <c r="L593" i="2"/>
  <c r="L597" i="2" s="1"/>
  <c r="L624" i="2" s="1"/>
  <c r="Q256" i="4" l="1"/>
  <c r="Q255" i="4"/>
  <c r="P262" i="4"/>
  <c r="P250" i="2" s="1"/>
  <c r="T55" i="10"/>
  <c r="T28" i="10"/>
  <c r="T43" i="10" s="1"/>
  <c r="T682" i="2"/>
  <c r="R194" i="4"/>
  <c r="R203" i="4" s="1"/>
  <c r="R249" i="4"/>
  <c r="R258" i="4" s="1"/>
  <c r="R393" i="2"/>
  <c r="R633" i="2"/>
  <c r="R635" i="2" s="1"/>
  <c r="R641" i="2" s="1"/>
  <c r="R566" i="2"/>
  <c r="R581" i="2" s="1"/>
  <c r="Q254" i="4"/>
  <c r="S29" i="10"/>
  <c r="S30" i="10" s="1"/>
  <c r="S31" i="10" s="1"/>
  <c r="S61" i="10" s="1"/>
  <c r="S62" i="10" s="1"/>
  <c r="S38" i="10"/>
  <c r="Q199" i="4"/>
  <c r="R199" i="4" s="1"/>
  <c r="R683" i="2"/>
  <c r="Q257" i="4"/>
  <c r="S12" i="2"/>
  <c r="O937" i="2"/>
  <c r="N1021" i="2"/>
  <c r="N1134" i="2" s="1"/>
  <c r="N79" i="16" s="1"/>
  <c r="P911" i="2"/>
  <c r="T446" i="7"/>
  <c r="P420" i="7"/>
  <c r="P425" i="7" s="1"/>
  <c r="O918" i="2"/>
  <c r="O761" i="2"/>
  <c r="N46" i="16"/>
  <c r="N148" i="17"/>
  <c r="U430" i="7"/>
  <c r="U433" i="7" s="1"/>
  <c r="V429" i="7" s="1"/>
  <c r="T441" i="7"/>
  <c r="U437" i="7" s="1"/>
  <c r="S74" i="14"/>
  <c r="S41" i="14"/>
  <c r="P829" i="2"/>
  <c r="P841" i="2" s="1"/>
  <c r="P847" i="2" s="1"/>
  <c r="P654" i="2"/>
  <c r="P96" i="17"/>
  <c r="P101" i="17" s="1"/>
  <c r="P1051" i="2"/>
  <c r="P29" i="16"/>
  <c r="P807" i="2"/>
  <c r="P85" i="14"/>
  <c r="P91" i="14" s="1"/>
  <c r="P817" i="2"/>
  <c r="P660" i="2"/>
  <c r="W90" i="2"/>
  <c r="W356" i="2" s="1"/>
  <c r="W89" i="2"/>
  <c r="W352" i="2" s="1"/>
  <c r="W91" i="2"/>
  <c r="W360" i="2" s="1"/>
  <c r="W88" i="2"/>
  <c r="W348" i="2" s="1"/>
  <c r="W124" i="2"/>
  <c r="W512" i="2"/>
  <c r="W20" i="4"/>
  <c r="W632" i="2" s="1"/>
  <c r="X18" i="4"/>
  <c r="X19" i="4" s="1"/>
  <c r="X20" i="4" s="1"/>
  <c r="X77" i="2"/>
  <c r="R318" i="2"/>
  <c r="R319" i="2" s="1"/>
  <c r="R256" i="2" s="1"/>
  <c r="R239" i="2"/>
  <c r="R236" i="2"/>
  <c r="R237" i="2"/>
  <c r="R238" i="2"/>
  <c r="R240" i="2"/>
  <c r="S217" i="2"/>
  <c r="S234" i="2"/>
  <c r="Q545" i="2"/>
  <c r="O583" i="2"/>
  <c r="O601" i="2" s="1"/>
  <c r="R545" i="2"/>
  <c r="L594" i="2"/>
  <c r="L602" i="2" s="1"/>
  <c r="L603" i="2" s="1"/>
  <c r="L609" i="2" s="1"/>
  <c r="X607" i="2"/>
  <c r="X4" i="9"/>
  <c r="X4" i="16"/>
  <c r="X4" i="8"/>
  <c r="X4" i="17"/>
  <c r="X4" i="7"/>
  <c r="X4" i="10"/>
  <c r="X4" i="12"/>
  <c r="X4" i="14"/>
  <c r="Y11" i="10"/>
  <c r="X4" i="2"/>
  <c r="X4" i="4"/>
  <c r="R133" i="7"/>
  <c r="S207" i="4"/>
  <c r="S136" i="2" s="1"/>
  <c r="R265" i="7"/>
  <c r="R266" i="7" s="1"/>
  <c r="R420" i="2"/>
  <c r="R428" i="2" s="1"/>
  <c r="R431" i="2" s="1"/>
  <c r="R439" i="2" s="1"/>
  <c r="S1144" i="2"/>
  <c r="S1149" i="2" s="1"/>
  <c r="S1145" i="2"/>
  <c r="P582" i="2"/>
  <c r="P591" i="2" s="1"/>
  <c r="P592" i="2" s="1"/>
  <c r="N591" i="2"/>
  <c r="N592" i="2" s="1"/>
  <c r="R111" i="2"/>
  <c r="R113" i="2" s="1"/>
  <c r="R116" i="2" s="1"/>
  <c r="R64" i="2"/>
  <c r="R67" i="2" s="1"/>
  <c r="T1033" i="2"/>
  <c r="T137" i="17"/>
  <c r="T12" i="17"/>
  <c r="T1142" i="2"/>
  <c r="T606" i="2"/>
  <c r="T246" i="4"/>
  <c r="T320" i="4"/>
  <c r="T964" i="2"/>
  <c r="T578" i="2"/>
  <c r="T579" i="2" s="1"/>
  <c r="T311" i="4"/>
  <c r="T91" i="17"/>
  <c r="T53" i="17"/>
  <c r="T252" i="4"/>
  <c r="T197" i="4"/>
  <c r="T191" i="4"/>
  <c r="T2" i="17"/>
  <c r="T2" i="12"/>
  <c r="T2" i="7"/>
  <c r="Y16" i="4"/>
  <c r="Y17" i="4" s="1"/>
  <c r="Y50" i="2" s="1"/>
  <c r="T2" i="9"/>
  <c r="T2" i="14"/>
  <c r="T52" i="14" s="1"/>
  <c r="T2" i="16"/>
  <c r="T2" i="8"/>
  <c r="T117" i="8" s="1"/>
  <c r="T2" i="10"/>
  <c r="T2" i="2"/>
  <c r="T2" i="4"/>
  <c r="U9" i="10"/>
  <c r="R436" i="7"/>
  <c r="R444" i="7"/>
  <c r="R428" i="7"/>
  <c r="R419" i="7"/>
  <c r="R906" i="2" s="1"/>
  <c r="S1143" i="2"/>
  <c r="S1148" i="2" s="1"/>
  <c r="R1148" i="2"/>
  <c r="S200" i="7"/>
  <c r="S201" i="7" s="1"/>
  <c r="S209" i="7" s="1"/>
  <c r="S212" i="7" s="1"/>
  <c r="S218" i="7" s="1"/>
  <c r="S203" i="7"/>
  <c r="S204" i="7" s="1"/>
  <c r="S210" i="7" s="1"/>
  <c r="S206" i="7"/>
  <c r="S207" i="7" s="1"/>
  <c r="S211" i="7" s="1"/>
  <c r="S37" i="7"/>
  <c r="S45" i="7"/>
  <c r="S287" i="7"/>
  <c r="S288" i="7" s="1"/>
  <c r="S295" i="7" s="1"/>
  <c r="S263" i="7"/>
  <c r="S292" i="7"/>
  <c r="S33" i="2"/>
  <c r="S228" i="2"/>
  <c r="S425" i="2"/>
  <c r="S426" i="2" s="1"/>
  <c r="S430" i="2" s="1"/>
  <c r="S944" i="2"/>
  <c r="S434" i="2"/>
  <c r="S419" i="2"/>
  <c r="S528" i="2"/>
  <c r="S542" i="2" s="1"/>
  <c r="S62" i="2"/>
  <c r="S28" i="2"/>
  <c r="S29" i="2" s="1"/>
  <c r="S538" i="2"/>
  <c r="S539" i="2" s="1"/>
  <c r="S422" i="2"/>
  <c r="S423" i="2" s="1"/>
  <c r="S429" i="2" s="1"/>
  <c r="R202" i="4" l="1"/>
  <c r="R257" i="4"/>
  <c r="T29" i="10"/>
  <c r="T30" i="10" s="1"/>
  <c r="T38" i="10"/>
  <c r="S194" i="4"/>
  <c r="S203" i="4" s="1"/>
  <c r="S393" i="2"/>
  <c r="S249" i="4"/>
  <c r="S258" i="4" s="1"/>
  <c r="S566" i="2"/>
  <c r="S581" i="2" s="1"/>
  <c r="S633" i="2"/>
  <c r="S635" i="2" s="1"/>
  <c r="S641" i="2" s="1"/>
  <c r="R255" i="4"/>
  <c r="Q262" i="4"/>
  <c r="Q250" i="2" s="1"/>
  <c r="S683" i="2"/>
  <c r="R256" i="4"/>
  <c r="S256" i="4" s="1"/>
  <c r="R254" i="4"/>
  <c r="S254" i="4" s="1"/>
  <c r="U55" i="10"/>
  <c r="U28" i="10"/>
  <c r="U43" i="10" s="1"/>
  <c r="U682" i="2"/>
  <c r="S257" i="4"/>
  <c r="R201" i="4"/>
  <c r="T12" i="2"/>
  <c r="P924" i="2"/>
  <c r="P925" i="2" s="1"/>
  <c r="P937" i="2" s="1"/>
  <c r="P929" i="2"/>
  <c r="P912" i="2"/>
  <c r="Q907" i="2" s="1"/>
  <c r="Q908" i="2" s="1"/>
  <c r="U438" i="7"/>
  <c r="U441" i="7" s="1"/>
  <c r="V437" i="7" s="1"/>
  <c r="O931" i="2"/>
  <c r="O932" i="2" s="1"/>
  <c r="O1006" i="2"/>
  <c r="O1096" i="2"/>
  <c r="V430" i="7"/>
  <c r="V433" i="7" s="1"/>
  <c r="W429" i="7" s="1"/>
  <c r="T449" i="7"/>
  <c r="U445" i="7" s="1"/>
  <c r="T74" i="14"/>
  <c r="T41" i="14"/>
  <c r="Q555" i="2"/>
  <c r="R555" i="2"/>
  <c r="X90" i="2"/>
  <c r="X356" i="2" s="1"/>
  <c r="X89" i="2"/>
  <c r="X352" i="2" s="1"/>
  <c r="X91" i="2"/>
  <c r="X360" i="2" s="1"/>
  <c r="X88" i="2"/>
  <c r="X348" i="2" s="1"/>
  <c r="W563" i="2"/>
  <c r="X124" i="2"/>
  <c r="X512" i="2"/>
  <c r="Y18" i="4"/>
  <c r="Y19" i="4" s="1"/>
  <c r="Y77" i="2"/>
  <c r="X632" i="2"/>
  <c r="X563" i="2"/>
  <c r="S318" i="2"/>
  <c r="S319" i="2" s="1"/>
  <c r="S256" i="2" s="1"/>
  <c r="S236" i="2"/>
  <c r="S238" i="2"/>
  <c r="S240" i="2"/>
  <c r="S237" i="2"/>
  <c r="S239" i="2"/>
  <c r="T217" i="2"/>
  <c r="T234" i="2"/>
  <c r="Q582" i="2"/>
  <c r="Q583" i="2" s="1"/>
  <c r="Q601" i="2" s="1"/>
  <c r="P583" i="2"/>
  <c r="P601" i="2" s="1"/>
  <c r="L616" i="2"/>
  <c r="L595" i="2"/>
  <c r="M590" i="2" s="1"/>
  <c r="Y607" i="2"/>
  <c r="Y4" i="14"/>
  <c r="Y4" i="17"/>
  <c r="Y4" i="12"/>
  <c r="Y4" i="7"/>
  <c r="Y4" i="9"/>
  <c r="Z11" i="10"/>
  <c r="Y4" i="16"/>
  <c r="Y4" i="10"/>
  <c r="Y4" i="8"/>
  <c r="Y4" i="4"/>
  <c r="Y4" i="2"/>
  <c r="S544" i="2"/>
  <c r="S545" i="2" s="1"/>
  <c r="S133" i="7"/>
  <c r="T207" i="4"/>
  <c r="T136" i="2" s="1"/>
  <c r="S265" i="7"/>
  <c r="S266" i="7" s="1"/>
  <c r="S111" i="2"/>
  <c r="S113" i="2" s="1"/>
  <c r="S116" i="2" s="1"/>
  <c r="S64" i="2"/>
  <c r="S67" i="2" s="1"/>
  <c r="T1144" i="2"/>
  <c r="T1149" i="2" s="1"/>
  <c r="T1143" i="2"/>
  <c r="U1033" i="2"/>
  <c r="U252" i="4"/>
  <c r="U137" i="17"/>
  <c r="U12" i="17"/>
  <c r="U1142" i="2"/>
  <c r="U320" i="4"/>
  <c r="U606" i="2"/>
  <c r="U964" i="2"/>
  <c r="U578" i="2"/>
  <c r="U579" i="2" s="1"/>
  <c r="U91" i="17"/>
  <c r="U53" i="17"/>
  <c r="U191" i="4"/>
  <c r="U246" i="4"/>
  <c r="U311" i="4"/>
  <c r="U197" i="4"/>
  <c r="U2" i="17"/>
  <c r="U2" i="16"/>
  <c r="U2" i="9"/>
  <c r="U2" i="7"/>
  <c r="U2" i="12"/>
  <c r="Z16" i="4"/>
  <c r="Z17" i="4" s="1"/>
  <c r="Z50" i="2" s="1"/>
  <c r="U2" i="10"/>
  <c r="U2" i="8"/>
  <c r="U117" i="8" s="1"/>
  <c r="U2" i="14"/>
  <c r="U52" i="14" s="1"/>
  <c r="U2" i="2"/>
  <c r="U2" i="4"/>
  <c r="V9" i="10"/>
  <c r="R582" i="2"/>
  <c r="R591" i="2" s="1"/>
  <c r="R592" i="2" s="1"/>
  <c r="S420" i="2"/>
  <c r="S428" i="2" s="1"/>
  <c r="S431" i="2" s="1"/>
  <c r="S439" i="2" s="1"/>
  <c r="T206" i="7"/>
  <c r="T207" i="7" s="1"/>
  <c r="T211" i="7" s="1"/>
  <c r="T200" i="7"/>
  <c r="T201" i="7" s="1"/>
  <c r="T209" i="7" s="1"/>
  <c r="T212" i="7" s="1"/>
  <c r="T218" i="7" s="1"/>
  <c r="T203" i="7"/>
  <c r="T204" i="7" s="1"/>
  <c r="T210" i="7" s="1"/>
  <c r="T292" i="7"/>
  <c r="T263" i="7"/>
  <c r="T287" i="7"/>
  <c r="T288" i="7" s="1"/>
  <c r="T295" i="7" s="1"/>
  <c r="T37" i="7"/>
  <c r="T45" i="7"/>
  <c r="S444" i="7"/>
  <c r="S419" i="7"/>
  <c r="S906" i="2" s="1"/>
  <c r="S428" i="7"/>
  <c r="S436" i="7"/>
  <c r="T419" i="2"/>
  <c r="T422" i="2"/>
  <c r="T423" i="2" s="1"/>
  <c r="T429" i="2" s="1"/>
  <c r="T538" i="2"/>
  <c r="T539" i="2" s="1"/>
  <c r="T544" i="2" s="1"/>
  <c r="T528" i="2"/>
  <c r="T542" i="2" s="1"/>
  <c r="T425" i="2"/>
  <c r="T426" i="2" s="1"/>
  <c r="T430" i="2" s="1"/>
  <c r="T228" i="2"/>
  <c r="T33" i="2"/>
  <c r="T944" i="2"/>
  <c r="T62" i="2"/>
  <c r="T28" i="2"/>
  <c r="T29" i="2" s="1"/>
  <c r="T434" i="2"/>
  <c r="T1145" i="2"/>
  <c r="T1150" i="2" s="1"/>
  <c r="S1150" i="2"/>
  <c r="S199" i="4" l="1"/>
  <c r="S202" i="4"/>
  <c r="T683" i="2"/>
  <c r="T31" i="10"/>
  <c r="T61" i="10" s="1"/>
  <c r="T62" i="10" s="1"/>
  <c r="T194" i="4"/>
  <c r="T203" i="4" s="1"/>
  <c r="T393" i="2"/>
  <c r="T249" i="4"/>
  <c r="T258" i="4" s="1"/>
  <c r="T633" i="2"/>
  <c r="T635" i="2" s="1"/>
  <c r="T641" i="2" s="1"/>
  <c r="T566" i="2"/>
  <c r="T581" i="2" s="1"/>
  <c r="V55" i="10"/>
  <c r="V28" i="10"/>
  <c r="V43" i="10" s="1"/>
  <c r="V682" i="2"/>
  <c r="T199" i="4"/>
  <c r="S255" i="4"/>
  <c r="R262" i="4"/>
  <c r="R250" i="2" s="1"/>
  <c r="U29" i="10"/>
  <c r="U30" i="10" s="1"/>
  <c r="U38" i="10"/>
  <c r="S201" i="4"/>
  <c r="U12" i="2"/>
  <c r="P58" i="16"/>
  <c r="O1021" i="2"/>
  <c r="O1134" i="2" s="1"/>
  <c r="O79" i="16" s="1"/>
  <c r="Q911" i="2"/>
  <c r="W430" i="7"/>
  <c r="W433" i="7" s="1"/>
  <c r="X429" i="7" s="1"/>
  <c r="Q420" i="7"/>
  <c r="Q425" i="7" s="1"/>
  <c r="O148" i="17"/>
  <c r="O46" i="16"/>
  <c r="U446" i="7"/>
  <c r="U449" i="7" s="1"/>
  <c r="V445" i="7" s="1"/>
  <c r="V438" i="7"/>
  <c r="V441" i="7" s="1"/>
  <c r="W437" i="7" s="1"/>
  <c r="P918" i="2"/>
  <c r="P761" i="2"/>
  <c r="U74" i="14"/>
  <c r="U41" i="14"/>
  <c r="S555" i="2"/>
  <c r="Q85" i="14"/>
  <c r="Q91" i="14" s="1"/>
  <c r="Q96" i="17"/>
  <c r="Q101" i="17" s="1"/>
  <c r="Q1051" i="2"/>
  <c r="Q660" i="2"/>
  <c r="Q807" i="2"/>
  <c r="Q29" i="16"/>
  <c r="Q829" i="2"/>
  <c r="Q841" i="2" s="1"/>
  <c r="Q847" i="2" s="1"/>
  <c r="Q817" i="2"/>
  <c r="Q654" i="2"/>
  <c r="R96" i="17"/>
  <c r="R101" i="17" s="1"/>
  <c r="R1051" i="2"/>
  <c r="R807" i="2"/>
  <c r="R654" i="2"/>
  <c r="R817" i="2"/>
  <c r="R660" i="2"/>
  <c r="R29" i="16"/>
  <c r="R829" i="2"/>
  <c r="R841" i="2" s="1"/>
  <c r="R847" i="2" s="1"/>
  <c r="R85" i="14"/>
  <c r="R91" i="14" s="1"/>
  <c r="Y89" i="2"/>
  <c r="Y352" i="2" s="1"/>
  <c r="Y91" i="2"/>
  <c r="Y360" i="2" s="1"/>
  <c r="Y90" i="2"/>
  <c r="Y356" i="2" s="1"/>
  <c r="Y88" i="2"/>
  <c r="Y348" i="2" s="1"/>
  <c r="Y124" i="2"/>
  <c r="Y512" i="2"/>
  <c r="Y20" i="4"/>
  <c r="Y563" i="2" s="1"/>
  <c r="Z18" i="4"/>
  <c r="Z19" i="4" s="1"/>
  <c r="Z512" i="2" s="1"/>
  <c r="Z77" i="2"/>
  <c r="T318" i="2"/>
  <c r="T319" i="2" s="1"/>
  <c r="T256" i="2" s="1"/>
  <c r="T257" i="2" s="1"/>
  <c r="T263" i="2" s="1"/>
  <c r="T264" i="2" s="1"/>
  <c r="T237" i="2"/>
  <c r="T239" i="2"/>
  <c r="T240" i="2"/>
  <c r="T238" i="2"/>
  <c r="T236" i="2"/>
  <c r="U217" i="2"/>
  <c r="U234" i="2"/>
  <c r="T545" i="2"/>
  <c r="M593" i="2"/>
  <c r="M597" i="2" s="1"/>
  <c r="M624" i="2" s="1"/>
  <c r="U207" i="4"/>
  <c r="U136" i="2" s="1"/>
  <c r="T64" i="2"/>
  <c r="T67" i="2" s="1"/>
  <c r="T111" i="2"/>
  <c r="T113" i="2" s="1"/>
  <c r="T116" i="2" s="1"/>
  <c r="R583" i="2"/>
  <c r="T420" i="2"/>
  <c r="T428" i="2" s="1"/>
  <c r="T431" i="2" s="1"/>
  <c r="T439" i="2" s="1"/>
  <c r="T265" i="7"/>
  <c r="T266" i="7" s="1"/>
  <c r="U1144" i="2"/>
  <c r="U1149" i="2" s="1"/>
  <c r="U1145" i="2"/>
  <c r="U1150" i="2" s="1"/>
  <c r="U1143" i="2"/>
  <c r="T1148" i="2"/>
  <c r="T436" i="7"/>
  <c r="T444" i="7"/>
  <c r="T419" i="7"/>
  <c r="T906" i="2" s="1"/>
  <c r="T428" i="7"/>
  <c r="Z607" i="2"/>
  <c r="Z4" i="16"/>
  <c r="Z4" i="10"/>
  <c r="Z4" i="7"/>
  <c r="Z4" i="12"/>
  <c r="Z4" i="9"/>
  <c r="Z4" i="14"/>
  <c r="Z4" i="8"/>
  <c r="AA11" i="10"/>
  <c r="Z4" i="17"/>
  <c r="Z4" i="2"/>
  <c r="Z4" i="4"/>
  <c r="T133" i="7"/>
  <c r="V1033" i="2"/>
  <c r="V91" i="17"/>
  <c r="V53" i="17"/>
  <c r="V320" i="4"/>
  <c r="V252" i="4"/>
  <c r="V137" i="17"/>
  <c r="V12" i="17"/>
  <c r="V1142" i="2"/>
  <c r="V606" i="2"/>
  <c r="V246" i="4"/>
  <c r="V964" i="2"/>
  <c r="V965" i="2" s="1"/>
  <c r="V966" i="2" s="1"/>
  <c r="V578" i="2"/>
  <c r="V579" i="2" s="1"/>
  <c r="V311" i="4"/>
  <c r="V197" i="4"/>
  <c r="V191" i="4"/>
  <c r="V2" i="16"/>
  <c r="V2" i="9"/>
  <c r="V2" i="7"/>
  <c r="V2" i="10"/>
  <c r="V2" i="17"/>
  <c r="V2" i="14"/>
  <c r="V52" i="14" s="1"/>
  <c r="AA16" i="4"/>
  <c r="AA17" i="4" s="1"/>
  <c r="AA50" i="2" s="1"/>
  <c r="V2" i="8"/>
  <c r="V117" i="8" s="1"/>
  <c r="V2" i="12"/>
  <c r="V2" i="4"/>
  <c r="V2" i="2"/>
  <c r="W9" i="10"/>
  <c r="U206" i="7"/>
  <c r="U207" i="7" s="1"/>
  <c r="U211" i="7" s="1"/>
  <c r="U200" i="7"/>
  <c r="U201" i="7" s="1"/>
  <c r="U209" i="7" s="1"/>
  <c r="U212" i="7" s="1"/>
  <c r="U218" i="7" s="1"/>
  <c r="U203" i="7"/>
  <c r="U204" i="7" s="1"/>
  <c r="U210" i="7" s="1"/>
  <c r="U263" i="7"/>
  <c r="U287" i="7"/>
  <c r="U288" i="7" s="1"/>
  <c r="U295" i="7" s="1"/>
  <c r="U45" i="7"/>
  <c r="U292" i="7"/>
  <c r="U37" i="7"/>
  <c r="U419" i="2"/>
  <c r="U944" i="2"/>
  <c r="U538" i="2"/>
  <c r="U539" i="2" s="1"/>
  <c r="U544" i="2" s="1"/>
  <c r="U425" i="2"/>
  <c r="U426" i="2" s="1"/>
  <c r="U430" i="2" s="1"/>
  <c r="U528" i="2"/>
  <c r="U542" i="2" s="1"/>
  <c r="U62" i="2"/>
  <c r="U422" i="2"/>
  <c r="U423" i="2" s="1"/>
  <c r="U429" i="2" s="1"/>
  <c r="U33" i="2"/>
  <c r="U434" i="2"/>
  <c r="U28" i="2"/>
  <c r="U29" i="2" s="1"/>
  <c r="U228" i="2"/>
  <c r="Q591" i="2"/>
  <c r="Q592" i="2" s="1"/>
  <c r="T201" i="4" l="1"/>
  <c r="T202" i="4"/>
  <c r="T257" i="4"/>
  <c r="T256" i="4"/>
  <c r="T254" i="4"/>
  <c r="U683" i="2"/>
  <c r="U31" i="10"/>
  <c r="U61" i="10" s="1"/>
  <c r="U62" i="10" s="1"/>
  <c r="V29" i="10"/>
  <c r="V30" i="10" s="1"/>
  <c r="V38" i="10"/>
  <c r="W682" i="2"/>
  <c r="W55" i="10"/>
  <c r="W28" i="10"/>
  <c r="W43" i="10" s="1"/>
  <c r="U194" i="4"/>
  <c r="U203" i="4" s="1"/>
  <c r="U393" i="2"/>
  <c r="U249" i="4"/>
  <c r="U258" i="4" s="1"/>
  <c r="U633" i="2"/>
  <c r="U635" i="2" s="1"/>
  <c r="U641" i="2" s="1"/>
  <c r="U566" i="2"/>
  <c r="U581" i="2" s="1"/>
  <c r="T255" i="4"/>
  <c r="S262" i="4"/>
  <c r="S250" i="2" s="1"/>
  <c r="V12" i="2"/>
  <c r="Q924" i="2"/>
  <c r="Q925" i="2" s="1"/>
  <c r="Q937" i="2" s="1"/>
  <c r="Q929" i="2"/>
  <c r="Q912" i="2"/>
  <c r="R907" i="2" s="1"/>
  <c r="R908" i="2" s="1"/>
  <c r="W438" i="7"/>
  <c r="W441" i="7"/>
  <c r="X437" i="7" s="1"/>
  <c r="X430" i="7"/>
  <c r="X433" i="7" s="1"/>
  <c r="Y429" i="7" s="1"/>
  <c r="V446" i="7"/>
  <c r="V449" i="7" s="1"/>
  <c r="W445" i="7" s="1"/>
  <c r="P1006" i="2"/>
  <c r="P1096" i="2"/>
  <c r="P931" i="2"/>
  <c r="P932" i="2" s="1"/>
  <c r="V74" i="14"/>
  <c r="V41" i="14"/>
  <c r="T555" i="2"/>
  <c r="S654" i="2"/>
  <c r="S807" i="2"/>
  <c r="S829" i="2"/>
  <c r="S841" i="2" s="1"/>
  <c r="S847" i="2" s="1"/>
  <c r="S29" i="16"/>
  <c r="S660" i="2"/>
  <c r="S85" i="14"/>
  <c r="S91" i="14" s="1"/>
  <c r="S1051" i="2"/>
  <c r="S96" i="17"/>
  <c r="S101" i="17" s="1"/>
  <c r="S817" i="2"/>
  <c r="Z89" i="2"/>
  <c r="Z352" i="2" s="1"/>
  <c r="Z91" i="2"/>
  <c r="Z360" i="2" s="1"/>
  <c r="Z90" i="2"/>
  <c r="Z356" i="2" s="1"/>
  <c r="Z88" i="2"/>
  <c r="Z348" i="2" s="1"/>
  <c r="Z124" i="2"/>
  <c r="Y632" i="2"/>
  <c r="Z20" i="4"/>
  <c r="Z632" i="2" s="1"/>
  <c r="AA18" i="4"/>
  <c r="AA19" i="4" s="1"/>
  <c r="AA77" i="2"/>
  <c r="V217" i="2"/>
  <c r="V234" i="2"/>
  <c r="U318" i="2"/>
  <c r="U319" i="2" s="1"/>
  <c r="U256" i="2" s="1"/>
  <c r="U257" i="2" s="1"/>
  <c r="U263" i="2" s="1"/>
  <c r="U237" i="2"/>
  <c r="U239" i="2"/>
  <c r="U236" i="2"/>
  <c r="U240" i="2"/>
  <c r="U238" i="2"/>
  <c r="M594" i="2"/>
  <c r="M602" i="2" s="1"/>
  <c r="M603" i="2" s="1"/>
  <c r="M609" i="2" s="1"/>
  <c r="W1033" i="2"/>
  <c r="W91" i="17"/>
  <c r="W53" i="17"/>
  <c r="W252" i="4"/>
  <c r="W137" i="17"/>
  <c r="W12" i="17"/>
  <c r="W1142" i="2"/>
  <c r="W606" i="2"/>
  <c r="W246" i="4"/>
  <c r="W964" i="2"/>
  <c r="W578" i="2"/>
  <c r="W579" i="2" s="1"/>
  <c r="W320" i="4"/>
  <c r="W311" i="4"/>
  <c r="W197" i="4"/>
  <c r="W191" i="4"/>
  <c r="W2" i="16"/>
  <c r="W2" i="8"/>
  <c r="W117" i="8" s="1"/>
  <c r="W2" i="7"/>
  <c r="AB16" i="4"/>
  <c r="AB17" i="4" s="1"/>
  <c r="AB50" i="2" s="1"/>
  <c r="W2" i="10"/>
  <c r="W2" i="12"/>
  <c r="W2" i="14"/>
  <c r="W52" i="14" s="1"/>
  <c r="W2" i="9"/>
  <c r="W2" i="17"/>
  <c r="W2" i="4"/>
  <c r="W2" i="2"/>
  <c r="X9" i="10"/>
  <c r="U545" i="2"/>
  <c r="U419" i="7"/>
  <c r="U906" i="2" s="1"/>
  <c r="U428" i="7"/>
  <c r="U436" i="7"/>
  <c r="U444" i="7"/>
  <c r="V228" i="2"/>
  <c r="V33" i="2"/>
  <c r="V419" i="2"/>
  <c r="V434" i="2"/>
  <c r="V944" i="2"/>
  <c r="V422" i="2"/>
  <c r="V423" i="2" s="1"/>
  <c r="V429" i="2" s="1"/>
  <c r="V62" i="2"/>
  <c r="V425" i="2"/>
  <c r="V426" i="2" s="1"/>
  <c r="V430" i="2" s="1"/>
  <c r="V528" i="2"/>
  <c r="V542" i="2" s="1"/>
  <c r="V28" i="2"/>
  <c r="V29" i="2" s="1"/>
  <c r="V538" i="2"/>
  <c r="V539" i="2" s="1"/>
  <c r="V544" i="2" s="1"/>
  <c r="V206" i="7"/>
  <c r="V207" i="7" s="1"/>
  <c r="V211" i="7" s="1"/>
  <c r="V200" i="7"/>
  <c r="V201" i="7" s="1"/>
  <c r="V209" i="7" s="1"/>
  <c r="V212" i="7" s="1"/>
  <c r="V218" i="7" s="1"/>
  <c r="V203" i="7"/>
  <c r="V204" i="7" s="1"/>
  <c r="V210" i="7" s="1"/>
  <c r="V292" i="7"/>
  <c r="V263" i="7"/>
  <c r="V287" i="7"/>
  <c r="V288" i="7" s="1"/>
  <c r="V295" i="7" s="1"/>
  <c r="V37" i="7"/>
  <c r="V45" i="7"/>
  <c r="U133" i="7"/>
  <c r="U420" i="2"/>
  <c r="U428" i="2" s="1"/>
  <c r="U431" i="2" s="1"/>
  <c r="U439" i="2" s="1"/>
  <c r="V1144" i="2"/>
  <c r="V1145" i="2"/>
  <c r="V1150" i="2" s="1"/>
  <c r="U265" i="7"/>
  <c r="U266" i="7" s="1"/>
  <c r="S582" i="2"/>
  <c r="S583" i="2" s="1"/>
  <c r="S601" i="2" s="1"/>
  <c r="AA607" i="2"/>
  <c r="AA4" i="7"/>
  <c r="AA4" i="12"/>
  <c r="AA4" i="14"/>
  <c r="AA4" i="8"/>
  <c r="AA4" i="17"/>
  <c r="AA4" i="10"/>
  <c r="AA4" i="16"/>
  <c r="AA4" i="9"/>
  <c r="AB11" i="10"/>
  <c r="AA4" i="2"/>
  <c r="AA4" i="4"/>
  <c r="V207" i="4"/>
  <c r="V136" i="2" s="1"/>
  <c r="R601" i="2"/>
  <c r="U64" i="2"/>
  <c r="U67" i="2" s="1"/>
  <c r="U111" i="2"/>
  <c r="U113" i="2" s="1"/>
  <c r="U116" i="2" s="1"/>
  <c r="V1143" i="2"/>
  <c r="U1148" i="2"/>
  <c r="U202" i="4" l="1"/>
  <c r="U199" i="4"/>
  <c r="U201" i="4"/>
  <c r="U254" i="4"/>
  <c r="V254" i="4" s="1"/>
  <c r="U256" i="4"/>
  <c r="V683" i="2"/>
  <c r="V31" i="10"/>
  <c r="V61" i="10" s="1"/>
  <c r="V62" i="10" s="1"/>
  <c r="X682" i="2"/>
  <c r="X28" i="10"/>
  <c r="X43" i="10" s="1"/>
  <c r="X55" i="10"/>
  <c r="W29" i="10"/>
  <c r="W30" i="10" s="1"/>
  <c r="W38" i="10"/>
  <c r="U257" i="4"/>
  <c r="V194" i="4"/>
  <c r="V199" i="4" s="1"/>
  <c r="V249" i="4"/>
  <c r="V393" i="2"/>
  <c r="V394" i="2" s="1"/>
  <c r="V566" i="2"/>
  <c r="V581" i="2" s="1"/>
  <c r="V633" i="2"/>
  <c r="V635" i="2" s="1"/>
  <c r="V641" i="2" s="1"/>
  <c r="U255" i="4"/>
  <c r="T262" i="4"/>
  <c r="T250" i="2" s="1"/>
  <c r="W12" i="2"/>
  <c r="Q58" i="16"/>
  <c r="P1021" i="2"/>
  <c r="P1134" i="2" s="1"/>
  <c r="P79" i="16" s="1"/>
  <c r="R911" i="2"/>
  <c r="W446" i="7"/>
  <c r="W449" i="7" s="1"/>
  <c r="X445" i="7" s="1"/>
  <c r="P148" i="17"/>
  <c r="P46" i="16"/>
  <c r="Q761" i="2"/>
  <c r="Q918" i="2"/>
  <c r="R420" i="7"/>
  <c r="R425" i="7" s="1"/>
  <c r="Y430" i="7"/>
  <c r="Y433" i="7" s="1"/>
  <c r="Z429" i="7" s="1"/>
  <c r="X438" i="7"/>
  <c r="X441" i="7" s="1"/>
  <c r="Y437" i="7" s="1"/>
  <c r="W74" i="14"/>
  <c r="W41" i="14"/>
  <c r="U555" i="2"/>
  <c r="T1051" i="2"/>
  <c r="T807" i="2"/>
  <c r="T29" i="16"/>
  <c r="T660" i="2"/>
  <c r="T96" i="17"/>
  <c r="T101" i="17" s="1"/>
  <c r="T85" i="14"/>
  <c r="T91" i="14" s="1"/>
  <c r="T654" i="2"/>
  <c r="T817" i="2"/>
  <c r="T829" i="2"/>
  <c r="T841" i="2" s="1"/>
  <c r="T847" i="2" s="1"/>
  <c r="AA89" i="2"/>
  <c r="AA352" i="2" s="1"/>
  <c r="AA91" i="2"/>
  <c r="AA360" i="2" s="1"/>
  <c r="AA90" i="2"/>
  <c r="AA356" i="2" s="1"/>
  <c r="AA88" i="2"/>
  <c r="AA348" i="2" s="1"/>
  <c r="Z563" i="2"/>
  <c r="AA512" i="2"/>
  <c r="AA20" i="4"/>
  <c r="AA632" i="2" s="1"/>
  <c r="AA124" i="2"/>
  <c r="AB18" i="4"/>
  <c r="AB19" i="4" s="1"/>
  <c r="AB77" i="2"/>
  <c r="W217" i="2"/>
  <c r="W234" i="2"/>
  <c r="V318" i="2"/>
  <c r="V238" i="2"/>
  <c r="V240" i="2"/>
  <c r="V236" i="2"/>
  <c r="V237" i="2"/>
  <c r="V239" i="2"/>
  <c r="T582" i="2"/>
  <c r="T591" i="2" s="1"/>
  <c r="T592" i="2" s="1"/>
  <c r="M595" i="2"/>
  <c r="N590" i="2" s="1"/>
  <c r="N593" i="2" s="1"/>
  <c r="M616" i="2"/>
  <c r="AB607" i="2"/>
  <c r="AB4" i="16"/>
  <c r="AB4" i="14"/>
  <c r="AB4" i="17"/>
  <c r="AB4" i="8"/>
  <c r="AB4" i="10"/>
  <c r="AB4" i="9"/>
  <c r="AB4" i="12"/>
  <c r="AB4" i="7"/>
  <c r="AC11" i="10"/>
  <c r="AB4" i="2"/>
  <c r="AB4" i="4"/>
  <c r="V428" i="7"/>
  <c r="V444" i="7"/>
  <c r="V436" i="7"/>
  <c r="V419" i="7"/>
  <c r="V906" i="2" s="1"/>
  <c r="V111" i="2"/>
  <c r="V113" i="2" s="1"/>
  <c r="V116" i="2" s="1"/>
  <c r="V64" i="2"/>
  <c r="V67" i="2" s="1"/>
  <c r="W228" i="2"/>
  <c r="W538" i="2"/>
  <c r="W539" i="2" s="1"/>
  <c r="W544" i="2" s="1"/>
  <c r="W422" i="2"/>
  <c r="W423" i="2" s="1"/>
  <c r="W429" i="2" s="1"/>
  <c r="W528" i="2"/>
  <c r="W542" i="2" s="1"/>
  <c r="W419" i="2"/>
  <c r="W62" i="2"/>
  <c r="W944" i="2"/>
  <c r="W434" i="2"/>
  <c r="W33" i="2"/>
  <c r="W28" i="2"/>
  <c r="W29" i="2" s="1"/>
  <c r="W425" i="2"/>
  <c r="W426" i="2" s="1"/>
  <c r="W430" i="2" s="1"/>
  <c r="W203" i="7"/>
  <c r="W204" i="7" s="1"/>
  <c r="W210" i="7" s="1"/>
  <c r="W206" i="7"/>
  <c r="W207" i="7" s="1"/>
  <c r="W211" i="7" s="1"/>
  <c r="W200" i="7"/>
  <c r="W201" i="7" s="1"/>
  <c r="W209" i="7" s="1"/>
  <c r="W292" i="7"/>
  <c r="W263" i="7"/>
  <c r="W45" i="7"/>
  <c r="W37" i="7"/>
  <c r="W287" i="7"/>
  <c r="W288" i="7" s="1"/>
  <c r="W295" i="7" s="1"/>
  <c r="X1033" i="2"/>
  <c r="X578" i="2"/>
  <c r="X579" i="2" s="1"/>
  <c r="X311" i="4"/>
  <c r="X91" i="17"/>
  <c r="X53" i="17"/>
  <c r="X252" i="4"/>
  <c r="X137" i="17"/>
  <c r="X12" i="17"/>
  <c r="X1142" i="2"/>
  <c r="X606" i="2"/>
  <c r="X320" i="4"/>
  <c r="X964" i="2"/>
  <c r="X246" i="4"/>
  <c r="X197" i="4"/>
  <c r="X191" i="4"/>
  <c r="X2" i="7"/>
  <c r="X2" i="12"/>
  <c r="AC16" i="4"/>
  <c r="AC17" i="4" s="1"/>
  <c r="AC50" i="2" s="1"/>
  <c r="X2" i="9"/>
  <c r="X2" i="8"/>
  <c r="X117" i="8" s="1"/>
  <c r="X2" i="17"/>
  <c r="X2" i="16"/>
  <c r="X2" i="14"/>
  <c r="X52" i="14" s="1"/>
  <c r="X2" i="10"/>
  <c r="X2" i="2"/>
  <c r="X2" i="4"/>
  <c r="Y9" i="10"/>
  <c r="W1144" i="2"/>
  <c r="V1149" i="2"/>
  <c r="V133" i="7"/>
  <c r="W1145" i="2"/>
  <c r="W1150" i="2" s="1"/>
  <c r="U264" i="2"/>
  <c r="W1143" i="2"/>
  <c r="V1148" i="2"/>
  <c r="W207" i="4"/>
  <c r="W136" i="2" s="1"/>
  <c r="S591" i="2"/>
  <c r="S592" i="2" s="1"/>
  <c r="V265" i="7"/>
  <c r="V266" i="7" s="1"/>
  <c r="V545" i="2"/>
  <c r="V420" i="2"/>
  <c r="V428" i="2" s="1"/>
  <c r="V431" i="2" s="1"/>
  <c r="V439" i="2" s="1"/>
  <c r="V203" i="4" l="1"/>
  <c r="V256" i="4"/>
  <c r="V202" i="4"/>
  <c r="V258" i="4"/>
  <c r="W683" i="2"/>
  <c r="W31" i="10"/>
  <c r="W61" i="10" s="1"/>
  <c r="W62" i="10" s="1"/>
  <c r="W566" i="2"/>
  <c r="W581" i="2" s="1"/>
  <c r="W633" i="2"/>
  <c r="W635" i="2" s="1"/>
  <c r="W641" i="2" s="1"/>
  <c r="W393" i="2"/>
  <c r="W394" i="2" s="1"/>
  <c r="W194" i="4"/>
  <c r="W199" i="4" s="1"/>
  <c r="W249" i="4"/>
  <c r="W256" i="4" s="1"/>
  <c r="X29" i="10"/>
  <c r="X30" i="10" s="1"/>
  <c r="X31" i="10" s="1"/>
  <c r="X61" i="10" s="1"/>
  <c r="X62" i="10" s="1"/>
  <c r="X38" i="10"/>
  <c r="W254" i="4"/>
  <c r="W202" i="4"/>
  <c r="V201" i="4"/>
  <c r="V255" i="4"/>
  <c r="U262" i="4"/>
  <c r="U250" i="2" s="1"/>
  <c r="V257" i="4"/>
  <c r="W257" i="4" s="1"/>
  <c r="V1043" i="2"/>
  <c r="V767" i="2"/>
  <c r="V21" i="16"/>
  <c r="Y28" i="10"/>
  <c r="Y43" i="10" s="1"/>
  <c r="Y682" i="2"/>
  <c r="Y55" i="10"/>
  <c r="V319" i="2"/>
  <c r="V256" i="2" s="1"/>
  <c r="V257" i="2" s="1"/>
  <c r="V263" i="2" s="1"/>
  <c r="V264" i="2" s="1"/>
  <c r="V268" i="2" s="1"/>
  <c r="X12" i="2"/>
  <c r="R924" i="2"/>
  <c r="R925" i="2" s="1"/>
  <c r="R937" i="2" s="1"/>
  <c r="R929" i="2"/>
  <c r="R912" i="2"/>
  <c r="S907" i="2" s="1"/>
  <c r="S908" i="2" s="1"/>
  <c r="Z430" i="7"/>
  <c r="Z433" i="7" s="1"/>
  <c r="AA429" i="7" s="1"/>
  <c r="X446" i="7"/>
  <c r="X449" i="7" s="1"/>
  <c r="Y445" i="7" s="1"/>
  <c r="Y438" i="7"/>
  <c r="Y441" i="7" s="1"/>
  <c r="Z437" i="7" s="1"/>
  <c r="Q1096" i="2"/>
  <c r="Q931" i="2"/>
  <c r="Q932" i="2" s="1"/>
  <c r="Q1006" i="2"/>
  <c r="X74" i="14"/>
  <c r="X41" i="14"/>
  <c r="V555" i="2"/>
  <c r="U829" i="2"/>
  <c r="U841" i="2" s="1"/>
  <c r="U847" i="2" s="1"/>
  <c r="U817" i="2"/>
  <c r="U96" i="17"/>
  <c r="U101" i="17" s="1"/>
  <c r="U29" i="16"/>
  <c r="U660" i="2"/>
  <c r="U807" i="2"/>
  <c r="U1051" i="2"/>
  <c r="U85" i="14"/>
  <c r="U91" i="14" s="1"/>
  <c r="U654" i="2"/>
  <c r="AB91" i="2"/>
  <c r="AB360" i="2" s="1"/>
  <c r="AB90" i="2"/>
  <c r="AB356" i="2" s="1"/>
  <c r="AB89" i="2"/>
  <c r="AB352" i="2" s="1"/>
  <c r="AB88" i="2"/>
  <c r="AB348" i="2" s="1"/>
  <c r="AB124" i="2"/>
  <c r="AA563" i="2"/>
  <c r="AB512" i="2"/>
  <c r="AB20" i="4"/>
  <c r="AB632" i="2" s="1"/>
  <c r="AC18" i="4"/>
  <c r="AC19" i="4" s="1"/>
  <c r="AC512" i="2" s="1"/>
  <c r="AC77" i="2"/>
  <c r="T583" i="2"/>
  <c r="T601" i="2" s="1"/>
  <c r="X217" i="2"/>
  <c r="X234" i="2"/>
  <c r="W318" i="2"/>
  <c r="W319" i="2" s="1"/>
  <c r="W256" i="2" s="1"/>
  <c r="W257" i="2" s="1"/>
  <c r="W263" i="2" s="1"/>
  <c r="W237" i="2"/>
  <c r="W240" i="2"/>
  <c r="W238" i="2"/>
  <c r="W236" i="2"/>
  <c r="W239" i="2"/>
  <c r="W212" i="7"/>
  <c r="W218" i="7" s="1"/>
  <c r="W545" i="2"/>
  <c r="N594" i="2"/>
  <c r="N597" i="2"/>
  <c r="N624" i="2" s="1"/>
  <c r="X1145" i="2"/>
  <c r="X1150" i="2" s="1"/>
  <c r="X1144" i="2"/>
  <c r="X1149" i="2" s="1"/>
  <c r="W1149" i="2"/>
  <c r="X203" i="7"/>
  <c r="X204" i="7" s="1"/>
  <c r="X210" i="7" s="1"/>
  <c r="X206" i="7"/>
  <c r="X207" i="7" s="1"/>
  <c r="X211" i="7" s="1"/>
  <c r="X200" i="7"/>
  <c r="X201" i="7" s="1"/>
  <c r="X209" i="7" s="1"/>
  <c r="X263" i="7"/>
  <c r="X287" i="7"/>
  <c r="X288" i="7" s="1"/>
  <c r="X295" i="7" s="1"/>
  <c r="X37" i="7"/>
  <c r="X292" i="7"/>
  <c r="X45" i="7"/>
  <c r="W133" i="7"/>
  <c r="X28" i="2"/>
  <c r="X29" i="2" s="1"/>
  <c r="X538" i="2"/>
  <c r="X539" i="2" s="1"/>
  <c r="X544" i="2" s="1"/>
  <c r="X228" i="2"/>
  <c r="X434" i="2"/>
  <c r="X33" i="2"/>
  <c r="X422" i="2"/>
  <c r="X423" i="2" s="1"/>
  <c r="X429" i="2" s="1"/>
  <c r="X419" i="2"/>
  <c r="X528" i="2"/>
  <c r="X542" i="2" s="1"/>
  <c r="X425" i="2"/>
  <c r="X426" i="2" s="1"/>
  <c r="X430" i="2" s="1"/>
  <c r="X944" i="2"/>
  <c r="X62" i="2"/>
  <c r="X207" i="4"/>
  <c r="X136" i="2" s="1"/>
  <c r="W266" i="7"/>
  <c r="W265" i="7"/>
  <c r="AC607" i="2"/>
  <c r="AC4" i="7"/>
  <c r="AD11" i="10"/>
  <c r="AC4" i="14"/>
  <c r="AC4" i="10"/>
  <c r="AC4" i="12"/>
  <c r="AC4" i="9"/>
  <c r="AC4" i="16"/>
  <c r="AC4" i="8"/>
  <c r="AC4" i="17"/>
  <c r="AC4" i="2"/>
  <c r="AC4" i="4"/>
  <c r="W436" i="7"/>
  <c r="W444" i="7"/>
  <c r="W419" i="7"/>
  <c r="W906" i="2" s="1"/>
  <c r="W428" i="7"/>
  <c r="X1143" i="2"/>
  <c r="W1148" i="2"/>
  <c r="Y1033" i="2"/>
  <c r="Y964" i="2"/>
  <c r="Y578" i="2"/>
  <c r="Y579" i="2" s="1"/>
  <c r="Y311" i="4"/>
  <c r="Y91" i="17"/>
  <c r="Y53" i="17"/>
  <c r="Y252" i="4"/>
  <c r="Y137" i="17"/>
  <c r="Y12" i="17"/>
  <c r="Y1142" i="2"/>
  <c r="Y606" i="2"/>
  <c r="Y246" i="4"/>
  <c r="Y320" i="4"/>
  <c r="Y191" i="4"/>
  <c r="Y197" i="4"/>
  <c r="Y2" i="14"/>
  <c r="Y52" i="14" s="1"/>
  <c r="AD16" i="4"/>
  <c r="AD17" i="4" s="1"/>
  <c r="AD50" i="2" s="1"/>
  <c r="Y2" i="12"/>
  <c r="Y2" i="17"/>
  <c r="Y2" i="9"/>
  <c r="Y2" i="7"/>
  <c r="Y2" i="10"/>
  <c r="Y2" i="8"/>
  <c r="Y117" i="8" s="1"/>
  <c r="Y2" i="16"/>
  <c r="Y2" i="4"/>
  <c r="Y2" i="2"/>
  <c r="Z9" i="10"/>
  <c r="W64" i="2"/>
  <c r="W67" i="2" s="1"/>
  <c r="W111" i="2"/>
  <c r="W113" i="2" s="1"/>
  <c r="W116" i="2" s="1"/>
  <c r="U582" i="2"/>
  <c r="U591" i="2" s="1"/>
  <c r="U592" i="2" s="1"/>
  <c r="W420" i="2"/>
  <c r="W428" i="2" s="1"/>
  <c r="W431" i="2" s="1"/>
  <c r="W439" i="2" s="1"/>
  <c r="W201" i="4" l="1"/>
  <c r="W258" i="4"/>
  <c r="W203" i="4"/>
  <c r="W1043" i="2"/>
  <c r="W767" i="2"/>
  <c r="W21" i="16"/>
  <c r="X566" i="2"/>
  <c r="X581" i="2" s="1"/>
  <c r="X633" i="2"/>
  <c r="X635" i="2" s="1"/>
  <c r="X641" i="2" s="1"/>
  <c r="X194" i="4"/>
  <c r="X199" i="4" s="1"/>
  <c r="X393" i="2"/>
  <c r="X394" i="2" s="1"/>
  <c r="X249" i="4"/>
  <c r="X256" i="4" s="1"/>
  <c r="W255" i="4"/>
  <c r="V262" i="4"/>
  <c r="V250" i="2" s="1"/>
  <c r="X683" i="2"/>
  <c r="Y29" i="10"/>
  <c r="Y30" i="10" s="1"/>
  <c r="Y38" i="10"/>
  <c r="Z682" i="2"/>
  <c r="Z55" i="10"/>
  <c r="Z28" i="10"/>
  <c r="Z43" i="10" s="1"/>
  <c r="Y12" i="2"/>
  <c r="R58" i="16"/>
  <c r="Q1021" i="2"/>
  <c r="Q1134" i="2" s="1"/>
  <c r="S911" i="2"/>
  <c r="Y446" i="7"/>
  <c r="Y449" i="7"/>
  <c r="Z445" i="7" s="1"/>
  <c r="AA430" i="7"/>
  <c r="AA433" i="7" s="1"/>
  <c r="AB429" i="7" s="1"/>
  <c r="R761" i="2"/>
  <c r="R918" i="2"/>
  <c r="S420" i="7"/>
  <c r="S425" i="7" s="1"/>
  <c r="Q148" i="17"/>
  <c r="Q46" i="16"/>
  <c r="Z438" i="7"/>
  <c r="Z441" i="7" s="1"/>
  <c r="AA437" i="7" s="1"/>
  <c r="Y74" i="14"/>
  <c r="Y41" i="14"/>
  <c r="W555" i="2"/>
  <c r="V29" i="16"/>
  <c r="V829" i="2"/>
  <c r="V841" i="2" s="1"/>
  <c r="V847" i="2" s="1"/>
  <c r="V654" i="2"/>
  <c r="V85" i="14"/>
  <c r="V91" i="14" s="1"/>
  <c r="V817" i="2"/>
  <c r="V96" i="17"/>
  <c r="V101" i="17" s="1"/>
  <c r="V660" i="2"/>
  <c r="V807" i="2"/>
  <c r="V1051" i="2"/>
  <c r="AB563" i="2"/>
  <c r="AC124" i="2"/>
  <c r="AD18" i="4"/>
  <c r="AD19" i="4" s="1"/>
  <c r="AD20" i="4" s="1"/>
  <c r="AD77" i="2"/>
  <c r="AC20" i="4"/>
  <c r="AC563" i="2" s="1"/>
  <c r="X318" i="2"/>
  <c r="X319" i="2" s="1"/>
  <c r="X256" i="2" s="1"/>
  <c r="X239" i="2"/>
  <c r="X240" i="2"/>
  <c r="X236" i="2"/>
  <c r="X238" i="2"/>
  <c r="X237" i="2"/>
  <c r="Y217" i="2"/>
  <c r="Y234" i="2"/>
  <c r="W582" i="2"/>
  <c r="W591" i="2" s="1"/>
  <c r="W592" i="2" s="1"/>
  <c r="N602" i="2"/>
  <c r="N603" i="2" s="1"/>
  <c r="N595" i="2"/>
  <c r="O590" i="2" s="1"/>
  <c r="X266" i="7"/>
  <c r="X265" i="7"/>
  <c r="U583" i="2"/>
  <c r="Y207" i="4"/>
  <c r="Y136" i="2" s="1"/>
  <c r="X64" i="2"/>
  <c r="X67" i="2" s="1"/>
  <c r="X68" i="2" s="1"/>
  <c r="X81" i="2" s="1"/>
  <c r="X87" i="2" s="1"/>
  <c r="X344" i="2" s="1"/>
  <c r="X111" i="2"/>
  <c r="X113" i="2" s="1"/>
  <c r="X116" i="2" s="1"/>
  <c r="X117" i="2" s="1"/>
  <c r="X212" i="7"/>
  <c r="X218" i="7" s="1"/>
  <c r="X219" i="7" s="1"/>
  <c r="Y200" i="7"/>
  <c r="Y201" i="7" s="1"/>
  <c r="Y209" i="7" s="1"/>
  <c r="Y203" i="7"/>
  <c r="Y204" i="7" s="1"/>
  <c r="Y210" i="7" s="1"/>
  <c r="Y206" i="7"/>
  <c r="Y207" i="7" s="1"/>
  <c r="Y211" i="7" s="1"/>
  <c r="Y287" i="7"/>
  <c r="Y288" i="7" s="1"/>
  <c r="Y295" i="7" s="1"/>
  <c r="Y263" i="7"/>
  <c r="Y45" i="7"/>
  <c r="Y37" i="7"/>
  <c r="Y292" i="7"/>
  <c r="W264" i="2"/>
  <c r="W268" i="2" s="1"/>
  <c r="X133" i="7"/>
  <c r="Z1033" i="2"/>
  <c r="Z964" i="2"/>
  <c r="Z578" i="2"/>
  <c r="Z579" i="2" s="1"/>
  <c r="Z311" i="4"/>
  <c r="Z91" i="17"/>
  <c r="Z53" i="17"/>
  <c r="Z320" i="4"/>
  <c r="Z137" i="17"/>
  <c r="Z12" i="17"/>
  <c r="Z1142" i="2"/>
  <c r="Z606" i="2"/>
  <c r="Z246" i="4"/>
  <c r="Z252" i="4"/>
  <c r="Z191" i="4"/>
  <c r="Z197" i="4"/>
  <c r="Z2" i="16"/>
  <c r="Z2" i="9"/>
  <c r="Z2" i="17"/>
  <c r="Z2" i="10"/>
  <c r="Z2" i="12"/>
  <c r="Z2" i="8"/>
  <c r="Z117" i="8" s="1"/>
  <c r="Z2" i="14"/>
  <c r="Z52" i="14" s="1"/>
  <c r="Z2" i="7"/>
  <c r="AE16" i="4"/>
  <c r="AE17" i="4" s="1"/>
  <c r="AE50" i="2" s="1"/>
  <c r="Z2" i="2"/>
  <c r="Z2" i="4"/>
  <c r="AA9" i="10"/>
  <c r="Y1143" i="2"/>
  <c r="X1148" i="2"/>
  <c r="AD607" i="2"/>
  <c r="AD4" i="9"/>
  <c r="AD4" i="14"/>
  <c r="AD4" i="7"/>
  <c r="AD4" i="12"/>
  <c r="AE11" i="10"/>
  <c r="AD4" i="10"/>
  <c r="AD4" i="8"/>
  <c r="AD4" i="16"/>
  <c r="AD4" i="17"/>
  <c r="AD4" i="2"/>
  <c r="AD4" i="4"/>
  <c r="X545" i="2"/>
  <c r="X436" i="7"/>
  <c r="X444" i="7"/>
  <c r="X428" i="7"/>
  <c r="X419" i="7"/>
  <c r="X906" i="2" s="1"/>
  <c r="Y62" i="2"/>
  <c r="Y425" i="2"/>
  <c r="Y426" i="2" s="1"/>
  <c r="Y430" i="2" s="1"/>
  <c r="Y538" i="2"/>
  <c r="Y539" i="2" s="1"/>
  <c r="Y544" i="2" s="1"/>
  <c r="Y944" i="2"/>
  <c r="Y28" i="2"/>
  <c r="Y29" i="2" s="1"/>
  <c r="Y434" i="2"/>
  <c r="Y228" i="2"/>
  <c r="Y422" i="2"/>
  <c r="Y423" i="2" s="1"/>
  <c r="Y429" i="2" s="1"/>
  <c r="Y33" i="2"/>
  <c r="Y419" i="2"/>
  <c r="Y528" i="2"/>
  <c r="Y542" i="2" s="1"/>
  <c r="Y1144" i="2"/>
  <c r="Y1149" i="2" s="1"/>
  <c r="Y1145" i="2"/>
  <c r="Y1150" i="2" s="1"/>
  <c r="V302" i="2"/>
  <c r="V321" i="2" s="1"/>
  <c r="V269" i="2"/>
  <c r="X420" i="2"/>
  <c r="X428" i="2" s="1"/>
  <c r="X431" i="2" s="1"/>
  <c r="X439" i="2" s="1"/>
  <c r="V582" i="2"/>
  <c r="V591" i="2" s="1"/>
  <c r="V592" i="2" s="1"/>
  <c r="X203" i="4" l="1"/>
  <c r="X202" i="4"/>
  <c r="X201" i="4"/>
  <c r="Y683" i="2"/>
  <c r="Y31" i="10"/>
  <c r="Y61" i="10" s="1"/>
  <c r="Y62" i="10" s="1"/>
  <c r="X258" i="4"/>
  <c r="X257" i="4"/>
  <c r="X255" i="4"/>
  <c r="W262" i="4"/>
  <c r="W250" i="2" s="1"/>
  <c r="AA682" i="2"/>
  <c r="AA55" i="10"/>
  <c r="AA28" i="10"/>
  <c r="AA43" i="10" s="1"/>
  <c r="X767" i="2"/>
  <c r="X1043" i="2"/>
  <c r="X21" i="16"/>
  <c r="Y393" i="2"/>
  <c r="Y394" i="2" s="1"/>
  <c r="Y633" i="2"/>
  <c r="Y635" i="2" s="1"/>
  <c r="Y641" i="2" s="1"/>
  <c r="Y566" i="2"/>
  <c r="Y581" i="2" s="1"/>
  <c r="Y249" i="4"/>
  <c r="Y256" i="4" s="1"/>
  <c r="Y194" i="4"/>
  <c r="Y199" i="4" s="1"/>
  <c r="X254" i="4"/>
  <c r="Z29" i="10"/>
  <c r="Z30" i="10" s="1"/>
  <c r="Z31" i="10" s="1"/>
  <c r="Z61" i="10" s="1"/>
  <c r="Z62" i="10" s="1"/>
  <c r="Z38" i="10"/>
  <c r="Z12" i="2"/>
  <c r="V323" i="2"/>
  <c r="V379" i="2" s="1"/>
  <c r="S924" i="2"/>
  <c r="S925" i="2" s="1"/>
  <c r="S937" i="2" s="1"/>
  <c r="S929" i="2"/>
  <c r="S912" i="2"/>
  <c r="T907" i="2" s="1"/>
  <c r="T908" i="2" s="1"/>
  <c r="Q79" i="16"/>
  <c r="AA438" i="7"/>
  <c r="AA441" i="7" s="1"/>
  <c r="AB437" i="7" s="1"/>
  <c r="AB430" i="7"/>
  <c r="AB433" i="7" s="1"/>
  <c r="AC429" i="7" s="1"/>
  <c r="R931" i="2"/>
  <c r="R1096" i="2"/>
  <c r="R1006" i="2"/>
  <c r="Z446" i="7"/>
  <c r="Z449" i="7"/>
  <c r="AA445" i="7" s="1"/>
  <c r="Z74" i="14"/>
  <c r="Z41" i="14"/>
  <c r="X555" i="2"/>
  <c r="W829" i="2"/>
  <c r="W841" i="2" s="1"/>
  <c r="W847" i="2" s="1"/>
  <c r="W85" i="14"/>
  <c r="W91" i="14" s="1"/>
  <c r="W660" i="2"/>
  <c r="W29" i="16"/>
  <c r="W817" i="2"/>
  <c r="W807" i="2"/>
  <c r="W1051" i="2"/>
  <c r="W96" i="17"/>
  <c r="W101" i="17" s="1"/>
  <c r="W654" i="2"/>
  <c r="AD124" i="2"/>
  <c r="AC632" i="2"/>
  <c r="AD512" i="2"/>
  <c r="AE18" i="4"/>
  <c r="AE19" i="4" s="1"/>
  <c r="AE77" i="2"/>
  <c r="AD563" i="2"/>
  <c r="AD632" i="2"/>
  <c r="Y318" i="2"/>
  <c r="Y319" i="2" s="1"/>
  <c r="Y256" i="2" s="1"/>
  <c r="Y239" i="2"/>
  <c r="Y236" i="2"/>
  <c r="Y238" i="2"/>
  <c r="Y240" i="2"/>
  <c r="Y237" i="2"/>
  <c r="Z217" i="2"/>
  <c r="Z234" i="2"/>
  <c r="X323" i="2"/>
  <c r="Y212" i="7"/>
  <c r="Y218" i="7" s="1"/>
  <c r="Y219" i="7" s="1"/>
  <c r="Y235" i="7" s="1"/>
  <c r="Y236" i="7" s="1"/>
  <c r="W583" i="2"/>
  <c r="W601" i="2" s="1"/>
  <c r="O593" i="2"/>
  <c r="O597" i="2" s="1"/>
  <c r="O624" i="2" s="1"/>
  <c r="N609" i="2"/>
  <c r="N616" i="2"/>
  <c r="AA1033" i="2"/>
  <c r="AA606" i="2"/>
  <c r="AA246" i="4"/>
  <c r="AA964" i="2"/>
  <c r="AA578" i="2"/>
  <c r="AA579" i="2" s="1"/>
  <c r="AA320" i="4"/>
  <c r="AA311" i="4"/>
  <c r="AA91" i="17"/>
  <c r="AA53" i="17"/>
  <c r="AA252" i="4"/>
  <c r="AA137" i="17"/>
  <c r="AA12" i="17"/>
  <c r="AA1142" i="2"/>
  <c r="AA197" i="4"/>
  <c r="AA191" i="4"/>
  <c r="AA2" i="14"/>
  <c r="AA52" i="14" s="1"/>
  <c r="AA2" i="17"/>
  <c r="AA2" i="12"/>
  <c r="AA2" i="10"/>
  <c r="AA2" i="16"/>
  <c r="AA2" i="7"/>
  <c r="AF16" i="4"/>
  <c r="AF17" i="4" s="1"/>
  <c r="AF50" i="2" s="1"/>
  <c r="AA2" i="8"/>
  <c r="AA117" i="8" s="1"/>
  <c r="AA2" i="9"/>
  <c r="AA2" i="4"/>
  <c r="AA2" i="2"/>
  <c r="AB9" i="10"/>
  <c r="U601" i="2"/>
  <c r="Y419" i="7"/>
  <c r="Y906" i="2" s="1"/>
  <c r="Y444" i="7"/>
  <c r="Y436" i="7"/>
  <c r="Y428" i="7"/>
  <c r="V583" i="2"/>
  <c r="V601" i="2" s="1"/>
  <c r="Y545" i="2"/>
  <c r="Z528" i="2"/>
  <c r="Z542" i="2" s="1"/>
  <c r="Z228" i="2"/>
  <c r="Z422" i="2"/>
  <c r="Z423" i="2" s="1"/>
  <c r="Z429" i="2" s="1"/>
  <c r="Z944" i="2"/>
  <c r="Z419" i="2"/>
  <c r="Z62" i="2"/>
  <c r="Z434" i="2"/>
  <c r="Z28" i="2"/>
  <c r="Z29" i="2" s="1"/>
  <c r="Z33" i="2"/>
  <c r="Z425" i="2"/>
  <c r="Z426" i="2" s="1"/>
  <c r="Z430" i="2" s="1"/>
  <c r="Z538" i="2"/>
  <c r="Z539" i="2" s="1"/>
  <c r="Z544" i="2" s="1"/>
  <c r="Z1144" i="2"/>
  <c r="Z1149" i="2" s="1"/>
  <c r="Z1145" i="2"/>
  <c r="Z1150" i="2" s="1"/>
  <c r="Y420" i="2"/>
  <c r="Y428" i="2" s="1"/>
  <c r="Y431" i="2" s="1"/>
  <c r="Y439" i="2" s="1"/>
  <c r="W269" i="2"/>
  <c r="W302" i="2"/>
  <c r="W321" i="2" s="1"/>
  <c r="W323" i="2" s="1"/>
  <c r="W379" i="2" s="1"/>
  <c r="Y133" i="7"/>
  <c r="X235" i="7"/>
  <c r="X236" i="7" s="1"/>
  <c r="X225" i="7"/>
  <c r="X227" i="7" s="1"/>
  <c r="AE607" i="2"/>
  <c r="AE4" i="8"/>
  <c r="AE4" i="7"/>
  <c r="AE4" i="17"/>
  <c r="AE4" i="16"/>
  <c r="AE4" i="12"/>
  <c r="AE4" i="9"/>
  <c r="AE4" i="10"/>
  <c r="AE4" i="14"/>
  <c r="AF11" i="10"/>
  <c r="AE4" i="2"/>
  <c r="AE4" i="4"/>
  <c r="Z200" i="7"/>
  <c r="Z201" i="7" s="1"/>
  <c r="Z209" i="7" s="1"/>
  <c r="Z203" i="7"/>
  <c r="Z204" i="7" s="1"/>
  <c r="Z210" i="7" s="1"/>
  <c r="Z206" i="7"/>
  <c r="Z207" i="7" s="1"/>
  <c r="Z211" i="7" s="1"/>
  <c r="Z292" i="7"/>
  <c r="Z287" i="7"/>
  <c r="Z288" i="7" s="1"/>
  <c r="Z295" i="7" s="1"/>
  <c r="Z263" i="7"/>
  <c r="Z45" i="7"/>
  <c r="Z37" i="7"/>
  <c r="Z207" i="4"/>
  <c r="Z136" i="2" s="1"/>
  <c r="Y266" i="7"/>
  <c r="Y265" i="7"/>
  <c r="X122" i="2"/>
  <c r="X126" i="2" s="1"/>
  <c r="X70" i="2"/>
  <c r="X75" i="2" s="1"/>
  <c r="X79" i="2" s="1"/>
  <c r="X470" i="2" s="1"/>
  <c r="Y64" i="2"/>
  <c r="Y67" i="2" s="1"/>
  <c r="Y68" i="2" s="1"/>
  <c r="Y81" i="2" s="1"/>
  <c r="Y87" i="2" s="1"/>
  <c r="Y344" i="2" s="1"/>
  <c r="Y111" i="2"/>
  <c r="Y113" i="2" s="1"/>
  <c r="Y116" i="2" s="1"/>
  <c r="Y117" i="2" s="1"/>
  <c r="Z1143" i="2"/>
  <c r="Y1148" i="2"/>
  <c r="Y257" i="4" l="1"/>
  <c r="Y201" i="4"/>
  <c r="Y203" i="4"/>
  <c r="Y202" i="4"/>
  <c r="Y258" i="4"/>
  <c r="Z683" i="2"/>
  <c r="AA29" i="10"/>
  <c r="AA30" i="10" s="1"/>
  <c r="AA31" i="10" s="1"/>
  <c r="AA61" i="10" s="1"/>
  <c r="AA62" i="10" s="1"/>
  <c r="AA38" i="10"/>
  <c r="AB28" i="10"/>
  <c r="AB55" i="10"/>
  <c r="AB682" i="2"/>
  <c r="Z194" i="4"/>
  <c r="Z199" i="4" s="1"/>
  <c r="Z393" i="2"/>
  <c r="Z394" i="2" s="1"/>
  <c r="Z249" i="4"/>
  <c r="Z256" i="4" s="1"/>
  <c r="Z633" i="2"/>
  <c r="Z635" i="2" s="1"/>
  <c r="Z641" i="2" s="1"/>
  <c r="Z566" i="2"/>
  <c r="Z581" i="2" s="1"/>
  <c r="Y767" i="2"/>
  <c r="Y21" i="16"/>
  <c r="Y1043" i="2"/>
  <c r="Y254" i="4"/>
  <c r="Y255" i="4"/>
  <c r="X262" i="4"/>
  <c r="X250" i="2" s="1"/>
  <c r="X378" i="2"/>
  <c r="X471" i="2"/>
  <c r="X472" i="2" s="1"/>
  <c r="V55" i="17"/>
  <c r="V14" i="16"/>
  <c r="V710" i="2"/>
  <c r="V727" i="2" s="1"/>
  <c r="V732" i="2" s="1"/>
  <c r="AA12" i="2"/>
  <c r="S58" i="16"/>
  <c r="R932" i="2"/>
  <c r="R1021" i="2" s="1"/>
  <c r="R1134" i="2" s="1"/>
  <c r="R79" i="16" s="1"/>
  <c r="T911" i="2"/>
  <c r="AC430" i="7"/>
  <c r="AC433" i="7" s="1"/>
  <c r="AD429" i="7" s="1"/>
  <c r="AB438" i="7"/>
  <c r="AB441" i="7" s="1"/>
  <c r="AC437" i="7" s="1"/>
  <c r="T420" i="7"/>
  <c r="T425" i="7" s="1"/>
  <c r="AA446" i="7"/>
  <c r="AA449" i="7" s="1"/>
  <c r="AB445" i="7" s="1"/>
  <c r="S918" i="2"/>
  <c r="S761" i="2"/>
  <c r="R148" i="17"/>
  <c r="R46" i="16"/>
  <c r="AA74" i="14"/>
  <c r="AA41" i="14"/>
  <c r="Y555" i="2"/>
  <c r="X96" i="17"/>
  <c r="X101" i="17" s="1"/>
  <c r="X654" i="2"/>
  <c r="X807" i="2"/>
  <c r="X85" i="14"/>
  <c r="X91" i="14" s="1"/>
  <c r="X1051" i="2"/>
  <c r="X660" i="2"/>
  <c r="X817" i="2"/>
  <c r="X29" i="16"/>
  <c r="X829" i="2"/>
  <c r="X841" i="2" s="1"/>
  <c r="X847" i="2" s="1"/>
  <c r="AE20" i="4"/>
  <c r="AE563" i="2" s="1"/>
  <c r="AE512" i="2"/>
  <c r="AE124" i="2"/>
  <c r="AF18" i="4"/>
  <c r="AF19" i="4" s="1"/>
  <c r="AF20" i="4" s="1"/>
  <c r="AF77" i="2"/>
  <c r="Z318" i="2"/>
  <c r="Z319" i="2" s="1"/>
  <c r="Z256" i="2" s="1"/>
  <c r="Z257" i="2" s="1"/>
  <c r="Z263" i="2" s="1"/>
  <c r="Z237" i="2"/>
  <c r="Z239" i="2"/>
  <c r="Z238" i="2"/>
  <c r="Z236" i="2"/>
  <c r="Z240" i="2"/>
  <c r="AA217" i="2"/>
  <c r="AA234" i="2"/>
  <c r="W14" i="16"/>
  <c r="W55" i="17"/>
  <c r="W710" i="2"/>
  <c r="W727" i="2" s="1"/>
  <c r="W732" i="2" s="1"/>
  <c r="X710" i="2"/>
  <c r="X727" i="2" s="1"/>
  <c r="X732" i="2" s="1"/>
  <c r="X740" i="2" s="1"/>
  <c r="X745" i="2" s="1"/>
  <c r="X14" i="16"/>
  <c r="X379" i="2"/>
  <c r="X55" i="17"/>
  <c r="Y323" i="2"/>
  <c r="Y55" i="17" s="1"/>
  <c r="Y225" i="7"/>
  <c r="Y227" i="7" s="1"/>
  <c r="Y148" i="7" s="1"/>
  <c r="Y149" i="7" s="1"/>
  <c r="Y152" i="7" s="1"/>
  <c r="Y155" i="7" s="1"/>
  <c r="O594" i="2"/>
  <c r="Z545" i="2"/>
  <c r="AA1143" i="2"/>
  <c r="Z1148" i="2"/>
  <c r="Z133" i="7"/>
  <c r="Y122" i="2"/>
  <c r="Y126" i="2" s="1"/>
  <c r="X14" i="17"/>
  <c r="X10" i="16"/>
  <c r="X1036" i="2"/>
  <c r="Z266" i="7"/>
  <c r="Z265" i="7"/>
  <c r="AF607" i="2"/>
  <c r="AF4" i="17"/>
  <c r="AF4" i="10"/>
  <c r="AF4" i="8"/>
  <c r="AF4" i="16"/>
  <c r="AF4" i="9"/>
  <c r="AF4" i="12"/>
  <c r="AF4" i="7"/>
  <c r="AG11" i="10"/>
  <c r="AF4" i="14"/>
  <c r="AF4" i="2"/>
  <c r="AF4" i="4"/>
  <c r="AA228" i="2"/>
  <c r="AA944" i="2"/>
  <c r="AA434" i="2"/>
  <c r="AA422" i="2"/>
  <c r="AA423" i="2" s="1"/>
  <c r="AA429" i="2" s="1"/>
  <c r="AA528" i="2"/>
  <c r="AA542" i="2" s="1"/>
  <c r="AA419" i="2"/>
  <c r="AA425" i="2"/>
  <c r="AA426" i="2" s="1"/>
  <c r="AA430" i="2" s="1"/>
  <c r="AA28" i="2"/>
  <c r="AA29" i="2" s="1"/>
  <c r="AA33" i="2"/>
  <c r="AA62" i="2"/>
  <c r="AA538" i="2"/>
  <c r="AA539" i="2" s="1"/>
  <c r="AA544" i="2" s="1"/>
  <c r="Y70" i="2"/>
  <c r="Y75" i="2" s="1"/>
  <c r="Y79" i="2" s="1"/>
  <c r="Y470" i="2" s="1"/>
  <c r="Z111" i="2"/>
  <c r="Z113" i="2" s="1"/>
  <c r="Z116" i="2" s="1"/>
  <c r="Z117" i="2" s="1"/>
  <c r="Z64" i="2"/>
  <c r="Z67" i="2" s="1"/>
  <c r="Z68" i="2" s="1"/>
  <c r="Z81" i="2" s="1"/>
  <c r="Z87" i="2" s="1"/>
  <c r="Z344" i="2" s="1"/>
  <c r="Z428" i="7"/>
  <c r="Z436" i="7"/>
  <c r="Z444" i="7"/>
  <c r="Z419" i="7"/>
  <c r="Z906" i="2" s="1"/>
  <c r="X177" i="7"/>
  <c r="X148" i="7"/>
  <c r="X149" i="7" s="1"/>
  <c r="X152" i="7" s="1"/>
  <c r="X155" i="7" s="1"/>
  <c r="X493" i="7"/>
  <c r="X327" i="7"/>
  <c r="X351" i="7"/>
  <c r="Z420" i="2"/>
  <c r="Z428" i="2" s="1"/>
  <c r="Z431" i="2" s="1"/>
  <c r="Z439" i="2" s="1"/>
  <c r="AA207" i="4"/>
  <c r="AA136" i="2" s="1"/>
  <c r="X243" i="7"/>
  <c r="X245" i="7" s="1"/>
  <c r="X248" i="7" s="1"/>
  <c r="X698" i="2" s="1"/>
  <c r="X701" i="2" s="1"/>
  <c r="Y243" i="7"/>
  <c r="Y245" i="7" s="1"/>
  <c r="Y248" i="7" s="1"/>
  <c r="Y698" i="2" s="1"/>
  <c r="Y701" i="2" s="1"/>
  <c r="Y705" i="2" s="1"/>
  <c r="AA200" i="7"/>
  <c r="AA201" i="7" s="1"/>
  <c r="AA209" i="7" s="1"/>
  <c r="AA203" i="7"/>
  <c r="AA204" i="7" s="1"/>
  <c r="AA210" i="7" s="1"/>
  <c r="AA206" i="7"/>
  <c r="AA207" i="7" s="1"/>
  <c r="AA211" i="7" s="1"/>
  <c r="AA45" i="7"/>
  <c r="AA263" i="7"/>
  <c r="AA292" i="7"/>
  <c r="AA287" i="7"/>
  <c r="AA288" i="7" s="1"/>
  <c r="AA295" i="7" s="1"/>
  <c r="AA37" i="7"/>
  <c r="AA1144" i="2"/>
  <c r="AA1149" i="2" s="1"/>
  <c r="AA1145" i="2"/>
  <c r="AA1150" i="2" s="1"/>
  <c r="X9" i="16"/>
  <c r="X1035" i="2"/>
  <c r="X13" i="17"/>
  <c r="Z212" i="7"/>
  <c r="Z218" i="7" s="1"/>
  <c r="Z219" i="7" s="1"/>
  <c r="X582" i="2"/>
  <c r="X591" i="2" s="1"/>
  <c r="X592" i="2" s="1"/>
  <c r="AB1033" i="2"/>
  <c r="AB137" i="17"/>
  <c r="AB12" i="17"/>
  <c r="AB1142" i="2"/>
  <c r="AB606" i="2"/>
  <c r="AB246" i="4"/>
  <c r="AB320" i="4"/>
  <c r="AB964" i="2"/>
  <c r="AB578" i="2"/>
  <c r="AB579" i="2" s="1"/>
  <c r="AB311" i="4"/>
  <c r="AB91" i="17"/>
  <c r="AB53" i="17"/>
  <c r="AB252" i="4"/>
  <c r="AB197" i="4"/>
  <c r="AB191" i="4"/>
  <c r="AB2" i="17"/>
  <c r="AB2" i="9"/>
  <c r="AB2" i="10"/>
  <c r="AB2" i="16"/>
  <c r="AB2" i="7"/>
  <c r="AB2" i="12"/>
  <c r="AG16" i="4"/>
  <c r="AG17" i="4" s="1"/>
  <c r="AG50" i="2" s="1"/>
  <c r="AB2" i="14"/>
  <c r="AB52" i="14" s="1"/>
  <c r="AB2" i="8"/>
  <c r="AB117" i="8" s="1"/>
  <c r="AB2" i="2"/>
  <c r="AB2" i="4"/>
  <c r="AC9" i="10"/>
  <c r="Z202" i="4" l="1"/>
  <c r="Z254" i="4"/>
  <c r="AC55" i="10"/>
  <c r="AC28" i="10"/>
  <c r="AC682" i="2"/>
  <c r="Z201" i="4"/>
  <c r="Z258" i="4"/>
  <c r="AB29" i="10"/>
  <c r="AB30" i="10" s="1"/>
  <c r="AB38" i="10"/>
  <c r="Z257" i="4"/>
  <c r="Z255" i="4"/>
  <c r="Y262" i="4"/>
  <c r="Y250" i="2" s="1"/>
  <c r="AA566" i="2"/>
  <c r="AA581" i="2" s="1"/>
  <c r="AA633" i="2"/>
  <c r="AA635" i="2" s="1"/>
  <c r="AA641" i="2" s="1"/>
  <c r="AA194" i="4"/>
  <c r="AA199" i="4" s="1"/>
  <c r="AA249" i="4"/>
  <c r="AA256" i="4" s="1"/>
  <c r="AA393" i="2"/>
  <c r="AA394" i="2" s="1"/>
  <c r="Z203" i="4"/>
  <c r="Z767" i="2"/>
  <c r="Z1043" i="2"/>
  <c r="Z21" i="16"/>
  <c r="AA683" i="2"/>
  <c r="X571" i="2"/>
  <c r="X572" i="2" s="1"/>
  <c r="X479" i="2"/>
  <c r="Y378" i="2"/>
  <c r="Y471" i="2"/>
  <c r="Y472" i="2" s="1"/>
  <c r="AB12" i="2"/>
  <c r="T924" i="2"/>
  <c r="T925" i="2" s="1"/>
  <c r="T937" i="2" s="1"/>
  <c r="T929" i="2"/>
  <c r="T912" i="2"/>
  <c r="U907" i="2" s="1"/>
  <c r="U908" i="2" s="1"/>
  <c r="AC438" i="7"/>
  <c r="AC441" i="7" s="1"/>
  <c r="AD437" i="7" s="1"/>
  <c r="AB446" i="7"/>
  <c r="AB449" i="7"/>
  <c r="AC445" i="7" s="1"/>
  <c r="AD430" i="7"/>
  <c r="AD433" i="7" s="1"/>
  <c r="AE429" i="7" s="1"/>
  <c r="S1006" i="2"/>
  <c r="S931" i="2"/>
  <c r="S1096" i="2"/>
  <c r="AB74" i="14"/>
  <c r="AB41" i="14"/>
  <c r="Y177" i="7"/>
  <c r="Z555" i="2"/>
  <c r="Y29" i="16"/>
  <c r="Y85" i="14"/>
  <c r="Y91" i="14" s="1"/>
  <c r="Y96" i="17"/>
  <c r="Y101" i="17" s="1"/>
  <c r="Y660" i="2"/>
  <c r="Y1051" i="2"/>
  <c r="Y829" i="2"/>
  <c r="Y841" i="2" s="1"/>
  <c r="Y847" i="2" s="1"/>
  <c r="Y654" i="2"/>
  <c r="Y807" i="2"/>
  <c r="Y817" i="2"/>
  <c r="X380" i="2"/>
  <c r="AE632" i="2"/>
  <c r="AF124" i="2"/>
  <c r="AF512" i="2"/>
  <c r="AG18" i="4"/>
  <c r="AG19" i="4" s="1"/>
  <c r="AG77" i="2"/>
  <c r="AF632" i="2"/>
  <c r="AF563" i="2"/>
  <c r="AA318" i="2"/>
  <c r="AA319" i="2" s="1"/>
  <c r="AA256" i="2" s="1"/>
  <c r="AA257" i="2" s="1"/>
  <c r="AA263" i="2" s="1"/>
  <c r="AA264" i="2" s="1"/>
  <c r="AA237" i="2"/>
  <c r="AA238" i="2"/>
  <c r="AA240" i="2"/>
  <c r="AA236" i="2"/>
  <c r="AA239" i="2"/>
  <c r="AB217" i="2"/>
  <c r="AB234" i="2"/>
  <c r="Y327" i="7"/>
  <c r="Y351" i="7"/>
  <c r="F248" i="4" a="1"/>
  <c r="F248" i="4" s="1"/>
  <c r="Y493" i="7"/>
  <c r="X752" i="2"/>
  <c r="X753" i="2" s="1"/>
  <c r="X809" i="2" s="1"/>
  <c r="X746" i="2"/>
  <c r="X777" i="2" s="1"/>
  <c r="X705" i="2"/>
  <c r="X736" i="2" s="1"/>
  <c r="Y14" i="16"/>
  <c r="Y710" i="2"/>
  <c r="Y379" i="2"/>
  <c r="Y247" i="7"/>
  <c r="Y697" i="2" s="1"/>
  <c r="Y700" i="2" s="1"/>
  <c r="O602" i="2"/>
  <c r="O603" i="2" s="1"/>
  <c r="O595" i="2"/>
  <c r="P590" i="2" s="1"/>
  <c r="X583" i="2"/>
  <c r="X601" i="2" s="1"/>
  <c r="Y14" i="17"/>
  <c r="Y1036" i="2"/>
  <c r="Y10" i="16"/>
  <c r="AB207" i="4"/>
  <c r="AB136" i="2" s="1"/>
  <c r="X247" i="7"/>
  <c r="X697" i="2" s="1"/>
  <c r="X700" i="2" s="1"/>
  <c r="Y164" i="7"/>
  <c r="Y166" i="7" s="1"/>
  <c r="Y352" i="7"/>
  <c r="Y328" i="7"/>
  <c r="Z70" i="2"/>
  <c r="Z75" i="2" s="1"/>
  <c r="Z79" i="2" s="1"/>
  <c r="Z470" i="2" s="1"/>
  <c r="AA212" i="7"/>
  <c r="AA218" i="7" s="1"/>
  <c r="AA219" i="7" s="1"/>
  <c r="Z122" i="2"/>
  <c r="Z126" i="2" s="1"/>
  <c r="Y1035" i="2"/>
  <c r="Y13" i="17"/>
  <c r="Y9" i="16"/>
  <c r="AG607" i="2"/>
  <c r="AG4" i="17"/>
  <c r="AH11" i="10"/>
  <c r="AG4" i="16"/>
  <c r="AG4" i="10"/>
  <c r="AG4" i="7"/>
  <c r="AG4" i="9"/>
  <c r="AG4" i="14"/>
  <c r="AG4" i="8"/>
  <c r="AG4" i="12"/>
  <c r="AG4" i="2"/>
  <c r="AG4" i="4"/>
  <c r="AB1143" i="2"/>
  <c r="AA1148" i="2"/>
  <c r="AB206" i="7"/>
  <c r="AB207" i="7" s="1"/>
  <c r="AB211" i="7" s="1"/>
  <c r="AB200" i="7"/>
  <c r="AB201" i="7" s="1"/>
  <c r="AB209" i="7" s="1"/>
  <c r="AB203" i="7"/>
  <c r="AB204" i="7" s="1"/>
  <c r="AB210" i="7" s="1"/>
  <c r="AB292" i="7"/>
  <c r="AB287" i="7"/>
  <c r="AB288" i="7" s="1"/>
  <c r="AB295" i="7" s="1"/>
  <c r="AB45" i="7"/>
  <c r="AB263" i="7"/>
  <c r="AB37" i="7"/>
  <c r="AB1144" i="2"/>
  <c r="AB1149" i="2" s="1"/>
  <c r="AB1145" i="2"/>
  <c r="AB1150" i="2" s="1"/>
  <c r="Z264" i="2"/>
  <c r="Z268" i="2" s="1"/>
  <c r="Y582" i="2"/>
  <c r="Y591" i="2" s="1"/>
  <c r="Y592" i="2" s="1"/>
  <c r="AC1033" i="2"/>
  <c r="AC252" i="4"/>
  <c r="AC137" i="17"/>
  <c r="AC12" i="17"/>
  <c r="AC1142" i="2"/>
  <c r="AC320" i="4"/>
  <c r="AC606" i="2"/>
  <c r="AC964" i="2"/>
  <c r="AC578" i="2"/>
  <c r="AC579" i="2" s="1"/>
  <c r="AC91" i="17"/>
  <c r="AC53" i="17"/>
  <c r="AC191" i="4"/>
  <c r="AC246" i="4"/>
  <c r="AC197" i="4"/>
  <c r="AC311" i="4"/>
  <c r="AH16" i="4"/>
  <c r="AH17" i="4" s="1"/>
  <c r="AH50" i="2" s="1"/>
  <c r="AC2" i="10"/>
  <c r="AC2" i="17"/>
  <c r="AC2" i="7"/>
  <c r="AC2" i="14"/>
  <c r="AC52" i="14" s="1"/>
  <c r="AC2" i="16"/>
  <c r="AC2" i="9"/>
  <c r="AC2" i="12"/>
  <c r="AC2" i="8"/>
  <c r="AC117" i="8" s="1"/>
  <c r="AC2" i="4"/>
  <c r="AC2" i="2"/>
  <c r="AD9" i="10"/>
  <c r="Z225" i="7"/>
  <c r="Z227" i="7" s="1"/>
  <c r="Z235" i="7"/>
  <c r="Z236" i="7" s="1"/>
  <c r="AA133" i="7"/>
  <c r="AA428" i="7"/>
  <c r="AA436" i="7"/>
  <c r="AA444" i="7"/>
  <c r="AA419" i="7"/>
  <c r="AA906" i="2" s="1"/>
  <c r="X164" i="7"/>
  <c r="X166" i="7" s="1"/>
  <c r="X352" i="7"/>
  <c r="X328" i="7"/>
  <c r="X331" i="7" s="1"/>
  <c r="X334" i="7" s="1"/>
  <c r="AA420" i="2"/>
  <c r="AA428" i="2" s="1"/>
  <c r="AA431" i="2" s="1"/>
  <c r="AA439" i="2" s="1"/>
  <c r="AA64" i="2"/>
  <c r="AA67" i="2" s="1"/>
  <c r="AA68" i="2" s="1"/>
  <c r="AA81" i="2" s="1"/>
  <c r="AA87" i="2" s="1"/>
  <c r="AA344" i="2" s="1"/>
  <c r="AA111" i="2"/>
  <c r="AA113" i="2" s="1"/>
  <c r="AA116" i="2" s="1"/>
  <c r="AA117" i="2" s="1"/>
  <c r="AB33" i="2"/>
  <c r="AB28" i="2"/>
  <c r="AB29" i="2" s="1"/>
  <c r="AB434" i="2"/>
  <c r="AB944" i="2"/>
  <c r="AB528" i="2"/>
  <c r="AB542" i="2" s="1"/>
  <c r="AB422" i="2"/>
  <c r="AB423" i="2" s="1"/>
  <c r="AB429" i="2" s="1"/>
  <c r="AB425" i="2"/>
  <c r="AB426" i="2" s="1"/>
  <c r="AB430" i="2" s="1"/>
  <c r="AB62" i="2"/>
  <c r="AB538" i="2"/>
  <c r="AB539" i="2" s="1"/>
  <c r="AB544" i="2" s="1"/>
  <c r="AB419" i="2"/>
  <c r="AB228" i="2"/>
  <c r="AA266" i="7"/>
  <c r="AA265" i="7"/>
  <c r="AA545" i="2"/>
  <c r="Z582" i="2"/>
  <c r="Z591" i="2" s="1"/>
  <c r="Z592" i="2" s="1"/>
  <c r="AA201" i="4" l="1"/>
  <c r="AA202" i="4"/>
  <c r="AA258" i="4"/>
  <c r="AA254" i="4"/>
  <c r="AA203" i="4"/>
  <c r="AA257" i="4"/>
  <c r="AB683" i="2"/>
  <c r="AB31" i="10"/>
  <c r="AB61" i="10" s="1"/>
  <c r="AB62" i="10" s="1"/>
  <c r="AB199" i="4"/>
  <c r="AA767" i="2"/>
  <c r="AA21" i="16"/>
  <c r="AA1043" i="2"/>
  <c r="AA255" i="4"/>
  <c r="Z262" i="4"/>
  <c r="Z250" i="2" s="1"/>
  <c r="AD55" i="10"/>
  <c r="AD28" i="10"/>
  <c r="AD682" i="2"/>
  <c r="AC29" i="10"/>
  <c r="AC30" i="10" s="1"/>
  <c r="AC38" i="10"/>
  <c r="AB633" i="2"/>
  <c r="AB635" i="2" s="1"/>
  <c r="AB641" i="2" s="1"/>
  <c r="AB566" i="2"/>
  <c r="AB581" i="2" s="1"/>
  <c r="AB194" i="4"/>
  <c r="AB393" i="2"/>
  <c r="AB394" i="2" s="1"/>
  <c r="AB249" i="4"/>
  <c r="AB256" i="4" s="1"/>
  <c r="AB201" i="4"/>
  <c r="Y479" i="2"/>
  <c r="Y571" i="2"/>
  <c r="Y572" i="2" s="1"/>
  <c r="X574" i="2" s="1"/>
  <c r="Z378" i="2"/>
  <c r="Z471" i="2"/>
  <c r="Z472" i="2" s="1"/>
  <c r="AC12" i="2"/>
  <c r="T58" i="16"/>
  <c r="S932" i="2"/>
  <c r="S1021" i="2" s="1"/>
  <c r="S1134" i="2" s="1"/>
  <c r="S79" i="16" s="1"/>
  <c r="U911" i="2"/>
  <c r="AE430" i="7"/>
  <c r="AE433" i="7" s="1"/>
  <c r="AF429" i="7" s="1"/>
  <c r="T761" i="2"/>
  <c r="T918" i="2"/>
  <c r="AC446" i="7"/>
  <c r="AC449" i="7" s="1"/>
  <c r="AD445" i="7" s="1"/>
  <c r="U420" i="7"/>
  <c r="U425" i="7" s="1"/>
  <c r="Y331" i="7"/>
  <c r="Y334" i="7" s="1"/>
  <c r="AD438" i="7"/>
  <c r="AD441" i="7" s="1"/>
  <c r="AE437" i="7" s="1"/>
  <c r="S148" i="17"/>
  <c r="S46" i="16"/>
  <c r="AC74" i="14"/>
  <c r="AC41" i="14"/>
  <c r="AA555" i="2"/>
  <c r="Z829" i="2"/>
  <c r="Z841" i="2" s="1"/>
  <c r="Z847" i="2" s="1"/>
  <c r="Z1051" i="2"/>
  <c r="Z660" i="2"/>
  <c r="Z654" i="2"/>
  <c r="Z807" i="2"/>
  <c r="Z85" i="14"/>
  <c r="Z91" i="14" s="1"/>
  <c r="Z96" i="17"/>
  <c r="Z101" i="17" s="1"/>
  <c r="Z817" i="2"/>
  <c r="Z29" i="16"/>
  <c r="X397" i="2"/>
  <c r="X1040" i="2" s="1"/>
  <c r="X384" i="2"/>
  <c r="Y380" i="2"/>
  <c r="Y384" i="2" s="1"/>
  <c r="X444" i="2"/>
  <c r="X446" i="2" s="1"/>
  <c r="X449" i="2" s="1"/>
  <c r="X139" i="17"/>
  <c r="X93" i="17"/>
  <c r="X18" i="16"/>
  <c r="AG512" i="2"/>
  <c r="AG20" i="4"/>
  <c r="AG563" i="2" s="1"/>
  <c r="AG124" i="2"/>
  <c r="AH18" i="4"/>
  <c r="AH19" i="4" s="1"/>
  <c r="AH77" i="2"/>
  <c r="AB318" i="2"/>
  <c r="AB319" i="2" s="1"/>
  <c r="AB256" i="2" s="1"/>
  <c r="AB257" i="2" s="1"/>
  <c r="AB263" i="2" s="1"/>
  <c r="AB264" i="2" s="1"/>
  <c r="AC217" i="2"/>
  <c r="AC234" i="2"/>
  <c r="X1002" i="2"/>
  <c r="X144" i="17" s="1"/>
  <c r="X1092" i="2"/>
  <c r="Y727" i="2"/>
  <c r="Y732" i="2" s="1"/>
  <c r="Y704" i="2"/>
  <c r="Y735" i="2" s="1"/>
  <c r="X704" i="2"/>
  <c r="X735" i="2" s="1"/>
  <c r="Z583" i="2"/>
  <c r="Z601" i="2" s="1"/>
  <c r="P593" i="2"/>
  <c r="P597" i="2" s="1"/>
  <c r="P624" i="2" s="1"/>
  <c r="O609" i="2"/>
  <c r="O616" i="2"/>
  <c r="AB545" i="2"/>
  <c r="Y583" i="2"/>
  <c r="Y601" i="2" s="1"/>
  <c r="AC1144" i="2"/>
  <c r="AC1149" i="2" s="1"/>
  <c r="AC1145" i="2"/>
  <c r="AC1150" i="2" s="1"/>
  <c r="AB266" i="7"/>
  <c r="AB265" i="7"/>
  <c r="AH607" i="2"/>
  <c r="AH4" i="10"/>
  <c r="AH4" i="12"/>
  <c r="AH4" i="8"/>
  <c r="AH4" i="17"/>
  <c r="AI11" i="10"/>
  <c r="AH4" i="16"/>
  <c r="AH4" i="14"/>
  <c r="AH4" i="7"/>
  <c r="AH4" i="9"/>
  <c r="AH4" i="2"/>
  <c r="AH4" i="4"/>
  <c r="AB133" i="7"/>
  <c r="Y501" i="7"/>
  <c r="Y169" i="7"/>
  <c r="Y178" i="7" s="1"/>
  <c r="AD1033" i="2"/>
  <c r="AD91" i="17"/>
  <c r="AD53" i="17"/>
  <c r="AD320" i="4"/>
  <c r="AD252" i="4"/>
  <c r="AD137" i="17"/>
  <c r="AD12" i="17"/>
  <c r="AD1142" i="2"/>
  <c r="AD606" i="2"/>
  <c r="AD246" i="4"/>
  <c r="AD964" i="2"/>
  <c r="AD578" i="2"/>
  <c r="AD579" i="2" s="1"/>
  <c r="AD311" i="4"/>
  <c r="AD191" i="4"/>
  <c r="AD197" i="4"/>
  <c r="AD2" i="10"/>
  <c r="AD2" i="17"/>
  <c r="AD2" i="12"/>
  <c r="AD2" i="14"/>
  <c r="AD52" i="14" s="1"/>
  <c r="AD2" i="8"/>
  <c r="AD117" i="8" s="1"/>
  <c r="AD2" i="9"/>
  <c r="AD2" i="16"/>
  <c r="AD2" i="7"/>
  <c r="AI16" i="4"/>
  <c r="AI17" i="4" s="1"/>
  <c r="AI50" i="2" s="1"/>
  <c r="AD2" i="2"/>
  <c r="AD2" i="4"/>
  <c r="AE9" i="10"/>
  <c r="AC206" i="7"/>
  <c r="AC207" i="7" s="1"/>
  <c r="AC211" i="7" s="1"/>
  <c r="AC200" i="7"/>
  <c r="AC201" i="7" s="1"/>
  <c r="AC209" i="7" s="1"/>
  <c r="AC203" i="7"/>
  <c r="AC204" i="7" s="1"/>
  <c r="AC210" i="7" s="1"/>
  <c r="AC37" i="7"/>
  <c r="AC292" i="7"/>
  <c r="AC263" i="7"/>
  <c r="AC287" i="7"/>
  <c r="AC288" i="7" s="1"/>
  <c r="AC295" i="7" s="1"/>
  <c r="AC45" i="7"/>
  <c r="AA122" i="2"/>
  <c r="AA126" i="2" s="1"/>
  <c r="AC1143" i="2"/>
  <c r="AB1148" i="2"/>
  <c r="AB420" i="2"/>
  <c r="AB428" i="2" s="1"/>
  <c r="AB431" i="2" s="1"/>
  <c r="AB439" i="2" s="1"/>
  <c r="AB212" i="7"/>
  <c r="AB218" i="7" s="1"/>
  <c r="AB219" i="7" s="1"/>
  <c r="X169" i="7"/>
  <c r="X178" i="7" s="1"/>
  <c r="X501" i="7"/>
  <c r="Z243" i="7"/>
  <c r="Z245" i="7" s="1"/>
  <c r="Z248" i="7" s="1"/>
  <c r="Z698" i="2" s="1"/>
  <c r="Z701" i="2" s="1"/>
  <c r="Z705" i="2" s="1"/>
  <c r="Z302" i="2"/>
  <c r="Z321" i="2" s="1"/>
  <c r="Z323" i="2" s="1"/>
  <c r="Z55" i="17" s="1"/>
  <c r="Z269" i="2"/>
  <c r="Z1035" i="2"/>
  <c r="Z13" i="17"/>
  <c r="Z9" i="16"/>
  <c r="AA70" i="2"/>
  <c r="AA75" i="2" s="1"/>
  <c r="AA79" i="2" s="1"/>
  <c r="AA470" i="2" s="1"/>
  <c r="Z351" i="7"/>
  <c r="Z148" i="7"/>
  <c r="Z149" i="7" s="1"/>
  <c r="Z152" i="7" s="1"/>
  <c r="Z155" i="7" s="1"/>
  <c r="Z327" i="7"/>
  <c r="Z177" i="7"/>
  <c r="Z493" i="7"/>
  <c r="AC434" i="2"/>
  <c r="AC228" i="2"/>
  <c r="AC419" i="2"/>
  <c r="AC538" i="2"/>
  <c r="AC539" i="2" s="1"/>
  <c r="AC544" i="2" s="1"/>
  <c r="AC422" i="2"/>
  <c r="AC423" i="2" s="1"/>
  <c r="AC429" i="2" s="1"/>
  <c r="AC528" i="2"/>
  <c r="AC542" i="2" s="1"/>
  <c r="AC62" i="2"/>
  <c r="AC425" i="2"/>
  <c r="AC426" i="2" s="1"/>
  <c r="AC430" i="2" s="1"/>
  <c r="AC944" i="2"/>
  <c r="AC33" i="2"/>
  <c r="AC28" i="2"/>
  <c r="AC29" i="2" s="1"/>
  <c r="AB419" i="7"/>
  <c r="AB906" i="2" s="1"/>
  <c r="AB428" i="7"/>
  <c r="AB444" i="7"/>
  <c r="AB436" i="7"/>
  <c r="AB64" i="2"/>
  <c r="AB67" i="2" s="1"/>
  <c r="AB68" i="2" s="1"/>
  <c r="AB81" i="2" s="1"/>
  <c r="AB87" i="2" s="1"/>
  <c r="AB344" i="2" s="1"/>
  <c r="AB111" i="2"/>
  <c r="AB113" i="2" s="1"/>
  <c r="AB116" i="2" s="1"/>
  <c r="AB117" i="2" s="1"/>
  <c r="AC207" i="4"/>
  <c r="AC136" i="2" s="1"/>
  <c r="Z14" i="17"/>
  <c r="Z10" i="16"/>
  <c r="Z1036" i="2"/>
  <c r="AA225" i="7"/>
  <c r="AA227" i="7" s="1"/>
  <c r="AA235" i="7"/>
  <c r="AA236" i="7" s="1"/>
  <c r="AB202" i="4" l="1"/>
  <c r="AB203" i="4"/>
  <c r="AB254" i="4"/>
  <c r="AC683" i="2"/>
  <c r="AD29" i="10"/>
  <c r="AD30" i="10" s="1"/>
  <c r="AD38" i="10"/>
  <c r="AE682" i="2"/>
  <c r="AE55" i="10"/>
  <c r="AE28" i="10"/>
  <c r="AB258" i="4"/>
  <c r="AC566" i="2"/>
  <c r="AC581" i="2" s="1"/>
  <c r="AC194" i="4"/>
  <c r="AC202" i="4" s="1"/>
  <c r="AC633" i="2"/>
  <c r="AC635" i="2" s="1"/>
  <c r="AC641" i="2" s="1"/>
  <c r="AC249" i="4"/>
  <c r="AC256" i="4" s="1"/>
  <c r="AC393" i="2"/>
  <c r="AB1043" i="2"/>
  <c r="AB767" i="2"/>
  <c r="AB21" i="16"/>
  <c r="AB257" i="4"/>
  <c r="AB255" i="4"/>
  <c r="AA262" i="4"/>
  <c r="AA250" i="2" s="1"/>
  <c r="AC31" i="10"/>
  <c r="AC61" i="10" s="1"/>
  <c r="AC62" i="10" s="1"/>
  <c r="Z479" i="2"/>
  <c r="Z571" i="2"/>
  <c r="Z572" i="2" s="1"/>
  <c r="Y574" i="2" s="1"/>
  <c r="AA378" i="2"/>
  <c r="AA471" i="2"/>
  <c r="AA472" i="2" s="1"/>
  <c r="AD12" i="2"/>
  <c r="U924" i="2"/>
  <c r="U925" i="2" s="1"/>
  <c r="U58" i="16" s="1"/>
  <c r="U929" i="2"/>
  <c r="U912" i="2"/>
  <c r="V907" i="2" s="1"/>
  <c r="V908" i="2" s="1"/>
  <c r="AD446" i="7"/>
  <c r="AD449" i="7"/>
  <c r="AE445" i="7" s="1"/>
  <c r="AF430" i="7"/>
  <c r="AF433" i="7" s="1"/>
  <c r="AG429" i="7" s="1"/>
  <c r="T1006" i="2"/>
  <c r="T1096" i="2"/>
  <c r="T931" i="2"/>
  <c r="AE438" i="7"/>
  <c r="AE441" i="7" s="1"/>
  <c r="AF437" i="7" s="1"/>
  <c r="AD74" i="14"/>
  <c r="AD41" i="14"/>
  <c r="AB555" i="2"/>
  <c r="AA96" i="17"/>
  <c r="AA101" i="17" s="1"/>
  <c r="AA1051" i="2"/>
  <c r="AA85" i="14"/>
  <c r="AA91" i="14" s="1"/>
  <c r="AA807" i="2"/>
  <c r="AA817" i="2"/>
  <c r="AA654" i="2"/>
  <c r="AA29" i="16"/>
  <c r="AA829" i="2"/>
  <c r="AA841" i="2" s="1"/>
  <c r="AA847" i="2" s="1"/>
  <c r="AA660" i="2"/>
  <c r="X458" i="2"/>
  <c r="AG632" i="2"/>
  <c r="AH124" i="2"/>
  <c r="AH512" i="2"/>
  <c r="AH20" i="4"/>
  <c r="AH563" i="2" s="1"/>
  <c r="AI18" i="4"/>
  <c r="AI19" i="4" s="1"/>
  <c r="AI20" i="4" s="1"/>
  <c r="AI77" i="2"/>
  <c r="AC318" i="2"/>
  <c r="AC319" i="2" s="1"/>
  <c r="AC256" i="2" s="1"/>
  <c r="AC257" i="2" s="1"/>
  <c r="AC263" i="2" s="1"/>
  <c r="AC264" i="2" s="1"/>
  <c r="AD217" i="2"/>
  <c r="AD234" i="2"/>
  <c r="Z14" i="16"/>
  <c r="Z710" i="2"/>
  <c r="Z727" i="2" s="1"/>
  <c r="Z732" i="2" s="1"/>
  <c r="Z379" i="2"/>
  <c r="X42" i="16"/>
  <c r="P594" i="2"/>
  <c r="P602" i="2" s="1"/>
  <c r="P603" i="2" s="1"/>
  <c r="P609" i="2" s="1"/>
  <c r="Y740" i="2"/>
  <c r="Y745" i="2" s="1"/>
  <c r="Y736" i="2"/>
  <c r="AC212" i="7"/>
  <c r="AC218" i="7" s="1"/>
  <c r="AC545" i="2"/>
  <c r="AD1144" i="2"/>
  <c r="AD1149" i="2" s="1"/>
  <c r="AD1145" i="2"/>
  <c r="AD1150" i="2" s="1"/>
  <c r="AD1143" i="2"/>
  <c r="AC1148" i="2"/>
  <c r="AD206" i="7"/>
  <c r="AD207" i="7" s="1"/>
  <c r="AD211" i="7" s="1"/>
  <c r="AD200" i="7"/>
  <c r="AD201" i="7" s="1"/>
  <c r="AD209" i="7" s="1"/>
  <c r="AD203" i="7"/>
  <c r="AD204" i="7" s="1"/>
  <c r="AD210" i="7" s="1"/>
  <c r="AD45" i="7"/>
  <c r="AD292" i="7"/>
  <c r="AD263" i="7"/>
  <c r="AD287" i="7"/>
  <c r="AD288" i="7" s="1"/>
  <c r="AD295" i="7" s="1"/>
  <c r="AD37" i="7"/>
  <c r="Z328" i="7"/>
  <c r="Z331" i="7" s="1"/>
  <c r="Z334" i="7" s="1"/>
  <c r="Z352" i="7"/>
  <c r="Z164" i="7"/>
  <c r="Z166" i="7" s="1"/>
  <c r="AA1035" i="2"/>
  <c r="F1066" i="2" s="1" a="1"/>
  <c r="F1066" i="2" s="1"/>
  <c r="AA13" i="17"/>
  <c r="AA9" i="16"/>
  <c r="Z247" i="7"/>
  <c r="Z697" i="2" s="1"/>
  <c r="Z700" i="2" s="1"/>
  <c r="AB122" i="2"/>
  <c r="AB126" i="2" s="1"/>
  <c r="Y444" i="2"/>
  <c r="Y446" i="2" s="1"/>
  <c r="Y93" i="17"/>
  <c r="Y397" i="2"/>
  <c r="Y1040" i="2" s="1"/>
  <c r="Y139" i="17"/>
  <c r="Y18" i="16"/>
  <c r="AB225" i="7"/>
  <c r="AB227" i="7" s="1"/>
  <c r="AB235" i="7"/>
  <c r="AB236" i="7" s="1"/>
  <c r="AA10" i="16"/>
  <c r="AA1036" i="2"/>
  <c r="F1067" i="2" s="1" a="1"/>
  <c r="F1067" i="2" s="1"/>
  <c r="C129" i="18" s="1"/>
  <c r="AA14" i="17"/>
  <c r="AC428" i="7"/>
  <c r="AC444" i="7"/>
  <c r="AC436" i="7"/>
  <c r="AC419" i="7"/>
  <c r="AC906" i="2" s="1"/>
  <c r="AC420" i="2"/>
  <c r="AC428" i="2" s="1"/>
  <c r="AC431" i="2" s="1"/>
  <c r="AC439" i="2" s="1"/>
  <c r="AB70" i="2"/>
  <c r="AB75" i="2" s="1"/>
  <c r="AB79" i="2" s="1"/>
  <c r="AB470" i="2" s="1"/>
  <c r="AA582" i="2"/>
  <c r="AA591" i="2" s="1"/>
  <c r="AA592" i="2" s="1"/>
  <c r="AC133" i="7"/>
  <c r="AE1033" i="2"/>
  <c r="AE91" i="17"/>
  <c r="AE53" i="17"/>
  <c r="AE252" i="4"/>
  <c r="AE137" i="17"/>
  <c r="AE12" i="17"/>
  <c r="AE1142" i="2"/>
  <c r="AE606" i="2"/>
  <c r="AE246" i="4"/>
  <c r="AE964" i="2"/>
  <c r="AE578" i="2"/>
  <c r="AE579" i="2" s="1"/>
  <c r="AE320" i="4"/>
  <c r="AE311" i="4"/>
  <c r="AE197" i="4"/>
  <c r="AE191" i="4"/>
  <c r="AE2" i="12"/>
  <c r="AE2" i="14"/>
  <c r="AE52" i="14" s="1"/>
  <c r="AJ16" i="4"/>
  <c r="AJ17" i="4" s="1"/>
  <c r="AJ50" i="2" s="1"/>
  <c r="AE2" i="10"/>
  <c r="AE2" i="17"/>
  <c r="AE2" i="9"/>
  <c r="AE2" i="16"/>
  <c r="AE2" i="7"/>
  <c r="AE2" i="8"/>
  <c r="AE117" i="8" s="1"/>
  <c r="AE2" i="4"/>
  <c r="AE2" i="2"/>
  <c r="AF9" i="10"/>
  <c r="AA243" i="7"/>
  <c r="AA245" i="7" s="1"/>
  <c r="AA248" i="7" s="1"/>
  <c r="AA698" i="2" s="1"/>
  <c r="AA701" i="2" s="1"/>
  <c r="AA705" i="2" s="1"/>
  <c r="AC111" i="2"/>
  <c r="AC113" i="2" s="1"/>
  <c r="AC116" i="2" s="1"/>
  <c r="AC117" i="2" s="1"/>
  <c r="AC64" i="2"/>
  <c r="AC67" i="2" s="1"/>
  <c r="AC68" i="2" s="1"/>
  <c r="AB582" i="2"/>
  <c r="AB591" i="2" s="1"/>
  <c r="AB592" i="2" s="1"/>
  <c r="AA327" i="7"/>
  <c r="AA177" i="7"/>
  <c r="AA351" i="7"/>
  <c r="AA493" i="7"/>
  <c r="AA148" i="7"/>
  <c r="AA149" i="7" s="1"/>
  <c r="AA152" i="7" s="1"/>
  <c r="AA155" i="7" s="1"/>
  <c r="AC266" i="7"/>
  <c r="AC265" i="7"/>
  <c r="AD944" i="2"/>
  <c r="AD419" i="2"/>
  <c r="AD33" i="2"/>
  <c r="AD28" i="2"/>
  <c r="AD29" i="2" s="1"/>
  <c r="AD425" i="2"/>
  <c r="AD426" i="2" s="1"/>
  <c r="AD430" i="2" s="1"/>
  <c r="AD528" i="2"/>
  <c r="AD542" i="2" s="1"/>
  <c r="AD62" i="2"/>
  <c r="AD434" i="2"/>
  <c r="AD228" i="2"/>
  <c r="AD422" i="2"/>
  <c r="AD423" i="2" s="1"/>
  <c r="AD429" i="2" s="1"/>
  <c r="AD538" i="2"/>
  <c r="AD539" i="2" s="1"/>
  <c r="AD544" i="2" s="1"/>
  <c r="AI607" i="2"/>
  <c r="AI4" i="17"/>
  <c r="AJ11" i="10"/>
  <c r="AI4" i="16"/>
  <c r="AI4" i="14"/>
  <c r="AI4" i="8"/>
  <c r="AI4" i="12"/>
  <c r="AI4" i="7"/>
  <c r="AI4" i="9"/>
  <c r="AI4" i="10"/>
  <c r="AI4" i="2"/>
  <c r="AI4" i="4"/>
  <c r="AC201" i="4" l="1"/>
  <c r="AC257" i="4"/>
  <c r="AC258" i="4"/>
  <c r="AC203" i="4"/>
  <c r="AD683" i="2"/>
  <c r="AD31" i="10"/>
  <c r="AD61" i="10" s="1"/>
  <c r="AD62" i="10" s="1"/>
  <c r="AF682" i="2"/>
  <c r="AF28" i="10"/>
  <c r="AF55" i="10"/>
  <c r="AC199" i="4"/>
  <c r="AE29" i="10"/>
  <c r="AE30" i="10" s="1"/>
  <c r="AC254" i="4"/>
  <c r="AC255" i="4"/>
  <c r="AC262" i="4" s="1"/>
  <c r="AC250" i="2" s="1"/>
  <c r="AB262" i="4"/>
  <c r="AB250" i="2" s="1"/>
  <c r="AD566" i="2"/>
  <c r="AD581" i="2" s="1"/>
  <c r="AD633" i="2"/>
  <c r="AD635" i="2" s="1"/>
  <c r="AD641" i="2" s="1"/>
  <c r="AD194" i="4"/>
  <c r="AD249" i="4"/>
  <c r="AD393" i="2"/>
  <c r="AA571" i="2"/>
  <c r="AA572" i="2" s="1"/>
  <c r="Z574" i="2" s="1"/>
  <c r="F474" i="2"/>
  <c r="AA479" i="2"/>
  <c r="AB378" i="2"/>
  <c r="AB471" i="2"/>
  <c r="AB472" i="2" s="1"/>
  <c r="AE12" i="2"/>
  <c r="U937" i="2"/>
  <c r="T932" i="2"/>
  <c r="T1021" i="2" s="1"/>
  <c r="T1134" i="2" s="1"/>
  <c r="T79" i="16" s="1"/>
  <c r="V911" i="2"/>
  <c r="AF438" i="7"/>
  <c r="AF441" i="7" s="1"/>
  <c r="AG437" i="7" s="1"/>
  <c r="T46" i="16"/>
  <c r="T148" i="17"/>
  <c r="AG430" i="7"/>
  <c r="AG433" i="7" s="1"/>
  <c r="AH429" i="7" s="1"/>
  <c r="V420" i="7"/>
  <c r="V425" i="7" s="1"/>
  <c r="U761" i="2"/>
  <c r="U918" i="2"/>
  <c r="AE446" i="7"/>
  <c r="AE449" i="7" s="1"/>
  <c r="AF445" i="7" s="1"/>
  <c r="AE74" i="14"/>
  <c r="AE41" i="14"/>
  <c r="AC555" i="2"/>
  <c r="AB1051" i="2"/>
  <c r="AB654" i="2"/>
  <c r="AB29" i="16"/>
  <c r="AB85" i="14"/>
  <c r="AB91" i="14" s="1"/>
  <c r="AB817" i="2"/>
  <c r="AB829" i="2"/>
  <c r="AB841" i="2" s="1"/>
  <c r="AB847" i="2" s="1"/>
  <c r="AB660" i="2"/>
  <c r="AB807" i="2"/>
  <c r="AB96" i="17"/>
  <c r="AB101" i="17" s="1"/>
  <c r="C128" i="18"/>
  <c r="Z380" i="2"/>
  <c r="AI89" i="2"/>
  <c r="AI352" i="2" s="1"/>
  <c r="AI88" i="2"/>
  <c r="AI348" i="2" s="1"/>
  <c r="AI124" i="2"/>
  <c r="AH632" i="2"/>
  <c r="AC81" i="2"/>
  <c r="AC87" i="2" s="1"/>
  <c r="AC344" i="2" s="1"/>
  <c r="AJ18" i="4"/>
  <c r="AJ124" i="2" s="1"/>
  <c r="AJ77" i="2"/>
  <c r="AI512" i="2"/>
  <c r="AI632" i="2"/>
  <c r="AI563" i="2"/>
  <c r="AD318" i="2"/>
  <c r="AD319" i="2" s="1"/>
  <c r="AD256" i="2" s="1"/>
  <c r="AD257" i="2" s="1"/>
  <c r="AD263" i="2" s="1"/>
  <c r="AE217" i="2"/>
  <c r="AE234" i="2"/>
  <c r="AC582" i="2"/>
  <c r="AC591" i="2" s="1"/>
  <c r="AC592" i="2" s="1"/>
  <c r="P616" i="2"/>
  <c r="P595" i="2"/>
  <c r="Q590" i="2" s="1"/>
  <c r="Q593" i="2" s="1"/>
  <c r="Q597" i="2" s="1"/>
  <c r="Q624" i="2" s="1"/>
  <c r="Z740" i="2"/>
  <c r="Z745" i="2" s="1"/>
  <c r="Z736" i="2"/>
  <c r="Y746" i="2"/>
  <c r="Y777" i="2" s="1"/>
  <c r="Y752" i="2"/>
  <c r="Y753" i="2" s="1"/>
  <c r="Z704" i="2"/>
  <c r="Z735" i="2" s="1"/>
  <c r="AD545" i="2"/>
  <c r="AB583" i="2"/>
  <c r="AB601" i="2" s="1"/>
  <c r="AD419" i="7"/>
  <c r="AD906" i="2" s="1"/>
  <c r="AD444" i="7"/>
  <c r="AD436" i="7"/>
  <c r="AD428" i="7"/>
  <c r="AD420" i="2"/>
  <c r="AD428" i="2" s="1"/>
  <c r="AD431" i="2" s="1"/>
  <c r="AD439" i="2" s="1"/>
  <c r="AD64" i="2"/>
  <c r="AD67" i="2" s="1"/>
  <c r="AD111" i="2"/>
  <c r="AD113" i="2" s="1"/>
  <c r="AD116" i="2" s="1"/>
  <c r="AA247" i="7"/>
  <c r="AA697" i="2" s="1"/>
  <c r="AA700" i="2" s="1"/>
  <c r="AF1033" i="2"/>
  <c r="AF578" i="2"/>
  <c r="AF579" i="2" s="1"/>
  <c r="AF311" i="4"/>
  <c r="AF91" i="17"/>
  <c r="AF53" i="17"/>
  <c r="AF252" i="4"/>
  <c r="AF137" i="17"/>
  <c r="AF12" i="17"/>
  <c r="AF1142" i="2"/>
  <c r="AF606" i="2"/>
  <c r="AF320" i="4"/>
  <c r="AF964" i="2"/>
  <c r="AF197" i="4"/>
  <c r="AF191" i="4"/>
  <c r="AF246" i="4"/>
  <c r="AF2" i="9"/>
  <c r="AF2" i="8"/>
  <c r="AF117" i="8" s="1"/>
  <c r="AF2" i="17"/>
  <c r="AF2" i="12"/>
  <c r="AF2" i="16"/>
  <c r="AF2" i="7"/>
  <c r="AK16" i="4"/>
  <c r="AK17" i="4" s="1"/>
  <c r="AK50" i="2" s="1"/>
  <c r="AF2" i="14"/>
  <c r="AF52" i="14" s="1"/>
  <c r="AF2" i="10"/>
  <c r="AF2" i="2"/>
  <c r="AF2" i="4"/>
  <c r="AG9" i="10"/>
  <c r="AA583" i="2"/>
  <c r="AA601" i="2" s="1"/>
  <c r="AD133" i="7"/>
  <c r="AE422" i="2"/>
  <c r="AE423" i="2" s="1"/>
  <c r="AE429" i="2" s="1"/>
  <c r="AE62" i="2"/>
  <c r="AE528" i="2"/>
  <c r="AE542" i="2" s="1"/>
  <c r="AE434" i="2"/>
  <c r="AE425" i="2"/>
  <c r="AE426" i="2" s="1"/>
  <c r="AE430" i="2" s="1"/>
  <c r="AE228" i="2"/>
  <c r="AE28" i="2"/>
  <c r="AE29" i="2" s="1"/>
  <c r="AE944" i="2"/>
  <c r="AE33" i="2"/>
  <c r="AE419" i="2"/>
  <c r="AE538" i="2"/>
  <c r="AE539" i="2" s="1"/>
  <c r="AE544" i="2" s="1"/>
  <c r="Y458" i="2"/>
  <c r="Y449" i="2"/>
  <c r="AD212" i="7"/>
  <c r="AD218" i="7" s="1"/>
  <c r="Z169" i="7"/>
  <c r="Z178" i="7" s="1"/>
  <c r="Z501" i="7"/>
  <c r="AA352" i="7"/>
  <c r="AA328" i="7"/>
  <c r="AA331" i="7" s="1"/>
  <c r="AA334" i="7" s="1"/>
  <c r="AA164" i="7"/>
  <c r="AA166" i="7" s="1"/>
  <c r="AB243" i="7"/>
  <c r="AB245" i="7" s="1"/>
  <c r="AB248" i="7" s="1"/>
  <c r="AB698" i="2" s="1"/>
  <c r="AB701" i="2" s="1"/>
  <c r="AB705" i="2" s="1"/>
  <c r="AD1148" i="2"/>
  <c r="AB1036" i="2"/>
  <c r="AB14" i="17"/>
  <c r="AB10" i="16"/>
  <c r="AD266" i="7"/>
  <c r="AD265" i="7"/>
  <c r="AE203" i="7"/>
  <c r="AE204" i="7" s="1"/>
  <c r="AE210" i="7" s="1"/>
  <c r="AE206" i="7"/>
  <c r="AE207" i="7" s="1"/>
  <c r="AE211" i="7" s="1"/>
  <c r="AE200" i="7"/>
  <c r="AE201" i="7" s="1"/>
  <c r="AE209" i="7" s="1"/>
  <c r="AE292" i="7"/>
  <c r="AE263" i="7"/>
  <c r="AE287" i="7"/>
  <c r="AE288" i="7" s="1"/>
  <c r="AE295" i="7" s="1"/>
  <c r="AE45" i="7"/>
  <c r="AE37" i="7"/>
  <c r="AE1143" i="2"/>
  <c r="AE1144" i="2"/>
  <c r="AE1149" i="2" s="1"/>
  <c r="AE1145" i="2"/>
  <c r="AE1150" i="2" s="1"/>
  <c r="AB493" i="7"/>
  <c r="AB327" i="7"/>
  <c r="AB351" i="7"/>
  <c r="AB148" i="7"/>
  <c r="AB149" i="7" s="1"/>
  <c r="AB152" i="7" s="1"/>
  <c r="AB155" i="7" s="1"/>
  <c r="AB177" i="7"/>
  <c r="AC122" i="2"/>
  <c r="AC126" i="2" s="1"/>
  <c r="AJ607" i="2"/>
  <c r="AJ4" i="9"/>
  <c r="AK11" i="10"/>
  <c r="AJ4" i="14"/>
  <c r="AJ4" i="7"/>
  <c r="AJ4" i="8"/>
  <c r="AJ4" i="16"/>
  <c r="AJ4" i="12"/>
  <c r="AJ4" i="17"/>
  <c r="AJ4" i="10"/>
  <c r="AJ4" i="2"/>
  <c r="AJ4" i="4"/>
  <c r="AB1035" i="2"/>
  <c r="AB13" i="17"/>
  <c r="AB9" i="16"/>
  <c r="AE683" i="2" l="1"/>
  <c r="AE31" i="10"/>
  <c r="AE61" i="10" s="1"/>
  <c r="AE65" i="10" s="1"/>
  <c r="AE67" i="10" s="1"/>
  <c r="AG28" i="10"/>
  <c r="AG682" i="2"/>
  <c r="AG55" i="10"/>
  <c r="AF29" i="10"/>
  <c r="AF30" i="10" s="1"/>
  <c r="AF31" i="10" s="1"/>
  <c r="AF61" i="10" s="1"/>
  <c r="AF65" i="10" s="1"/>
  <c r="AF67" i="10" s="1"/>
  <c r="AD258" i="4"/>
  <c r="AD257" i="4"/>
  <c r="AD256" i="4"/>
  <c r="AD202" i="4"/>
  <c r="AD203" i="4"/>
  <c r="AD201" i="4"/>
  <c r="AB479" i="2"/>
  <c r="AB571" i="2"/>
  <c r="AB572" i="2" s="1"/>
  <c r="AA574" i="2" s="1"/>
  <c r="AC378" i="2"/>
  <c r="AC471" i="2"/>
  <c r="F475" i="2"/>
  <c r="F478" i="2" s="1"/>
  <c r="AF12" i="2"/>
  <c r="V924" i="2"/>
  <c r="V925" i="2" s="1"/>
  <c r="V937" i="2" s="1"/>
  <c r="V929" i="2"/>
  <c r="V912" i="2"/>
  <c r="W907" i="2" s="1"/>
  <c r="W908" i="2" s="1"/>
  <c r="AH430" i="7"/>
  <c r="AH433" i="7"/>
  <c r="AI429" i="7" s="1"/>
  <c r="AG438" i="7"/>
  <c r="AG441" i="7" s="1"/>
  <c r="AH437" i="7" s="1"/>
  <c r="AF446" i="7"/>
  <c r="AF449" i="7" s="1"/>
  <c r="AG445" i="7" s="1"/>
  <c r="U931" i="2"/>
  <c r="U1006" i="2"/>
  <c r="U1096" i="2"/>
  <c r="AF74" i="14"/>
  <c r="AF41" i="14"/>
  <c r="AD555" i="2"/>
  <c r="AC660" i="2"/>
  <c r="AC96" i="17"/>
  <c r="AC101" i="17" s="1"/>
  <c r="AC29" i="16"/>
  <c r="AC829" i="2"/>
  <c r="AC841" i="2" s="1"/>
  <c r="AC847" i="2" s="1"/>
  <c r="AC85" i="14"/>
  <c r="AC91" i="14" s="1"/>
  <c r="AC807" i="2"/>
  <c r="AC654" i="2"/>
  <c r="AC817" i="2"/>
  <c r="AC1051" i="2"/>
  <c r="Z397" i="2"/>
  <c r="Z1040" i="2" s="1"/>
  <c r="Z384" i="2"/>
  <c r="AJ89" i="2"/>
  <c r="AJ352" i="2" s="1"/>
  <c r="AJ88" i="2"/>
  <c r="AJ348" i="2" s="1"/>
  <c r="AJ19" i="4"/>
  <c r="AJ20" i="4" s="1"/>
  <c r="AJ563" i="2" s="1"/>
  <c r="AK18" i="4"/>
  <c r="AK19" i="4" s="1"/>
  <c r="AK20" i="4" s="1"/>
  <c r="AK77" i="2"/>
  <c r="Z139" i="17"/>
  <c r="Z93" i="17"/>
  <c r="AE318" i="2"/>
  <c r="AE319" i="2" s="1"/>
  <c r="AE256" i="2" s="1"/>
  <c r="AE257" i="2" s="1"/>
  <c r="AE263" i="2" s="1"/>
  <c r="AF217" i="2"/>
  <c r="AF234" i="2"/>
  <c r="Z18" i="16"/>
  <c r="Z444" i="2"/>
  <c r="Z446" i="2" s="1"/>
  <c r="Z449" i="2" s="1"/>
  <c r="Y1002" i="2"/>
  <c r="Y1092" i="2"/>
  <c r="Y809" i="2"/>
  <c r="Z752" i="2"/>
  <c r="Z753" i="2" s="1"/>
  <c r="Z1092" i="2" s="1"/>
  <c r="Z746" i="2"/>
  <c r="Z777" i="2" s="1"/>
  <c r="AA704" i="2"/>
  <c r="AA735" i="2" s="1"/>
  <c r="Q594" i="2"/>
  <c r="Q602" i="2" s="1"/>
  <c r="Q603" i="2" s="1"/>
  <c r="AC583" i="2"/>
  <c r="AC601" i="2" s="1"/>
  <c r="AB352" i="7"/>
  <c r="AB328" i="7"/>
  <c r="AB331" i="7" s="1"/>
  <c r="AB334" i="7" s="1"/>
  <c r="AB164" i="7"/>
  <c r="AB166" i="7" s="1"/>
  <c r="AC1036" i="2"/>
  <c r="AC14" i="17"/>
  <c r="AC10" i="16"/>
  <c r="AE133" i="7"/>
  <c r="AB247" i="7"/>
  <c r="AB697" i="2" s="1"/>
  <c r="AB700" i="2" s="1"/>
  <c r="AA501" i="7"/>
  <c r="AA169" i="7"/>
  <c r="AA178" i="7" s="1"/>
  <c r="AE420" i="2"/>
  <c r="AE428" i="2" s="1"/>
  <c r="AE431" i="2" s="1"/>
  <c r="AE439" i="2" s="1"/>
  <c r="AG1033" i="2"/>
  <c r="AG964" i="2"/>
  <c r="AG578" i="2"/>
  <c r="AG579" i="2" s="1"/>
  <c r="AG311" i="4"/>
  <c r="AG91" i="17"/>
  <c r="AG53" i="17"/>
  <c r="AG252" i="4"/>
  <c r="AG137" i="17"/>
  <c r="AG12" i="17"/>
  <c r="AG1142" i="2"/>
  <c r="AG606" i="2"/>
  <c r="AG246" i="4"/>
  <c r="AG320" i="4"/>
  <c r="AG197" i="4"/>
  <c r="AG191" i="4"/>
  <c r="AG2" i="14"/>
  <c r="AG52" i="14" s="1"/>
  <c r="AG2" i="7"/>
  <c r="AL16" i="4"/>
  <c r="AL17" i="4" s="1"/>
  <c r="AL50" i="2" s="1"/>
  <c r="AG2" i="12"/>
  <c r="AG2" i="10"/>
  <c r="AG2" i="9"/>
  <c r="AG2" i="16"/>
  <c r="AG2" i="8"/>
  <c r="AG117" i="8" s="1"/>
  <c r="AG2" i="17"/>
  <c r="AG2" i="4"/>
  <c r="AG2" i="2"/>
  <c r="AH9" i="10"/>
  <c r="AE1148" i="2"/>
  <c r="AF203" i="7"/>
  <c r="AF204" i="7" s="1"/>
  <c r="AF210" i="7" s="1"/>
  <c r="AF206" i="7"/>
  <c r="AF207" i="7" s="1"/>
  <c r="AF211" i="7" s="1"/>
  <c r="AF200" i="7"/>
  <c r="AF201" i="7" s="1"/>
  <c r="AF209" i="7" s="1"/>
  <c r="AF292" i="7"/>
  <c r="AF263" i="7"/>
  <c r="AF287" i="7"/>
  <c r="AF288" i="7" s="1"/>
  <c r="AF295" i="7" s="1"/>
  <c r="AF45" i="7"/>
  <c r="AF37" i="7"/>
  <c r="AK607" i="2"/>
  <c r="AK4" i="14"/>
  <c r="AK4" i="7"/>
  <c r="AK4" i="12"/>
  <c r="AK4" i="10"/>
  <c r="AK4" i="16"/>
  <c r="AK4" i="9"/>
  <c r="AK4" i="17"/>
  <c r="AK4" i="8"/>
  <c r="AL11" i="10"/>
  <c r="AK4" i="4"/>
  <c r="AK4" i="2"/>
  <c r="AE266" i="7"/>
  <c r="AE265" i="7"/>
  <c r="AE545" i="2"/>
  <c r="AF944" i="2"/>
  <c r="AF528" i="2"/>
  <c r="AF542" i="2" s="1"/>
  <c r="AF419" i="2"/>
  <c r="AF33" i="2"/>
  <c r="AF434" i="2"/>
  <c r="AF538" i="2"/>
  <c r="AF539" i="2" s="1"/>
  <c r="AF544" i="2" s="1"/>
  <c r="AF28" i="2"/>
  <c r="AF29" i="2" s="1"/>
  <c r="AF228" i="2"/>
  <c r="AF422" i="2"/>
  <c r="AF423" i="2" s="1"/>
  <c r="AF429" i="2" s="1"/>
  <c r="AF425" i="2"/>
  <c r="AF426" i="2" s="1"/>
  <c r="AF430" i="2" s="1"/>
  <c r="AF62" i="2"/>
  <c r="AF1143" i="2"/>
  <c r="AF1148" i="2" s="1"/>
  <c r="AF1144" i="2"/>
  <c r="AF1145" i="2"/>
  <c r="AF1150" i="2" s="1"/>
  <c r="AE436" i="7"/>
  <c r="AE444" i="7"/>
  <c r="AE419" i="7"/>
  <c r="AE906" i="2" s="1"/>
  <c r="AE428" i="7"/>
  <c r="AE111" i="2"/>
  <c r="AE113" i="2" s="1"/>
  <c r="AE116" i="2" s="1"/>
  <c r="AE64" i="2"/>
  <c r="AE67" i="2" s="1"/>
  <c r="AD582" i="2"/>
  <c r="AD591" i="2" s="1"/>
  <c r="AD592" i="2" s="1"/>
  <c r="AE212" i="7"/>
  <c r="AE218" i="7" s="1"/>
  <c r="AF954" i="2" l="1"/>
  <c r="AF956" i="2" s="1"/>
  <c r="AF898" i="2"/>
  <c r="AF900" i="2" s="1"/>
  <c r="AH682" i="2"/>
  <c r="AH28" i="10"/>
  <c r="AH55" i="10"/>
  <c r="AE954" i="2"/>
  <c r="AE956" i="2" s="1"/>
  <c r="AE898" i="2"/>
  <c r="AE900" i="2" s="1"/>
  <c r="AG29" i="10"/>
  <c r="AG30" i="10" s="1"/>
  <c r="Z480" i="2"/>
  <c r="X480" i="2"/>
  <c r="AA480" i="2"/>
  <c r="AB480" i="2"/>
  <c r="Y480" i="2"/>
  <c r="AF683" i="2"/>
  <c r="AG12" i="2"/>
  <c r="V58" i="16"/>
  <c r="U932" i="2"/>
  <c r="U1021" i="2" s="1"/>
  <c r="U1134" i="2" s="1"/>
  <c r="U79" i="16" s="1"/>
  <c r="W911" i="2"/>
  <c r="AG446" i="7"/>
  <c r="AG449" i="7" s="1"/>
  <c r="AH445" i="7" s="1"/>
  <c r="W420" i="7"/>
  <c r="W425" i="7" s="1"/>
  <c r="V918" i="2"/>
  <c r="V761" i="2"/>
  <c r="AH438" i="7"/>
  <c r="AH441" i="7" s="1"/>
  <c r="AI437" i="7" s="1"/>
  <c r="U46" i="16"/>
  <c r="U148" i="17"/>
  <c r="AI430" i="7"/>
  <c r="AI433" i="7" s="1"/>
  <c r="AJ429" i="7" s="1"/>
  <c r="AG74" i="14"/>
  <c r="AG41" i="14"/>
  <c r="AE555" i="2"/>
  <c r="AD1051" i="2"/>
  <c r="AD817" i="2"/>
  <c r="AD29" i="16"/>
  <c r="AD654" i="2"/>
  <c r="AD85" i="14"/>
  <c r="AD91" i="14" s="1"/>
  <c r="AD660" i="2"/>
  <c r="AD96" i="17"/>
  <c r="AD101" i="17" s="1"/>
  <c r="AD807" i="2"/>
  <c r="AD829" i="2"/>
  <c r="AD841" i="2" s="1"/>
  <c r="AD847" i="2" s="1"/>
  <c r="AK89" i="2"/>
  <c r="AK352" i="2" s="1"/>
  <c r="AK88" i="2"/>
  <c r="AK348" i="2" s="1"/>
  <c r="AJ632" i="2"/>
  <c r="AJ512" i="2"/>
  <c r="AK124" i="2"/>
  <c r="AK512" i="2"/>
  <c r="AL18" i="4"/>
  <c r="AL19" i="4" s="1"/>
  <c r="AL77" i="2"/>
  <c r="AK563" i="2"/>
  <c r="AK632" i="2"/>
  <c r="Z458" i="2"/>
  <c r="AF318" i="2"/>
  <c r="AF319" i="2" s="1"/>
  <c r="AF256" i="2" s="1"/>
  <c r="AF257" i="2" s="1"/>
  <c r="AF263" i="2" s="1"/>
  <c r="AG217" i="2"/>
  <c r="AG234" i="2"/>
  <c r="Z1002" i="2"/>
  <c r="Z144" i="17" s="1"/>
  <c r="Z809" i="2"/>
  <c r="Y144" i="17"/>
  <c r="Y42" i="16"/>
  <c r="AB704" i="2"/>
  <c r="AB735" i="2" s="1"/>
  <c r="Q595" i="2"/>
  <c r="R590" i="2" s="1"/>
  <c r="R593" i="2" s="1"/>
  <c r="R597" i="2" s="1"/>
  <c r="R624" i="2" s="1"/>
  <c r="Q609" i="2"/>
  <c r="Q616" i="2"/>
  <c r="AD583" i="2"/>
  <c r="AD601" i="2" s="1"/>
  <c r="AH1033" i="2"/>
  <c r="AH964" i="2"/>
  <c r="AH578" i="2"/>
  <c r="AH579" i="2" s="1"/>
  <c r="AH311" i="4"/>
  <c r="AH91" i="17"/>
  <c r="AH53" i="17"/>
  <c r="AH320" i="4"/>
  <c r="AH137" i="17"/>
  <c r="AH12" i="17"/>
  <c r="AH1142" i="2"/>
  <c r="AH606" i="2"/>
  <c r="AH246" i="4"/>
  <c r="AH252" i="4"/>
  <c r="AH191" i="4"/>
  <c r="AH197" i="4"/>
  <c r="AH2" i="16"/>
  <c r="AH2" i="9"/>
  <c r="AH2" i="17"/>
  <c r="AH2" i="10"/>
  <c r="AH2" i="8"/>
  <c r="AH117" i="8" s="1"/>
  <c r="AH2" i="7"/>
  <c r="AH2" i="14"/>
  <c r="AH52" i="14" s="1"/>
  <c r="AM16" i="4"/>
  <c r="AM17" i="4" s="1"/>
  <c r="AM50" i="2" s="1"/>
  <c r="AH2" i="12"/>
  <c r="AH2" i="2"/>
  <c r="AH2" i="4"/>
  <c r="AI9" i="10"/>
  <c r="AF1149" i="2"/>
  <c r="AF212" i="7"/>
  <c r="AF218" i="7" s="1"/>
  <c r="AG33" i="2"/>
  <c r="AG422" i="2"/>
  <c r="AG423" i="2" s="1"/>
  <c r="AG429" i="2" s="1"/>
  <c r="AG28" i="2"/>
  <c r="AG29" i="2" s="1"/>
  <c r="AG228" i="2"/>
  <c r="AG528" i="2"/>
  <c r="AG542" i="2" s="1"/>
  <c r="AG434" i="2"/>
  <c r="AG62" i="2"/>
  <c r="AG538" i="2"/>
  <c r="AG539" i="2" s="1"/>
  <c r="AG544" i="2" s="1"/>
  <c r="AG425" i="2"/>
  <c r="AG426" i="2" s="1"/>
  <c r="AG430" i="2" s="1"/>
  <c r="AG419" i="2"/>
  <c r="AG944" i="2"/>
  <c r="AG1143" i="2"/>
  <c r="AG1144" i="2"/>
  <c r="AG1149" i="2" s="1"/>
  <c r="AG1145" i="2"/>
  <c r="AG1150" i="2" s="1"/>
  <c r="AF266" i="7"/>
  <c r="AF265" i="7"/>
  <c r="AF420" i="2"/>
  <c r="AF428" i="2" s="1"/>
  <c r="AF431" i="2" s="1"/>
  <c r="AF439" i="2" s="1"/>
  <c r="AG200" i="7"/>
  <c r="AG201" i="7" s="1"/>
  <c r="AG209" i="7" s="1"/>
  <c r="AG203" i="7"/>
  <c r="AG204" i="7" s="1"/>
  <c r="AG210" i="7" s="1"/>
  <c r="AG206" i="7"/>
  <c r="AG207" i="7" s="1"/>
  <c r="AG211" i="7" s="1"/>
  <c r="AG263" i="7"/>
  <c r="AG45" i="7"/>
  <c r="AG37" i="7"/>
  <c r="AG287" i="7"/>
  <c r="AG288" i="7" s="1"/>
  <c r="AG295" i="7" s="1"/>
  <c r="AG292" i="7"/>
  <c r="AB501" i="7"/>
  <c r="AB169" i="7"/>
  <c r="AB178" i="7" s="1"/>
  <c r="AF64" i="2"/>
  <c r="AF67" i="2" s="1"/>
  <c r="AF111" i="2"/>
  <c r="AF113" i="2" s="1"/>
  <c r="AF116" i="2" s="1"/>
  <c r="AL607" i="2"/>
  <c r="AL4" i="8"/>
  <c r="AL4" i="14"/>
  <c r="AM11" i="10"/>
  <c r="AL4" i="10"/>
  <c r="AL4" i="12"/>
  <c r="AL4" i="17"/>
  <c r="AL4" i="7"/>
  <c r="AL4" i="4"/>
  <c r="AL4" i="2"/>
  <c r="AL4" i="16"/>
  <c r="AL4" i="9"/>
  <c r="AF444" i="7"/>
  <c r="AF428" i="7"/>
  <c r="AF419" i="7"/>
  <c r="AF906" i="2" s="1"/>
  <c r="AF436" i="7"/>
  <c r="AF545" i="2"/>
  <c r="AF133" i="7"/>
  <c r="AG683" i="2" l="1"/>
  <c r="AG31" i="10"/>
  <c r="AG61" i="10" s="1"/>
  <c r="AG65" i="10" s="1"/>
  <c r="AG67" i="10" s="1"/>
  <c r="AH29" i="10"/>
  <c r="AH30" i="10" s="1"/>
  <c r="AI682" i="2"/>
  <c r="AI55" i="10"/>
  <c r="AI28" i="10"/>
  <c r="AH12" i="2"/>
  <c r="W924" i="2"/>
  <c r="W925" i="2" s="1"/>
  <c r="W937" i="2" s="1"/>
  <c r="W929" i="2"/>
  <c r="W912" i="2"/>
  <c r="X907" i="2" s="1"/>
  <c r="X908" i="2" s="1"/>
  <c r="AI438" i="7"/>
  <c r="AI441" i="7" s="1"/>
  <c r="AJ437" i="7" s="1"/>
  <c r="V1006" i="2"/>
  <c r="V931" i="2"/>
  <c r="V1096" i="2"/>
  <c r="AJ430" i="7"/>
  <c r="AJ433" i="7" s="1"/>
  <c r="AK429" i="7" s="1"/>
  <c r="AH446" i="7"/>
  <c r="AH449" i="7" s="1"/>
  <c r="AI445" i="7" s="1"/>
  <c r="AH74" i="14"/>
  <c r="AH41" i="14"/>
  <c r="AF555" i="2"/>
  <c r="AL124" i="2"/>
  <c r="AL20" i="4"/>
  <c r="AL563" i="2" s="1"/>
  <c r="AL512" i="2"/>
  <c r="AM18" i="4"/>
  <c r="AM19" i="4" s="1"/>
  <c r="AM77" i="2"/>
  <c r="AH217" i="2"/>
  <c r="AH234" i="2"/>
  <c r="AG318" i="2"/>
  <c r="AG319" i="2" s="1"/>
  <c r="AG256" i="2" s="1"/>
  <c r="AG257" i="2" s="1"/>
  <c r="AG263" i="2" s="1"/>
  <c r="Z42" i="16"/>
  <c r="R594" i="2"/>
  <c r="R602" i="2" s="1"/>
  <c r="R603" i="2" s="1"/>
  <c r="R609" i="2" s="1"/>
  <c r="AM607" i="2"/>
  <c r="AM4" i="4"/>
  <c r="AM4" i="8"/>
  <c r="AM4" i="2"/>
  <c r="AN11" i="10"/>
  <c r="AM4" i="16"/>
  <c r="AM4" i="10"/>
  <c r="AM4" i="9"/>
  <c r="AM4" i="12"/>
  <c r="AM4" i="14"/>
  <c r="AM4" i="17"/>
  <c r="AM4" i="7"/>
  <c r="AG212" i="7"/>
  <c r="AG218" i="7" s="1"/>
  <c r="AG444" i="7"/>
  <c r="AG419" i="7"/>
  <c r="AG906" i="2" s="1"/>
  <c r="AG428" i="7"/>
  <c r="AG436" i="7"/>
  <c r="AG111" i="2"/>
  <c r="AG113" i="2" s="1"/>
  <c r="AG116" i="2" s="1"/>
  <c r="AG64" i="2"/>
  <c r="AG67" i="2" s="1"/>
  <c r="AH1143" i="2"/>
  <c r="AH1148" i="2" s="1"/>
  <c r="AH1144" i="2"/>
  <c r="AH1149" i="2" s="1"/>
  <c r="AH1145" i="2"/>
  <c r="AH1150" i="2" s="1"/>
  <c r="AH425" i="2"/>
  <c r="AH426" i="2" s="1"/>
  <c r="AH430" i="2" s="1"/>
  <c r="AH538" i="2"/>
  <c r="AH539" i="2" s="1"/>
  <c r="AH544" i="2" s="1"/>
  <c r="AH434" i="2"/>
  <c r="AH33" i="2"/>
  <c r="AH28" i="2"/>
  <c r="AH29" i="2" s="1"/>
  <c r="AH228" i="2"/>
  <c r="AH422" i="2"/>
  <c r="AH423" i="2" s="1"/>
  <c r="AH429" i="2" s="1"/>
  <c r="AH944" i="2"/>
  <c r="AH528" i="2"/>
  <c r="AH542" i="2" s="1"/>
  <c r="AH419" i="2"/>
  <c r="AH62" i="2"/>
  <c r="AG1148" i="2"/>
  <c r="AG545" i="2"/>
  <c r="AH200" i="7"/>
  <c r="AH201" i="7" s="1"/>
  <c r="AH209" i="7" s="1"/>
  <c r="AH203" i="7"/>
  <c r="AH204" i="7" s="1"/>
  <c r="AH210" i="7" s="1"/>
  <c r="AH206" i="7"/>
  <c r="AH207" i="7" s="1"/>
  <c r="AH211" i="7" s="1"/>
  <c r="AH37" i="7"/>
  <c r="AH287" i="7"/>
  <c r="AH288" i="7" s="1"/>
  <c r="AH295" i="7" s="1"/>
  <c r="AH292" i="7"/>
  <c r="AH263" i="7"/>
  <c r="AH45" i="7"/>
  <c r="AG133" i="7"/>
  <c r="AG266" i="7"/>
  <c r="AG265" i="7"/>
  <c r="AG420" i="2"/>
  <c r="AG428" i="2" s="1"/>
  <c r="AG431" i="2" s="1"/>
  <c r="AG439" i="2" s="1"/>
  <c r="AI1033" i="2"/>
  <c r="AI606" i="2"/>
  <c r="AI246" i="4"/>
  <c r="AI964" i="2"/>
  <c r="AI578" i="2"/>
  <c r="AI579" i="2" s="1"/>
  <c r="AI320" i="4"/>
  <c r="AI311" i="4"/>
  <c r="AI91" i="17"/>
  <c r="AI53" i="17"/>
  <c r="AI252" i="4"/>
  <c r="AI137" i="17"/>
  <c r="AI12" i="17"/>
  <c r="AI1142" i="2"/>
  <c r="AI197" i="4"/>
  <c r="AI191" i="4"/>
  <c r="AI2" i="16"/>
  <c r="AI2" i="14"/>
  <c r="AI52" i="14" s="1"/>
  <c r="AI2" i="17"/>
  <c r="AI2" i="8"/>
  <c r="AI117" i="8" s="1"/>
  <c r="AI2" i="7"/>
  <c r="AI2" i="10"/>
  <c r="AN16" i="4"/>
  <c r="AN17" i="4" s="1"/>
  <c r="AN50" i="2" s="1"/>
  <c r="AI2" i="12"/>
  <c r="AI2" i="9"/>
  <c r="AI2" i="4"/>
  <c r="AI2" i="2"/>
  <c r="AJ9" i="10"/>
  <c r="AH683" i="2" l="1"/>
  <c r="AH31" i="10"/>
  <c r="AH61" i="10" s="1"/>
  <c r="AH65" i="10" s="1"/>
  <c r="AH67" i="10" s="1"/>
  <c r="AI29" i="10"/>
  <c r="AI30" i="10" s="1"/>
  <c r="AI31" i="10" s="1"/>
  <c r="AI61" i="10" s="1"/>
  <c r="AI65" i="10" s="1"/>
  <c r="AI67" i="10" s="1"/>
  <c r="AG898" i="2"/>
  <c r="AG900" i="2" s="1"/>
  <c r="AG954" i="2"/>
  <c r="AG956" i="2" s="1"/>
  <c r="AJ28" i="10"/>
  <c r="AJ682" i="2"/>
  <c r="AJ55" i="10"/>
  <c r="AI12" i="2"/>
  <c r="W58" i="16"/>
  <c r="V932" i="2"/>
  <c r="V1021" i="2" s="1"/>
  <c r="V1134" i="2" s="1"/>
  <c r="V79" i="16" s="1"/>
  <c r="X911" i="2"/>
  <c r="AK430" i="7"/>
  <c r="AK433" i="7" s="1"/>
  <c r="AL429" i="7" s="1"/>
  <c r="AI446" i="7"/>
  <c r="AI449" i="7" s="1"/>
  <c r="AJ445" i="7" s="1"/>
  <c r="W918" i="2"/>
  <c r="W761" i="2"/>
  <c r="X420" i="7"/>
  <c r="X425" i="7" s="1"/>
  <c r="V46" i="16"/>
  <c r="V148" i="17"/>
  <c r="AJ438" i="7"/>
  <c r="AJ441" i="7"/>
  <c r="AK437" i="7" s="1"/>
  <c r="AI74" i="14"/>
  <c r="AI41" i="14"/>
  <c r="AG555" i="2"/>
  <c r="AL632" i="2"/>
  <c r="AM124" i="2"/>
  <c r="AM512" i="2"/>
  <c r="AM20" i="4"/>
  <c r="AM632" i="2" s="1"/>
  <c r="AN18" i="4"/>
  <c r="AN19" i="4" s="1"/>
  <c r="AN20" i="4" s="1"/>
  <c r="AN77" i="2"/>
  <c r="AI217" i="2"/>
  <c r="AI234" i="2"/>
  <c r="AH318" i="2"/>
  <c r="AH319" i="2" s="1"/>
  <c r="AH256" i="2" s="1"/>
  <c r="AH257" i="2" s="1"/>
  <c r="AH263" i="2" s="1"/>
  <c r="R595" i="2"/>
  <c r="S590" i="2" s="1"/>
  <c r="S593" i="2" s="1"/>
  <c r="S597" i="2" s="1"/>
  <c r="S624" i="2" s="1"/>
  <c r="R616" i="2"/>
  <c r="AH545" i="2"/>
  <c r="AJ1033" i="2"/>
  <c r="AJ137" i="17"/>
  <c r="AJ12" i="17"/>
  <c r="AJ1142" i="2"/>
  <c r="AJ606" i="2"/>
  <c r="AJ246" i="4"/>
  <c r="AJ320" i="4"/>
  <c r="AJ964" i="2"/>
  <c r="AJ578" i="2"/>
  <c r="AJ579" i="2" s="1"/>
  <c r="AJ311" i="4"/>
  <c r="AJ91" i="17"/>
  <c r="AJ53" i="17"/>
  <c r="AJ252" i="4"/>
  <c r="AJ197" i="4"/>
  <c r="AJ191" i="4"/>
  <c r="AJ2" i="16"/>
  <c r="AJ2" i="10"/>
  <c r="AJ2" i="7"/>
  <c r="AO16" i="4"/>
  <c r="AO17" i="4" s="1"/>
  <c r="AO50" i="2" s="1"/>
  <c r="AJ2" i="9"/>
  <c r="AJ2" i="8"/>
  <c r="AJ117" i="8" s="1"/>
  <c r="AJ2" i="14"/>
  <c r="AJ52" i="14" s="1"/>
  <c r="AJ2" i="17"/>
  <c r="AJ2" i="12"/>
  <c r="AJ2" i="2"/>
  <c r="AJ2" i="4"/>
  <c r="AK9" i="10"/>
  <c r="AI538" i="2"/>
  <c r="AI539" i="2" s="1"/>
  <c r="AI544" i="2" s="1"/>
  <c r="AI434" i="2"/>
  <c r="AI425" i="2"/>
  <c r="AI426" i="2" s="1"/>
  <c r="AI430" i="2" s="1"/>
  <c r="AI33" i="2"/>
  <c r="AI62" i="2"/>
  <c r="AI419" i="2"/>
  <c r="AI528" i="2"/>
  <c r="AI542" i="2" s="1"/>
  <c r="AI944" i="2"/>
  <c r="AI422" i="2"/>
  <c r="AI423" i="2" s="1"/>
  <c r="AI429" i="2" s="1"/>
  <c r="AI28" i="2"/>
  <c r="AI29" i="2" s="1"/>
  <c r="AI228" i="2"/>
  <c r="AH64" i="2"/>
  <c r="AH67" i="2" s="1"/>
  <c r="AH111" i="2"/>
  <c r="AH113" i="2" s="1"/>
  <c r="AH116" i="2" s="1"/>
  <c r="AH420" i="2"/>
  <c r="AH428" i="2" s="1"/>
  <c r="AH431" i="2" s="1"/>
  <c r="AH439" i="2" s="1"/>
  <c r="AH266" i="7"/>
  <c r="AH265" i="7"/>
  <c r="AH444" i="7"/>
  <c r="AH419" i="7"/>
  <c r="AH906" i="2" s="1"/>
  <c r="AH428" i="7"/>
  <c r="AH436" i="7"/>
  <c r="AN607" i="2"/>
  <c r="AO11" i="10"/>
  <c r="AN4" i="16"/>
  <c r="AN4" i="14"/>
  <c r="AN4" i="12"/>
  <c r="AN4" i="17"/>
  <c r="AN4" i="8"/>
  <c r="AN4" i="4"/>
  <c r="AN4" i="7"/>
  <c r="AN4" i="10"/>
  <c r="AN4" i="9"/>
  <c r="AN4" i="2"/>
  <c r="AI1143" i="2"/>
  <c r="AI1148" i="2" s="1"/>
  <c r="AI1144" i="2"/>
  <c r="AI1149" i="2" s="1"/>
  <c r="AI1145" i="2"/>
  <c r="AI1150" i="2" s="1"/>
  <c r="AH212" i="7"/>
  <c r="AH218" i="7" s="1"/>
  <c r="AI200" i="7"/>
  <c r="AI201" i="7" s="1"/>
  <c r="AI209" i="7" s="1"/>
  <c r="AI203" i="7"/>
  <c r="AI204" i="7" s="1"/>
  <c r="AI210" i="7" s="1"/>
  <c r="AI206" i="7"/>
  <c r="AI207" i="7" s="1"/>
  <c r="AI211" i="7" s="1"/>
  <c r="AI263" i="7"/>
  <c r="AI287" i="7"/>
  <c r="AI288" i="7" s="1"/>
  <c r="AI295" i="7" s="1"/>
  <c r="AI292" i="7"/>
  <c r="AI37" i="7"/>
  <c r="AI45" i="7"/>
  <c r="AH133" i="7"/>
  <c r="AI954" i="2" l="1"/>
  <c r="AI956" i="2" s="1"/>
  <c r="AI898" i="2"/>
  <c r="AI900" i="2" s="1"/>
  <c r="AH954" i="2"/>
  <c r="AH956" i="2" s="1"/>
  <c r="AH898" i="2"/>
  <c r="AH900" i="2" s="1"/>
  <c r="AI683" i="2"/>
  <c r="AJ29" i="10"/>
  <c r="AJ30" i="10"/>
  <c r="AJ31" i="10" s="1"/>
  <c r="AJ61" i="10" s="1"/>
  <c r="AJ65" i="10" s="1"/>
  <c r="AJ67" i="10" s="1"/>
  <c r="AK55" i="10"/>
  <c r="AK28" i="10"/>
  <c r="AK682" i="2"/>
  <c r="AJ12" i="2"/>
  <c r="X924" i="2"/>
  <c r="X925" i="2" s="1"/>
  <c r="X937" i="2" s="1"/>
  <c r="X929" i="2"/>
  <c r="X912" i="2"/>
  <c r="Y907" i="2" s="1"/>
  <c r="Y908" i="2" s="1"/>
  <c r="W1006" i="2"/>
  <c r="W931" i="2"/>
  <c r="W1096" i="2"/>
  <c r="AK438" i="7"/>
  <c r="AK441" i="7" s="1"/>
  <c r="AL437" i="7" s="1"/>
  <c r="AJ446" i="7"/>
  <c r="AJ449" i="7" s="1"/>
  <c r="AK445" i="7" s="1"/>
  <c r="AL430" i="7"/>
  <c r="AL433" i="7" s="1"/>
  <c r="AM429" i="7" s="1"/>
  <c r="AJ74" i="14"/>
  <c r="AJ41" i="14"/>
  <c r="AH555" i="2"/>
  <c r="AM563" i="2"/>
  <c r="AN124" i="2"/>
  <c r="AO18" i="4"/>
  <c r="AO124" i="2" s="1"/>
  <c r="AO77" i="2"/>
  <c r="AN512" i="2"/>
  <c r="AN632" i="2"/>
  <c r="AN563" i="2"/>
  <c r="AJ217" i="2"/>
  <c r="AJ234" i="2"/>
  <c r="AI318" i="2"/>
  <c r="AI319" i="2" s="1"/>
  <c r="AI256" i="2" s="1"/>
  <c r="AI257" i="2" s="1"/>
  <c r="AI263" i="2" s="1"/>
  <c r="S594" i="2"/>
  <c r="S602" i="2" s="1"/>
  <c r="S603" i="2" s="1"/>
  <c r="S609" i="2" s="1"/>
  <c r="AI444" i="7"/>
  <c r="AI419" i="7"/>
  <c r="AI906" i="2" s="1"/>
  <c r="AI428" i="7"/>
  <c r="AI436" i="7"/>
  <c r="AI266" i="7"/>
  <c r="AI265" i="7"/>
  <c r="AO4" i="17"/>
  <c r="AO607" i="2"/>
  <c r="AO4" i="14"/>
  <c r="AO4" i="16"/>
  <c r="AO4" i="2"/>
  <c r="AO4" i="12"/>
  <c r="AO4" i="7"/>
  <c r="AO4" i="4"/>
  <c r="AO4" i="9"/>
  <c r="AP11" i="10"/>
  <c r="AO4" i="10"/>
  <c r="AO4" i="8"/>
  <c r="AI64" i="2"/>
  <c r="AI67" i="2" s="1"/>
  <c r="AI68" i="2" s="1"/>
  <c r="AI111" i="2"/>
  <c r="AI113" i="2" s="1"/>
  <c r="AI116" i="2" s="1"/>
  <c r="AJ206" i="7"/>
  <c r="AJ207" i="7" s="1"/>
  <c r="AJ211" i="7" s="1"/>
  <c r="AJ200" i="7"/>
  <c r="AJ201" i="7" s="1"/>
  <c r="AJ209" i="7" s="1"/>
  <c r="AJ203" i="7"/>
  <c r="AJ204" i="7" s="1"/>
  <c r="AJ210" i="7" s="1"/>
  <c r="AJ263" i="7"/>
  <c r="AJ287" i="7"/>
  <c r="AJ288" i="7" s="1"/>
  <c r="AJ295" i="7" s="1"/>
  <c r="AJ37" i="7"/>
  <c r="AJ45" i="7"/>
  <c r="AJ292" i="7"/>
  <c r="AI420" i="2"/>
  <c r="AI428" i="2" s="1"/>
  <c r="AI431" i="2" s="1"/>
  <c r="AI439" i="2" s="1"/>
  <c r="AJ944" i="2"/>
  <c r="AJ28" i="2"/>
  <c r="AJ29" i="2" s="1"/>
  <c r="AJ528" i="2"/>
  <c r="AJ542" i="2" s="1"/>
  <c r="AJ422" i="2"/>
  <c r="AJ423" i="2" s="1"/>
  <c r="AJ429" i="2" s="1"/>
  <c r="AJ538" i="2"/>
  <c r="AJ539" i="2" s="1"/>
  <c r="AJ544" i="2" s="1"/>
  <c r="AJ33" i="2"/>
  <c r="AJ419" i="2"/>
  <c r="AJ434" i="2"/>
  <c r="AJ425" i="2"/>
  <c r="AJ426" i="2" s="1"/>
  <c r="AJ430" i="2" s="1"/>
  <c r="AJ228" i="2"/>
  <c r="AJ62" i="2"/>
  <c r="AJ1143" i="2"/>
  <c r="AJ1148" i="2" s="1"/>
  <c r="AJ1144" i="2"/>
  <c r="AJ1145" i="2"/>
  <c r="AJ1150" i="2" s="1"/>
  <c r="AI212" i="7"/>
  <c r="AI218" i="7" s="1"/>
  <c r="AI133" i="7"/>
  <c r="AI545" i="2"/>
  <c r="AK1033" i="2"/>
  <c r="AK252" i="4"/>
  <c r="AK137" i="17"/>
  <c r="AK12" i="17"/>
  <c r="AK1142" i="2"/>
  <c r="AK320" i="4"/>
  <c r="AK606" i="2"/>
  <c r="AK964" i="2"/>
  <c r="AK578" i="2"/>
  <c r="AK579" i="2" s="1"/>
  <c r="AK91" i="17"/>
  <c r="AK53" i="17"/>
  <c r="AK191" i="4"/>
  <c r="AK197" i="4"/>
  <c r="AK246" i="4"/>
  <c r="AK311" i="4"/>
  <c r="AK2" i="17"/>
  <c r="AK2" i="16"/>
  <c r="AK2" i="14"/>
  <c r="AK52" i="14" s="1"/>
  <c r="AK2" i="7"/>
  <c r="AP16" i="4"/>
  <c r="AP17" i="4" s="1"/>
  <c r="AP50" i="2" s="1"/>
  <c r="AK2" i="9"/>
  <c r="AK2" i="12"/>
  <c r="AK2" i="10"/>
  <c r="AK2" i="8"/>
  <c r="AK117" i="8" s="1"/>
  <c r="AK2" i="2"/>
  <c r="AK2" i="4"/>
  <c r="AL9" i="10"/>
  <c r="AJ954" i="2" l="1"/>
  <c r="AJ956" i="2" s="1"/>
  <c r="AJ898" i="2"/>
  <c r="AJ900" i="2" s="1"/>
  <c r="AK29" i="10"/>
  <c r="AK30" i="10"/>
  <c r="AK31" i="10" s="1"/>
  <c r="AK61" i="10" s="1"/>
  <c r="AK65" i="10" s="1"/>
  <c r="AK67" i="10" s="1"/>
  <c r="AL55" i="10"/>
  <c r="AL28" i="10"/>
  <c r="AL682" i="2"/>
  <c r="AJ683" i="2"/>
  <c r="AK12" i="2"/>
  <c r="X58" i="16"/>
  <c r="W932" i="2"/>
  <c r="W1021" i="2" s="1"/>
  <c r="W1134" i="2" s="1"/>
  <c r="W79" i="16" s="1"/>
  <c r="Y911" i="2"/>
  <c r="AL438" i="7"/>
  <c r="AL441" i="7"/>
  <c r="AM437" i="7" s="1"/>
  <c r="AM430" i="7"/>
  <c r="AM433" i="7" s="1"/>
  <c r="AN429" i="7" s="1"/>
  <c r="AK446" i="7"/>
  <c r="AK449" i="7" s="1"/>
  <c r="AL445" i="7" s="1"/>
  <c r="W148" i="17"/>
  <c r="W46" i="16"/>
  <c r="X918" i="2"/>
  <c r="X761" i="2"/>
  <c r="Y420" i="7"/>
  <c r="Y425" i="7" s="1"/>
  <c r="AK74" i="14"/>
  <c r="AK41" i="14"/>
  <c r="AI555" i="2"/>
  <c r="AO19" i="4"/>
  <c r="AO512" i="2" s="1"/>
  <c r="AI81" i="2"/>
  <c r="AI87" i="2" s="1"/>
  <c r="AI344" i="2" s="1"/>
  <c r="AP18" i="4"/>
  <c r="AP19" i="4" s="1"/>
  <c r="AP77" i="2"/>
  <c r="AJ318" i="2"/>
  <c r="AJ319" i="2" s="1"/>
  <c r="AJ256" i="2" s="1"/>
  <c r="AJ257" i="2" s="1"/>
  <c r="AJ263" i="2" s="1"/>
  <c r="AK217" i="2"/>
  <c r="AK234" i="2"/>
  <c r="S616" i="2"/>
  <c r="S595" i="2"/>
  <c r="T590" i="2" s="1"/>
  <c r="T593" i="2" s="1"/>
  <c r="AJ212" i="7"/>
  <c r="AJ218" i="7" s="1"/>
  <c r="AJ545" i="2"/>
  <c r="AL1033" i="2"/>
  <c r="AL91" i="17"/>
  <c r="AL53" i="17"/>
  <c r="AL320" i="4"/>
  <c r="AL252" i="4"/>
  <c r="AL137" i="17"/>
  <c r="AL12" i="17"/>
  <c r="AL1142" i="2"/>
  <c r="AL606" i="2"/>
  <c r="AL246" i="4"/>
  <c r="AL964" i="2"/>
  <c r="AL578" i="2"/>
  <c r="AL579" i="2" s="1"/>
  <c r="AL311" i="4"/>
  <c r="AL191" i="4"/>
  <c r="AL197" i="4"/>
  <c r="AL2" i="16"/>
  <c r="AL2" i="12"/>
  <c r="AL2" i="14"/>
  <c r="AL52" i="14" s="1"/>
  <c r="AL2" i="4"/>
  <c r="AQ16" i="4"/>
  <c r="AQ17" i="4" s="1"/>
  <c r="AQ50" i="2" s="1"/>
  <c r="AL2" i="9"/>
  <c r="AL2" i="17"/>
  <c r="AL2" i="7"/>
  <c r="AL2" i="10"/>
  <c r="AL2" i="8"/>
  <c r="AL117" i="8" s="1"/>
  <c r="AL2" i="2"/>
  <c r="AM9" i="10"/>
  <c r="AJ419" i="7"/>
  <c r="AJ906" i="2" s="1"/>
  <c r="AJ428" i="7"/>
  <c r="AJ436" i="7"/>
  <c r="AJ444" i="7"/>
  <c r="AK206" i="7"/>
  <c r="AK207" i="7" s="1"/>
  <c r="AK211" i="7" s="1"/>
  <c r="AK200" i="7"/>
  <c r="AK201" i="7" s="1"/>
  <c r="AK209" i="7" s="1"/>
  <c r="AK203" i="7"/>
  <c r="AK204" i="7" s="1"/>
  <c r="AK210" i="7" s="1"/>
  <c r="AK292" i="7"/>
  <c r="AK263" i="7"/>
  <c r="AK287" i="7"/>
  <c r="AK288" i="7" s="1"/>
  <c r="AK295" i="7" s="1"/>
  <c r="AK45" i="7"/>
  <c r="AK37" i="7"/>
  <c r="AK528" i="2"/>
  <c r="AK542" i="2" s="1"/>
  <c r="AK28" i="2"/>
  <c r="AK29" i="2" s="1"/>
  <c r="AK425" i="2"/>
  <c r="AK426" i="2" s="1"/>
  <c r="AK430" i="2" s="1"/>
  <c r="AK33" i="2"/>
  <c r="AK419" i="2"/>
  <c r="AK944" i="2"/>
  <c r="AK434" i="2"/>
  <c r="AK422" i="2"/>
  <c r="AK423" i="2" s="1"/>
  <c r="AK429" i="2" s="1"/>
  <c r="AK538" i="2"/>
  <c r="AK539" i="2" s="1"/>
  <c r="AK544" i="2" s="1"/>
  <c r="AK228" i="2"/>
  <c r="AK62" i="2"/>
  <c r="AJ64" i="2"/>
  <c r="AJ67" i="2" s="1"/>
  <c r="AJ68" i="2" s="1"/>
  <c r="AJ111" i="2"/>
  <c r="AJ113" i="2" s="1"/>
  <c r="AJ116" i="2" s="1"/>
  <c r="AJ117" i="2" s="1"/>
  <c r="AJ133" i="7"/>
  <c r="AJ1149" i="2"/>
  <c r="AP4" i="2"/>
  <c r="AP4" i="17"/>
  <c r="AP607" i="2"/>
  <c r="AP4" i="14"/>
  <c r="AP4" i="16"/>
  <c r="AP4" i="12"/>
  <c r="AP4" i="7"/>
  <c r="AP4" i="4"/>
  <c r="AP4" i="9"/>
  <c r="AP4" i="10"/>
  <c r="AQ11" i="10"/>
  <c r="AP4" i="8"/>
  <c r="AJ266" i="7"/>
  <c r="AJ265" i="7"/>
  <c r="AK1143" i="2"/>
  <c r="AK1148" i="2" s="1"/>
  <c r="AK1144" i="2"/>
  <c r="AK1149" i="2" s="1"/>
  <c r="AK1145" i="2"/>
  <c r="AJ420" i="2"/>
  <c r="AJ428" i="2" s="1"/>
  <c r="AJ431" i="2" s="1"/>
  <c r="AJ439" i="2" s="1"/>
  <c r="AL29" i="10" l="1"/>
  <c r="AL30" i="10"/>
  <c r="AL31" i="10" s="1"/>
  <c r="AL61" i="10" s="1"/>
  <c r="AL65" i="10" s="1"/>
  <c r="AL67" i="10" s="1"/>
  <c r="AK683" i="2"/>
  <c r="AK954" i="2"/>
  <c r="AK956" i="2" s="1"/>
  <c r="AK898" i="2"/>
  <c r="AK900" i="2" s="1"/>
  <c r="AM682" i="2"/>
  <c r="AM55" i="10"/>
  <c r="AM28" i="10"/>
  <c r="AL12" i="2"/>
  <c r="Y924" i="2"/>
  <c r="Y925" i="2" s="1"/>
  <c r="Y937" i="2" s="1"/>
  <c r="Y929" i="2"/>
  <c r="Y912" i="2"/>
  <c r="Z907" i="2" s="1"/>
  <c r="Z908" i="2" s="1"/>
  <c r="AN430" i="7"/>
  <c r="AN433" i="7" s="1"/>
  <c r="AO429" i="7" s="1"/>
  <c r="AL446" i="7"/>
  <c r="AL449" i="7" s="1"/>
  <c r="AM445" i="7" s="1"/>
  <c r="AM438" i="7"/>
  <c r="AM441" i="7" s="1"/>
  <c r="AN437" i="7" s="1"/>
  <c r="X1096" i="2"/>
  <c r="X931" i="2"/>
  <c r="X1006" i="2"/>
  <c r="AL74" i="14"/>
  <c r="AL41" i="14"/>
  <c r="AJ555" i="2"/>
  <c r="AO20" i="4"/>
  <c r="AO632" i="2" s="1"/>
  <c r="AP124" i="2"/>
  <c r="AJ81" i="2"/>
  <c r="AJ87" i="2" s="1"/>
  <c r="AJ344" i="2" s="1"/>
  <c r="AP20" i="4"/>
  <c r="AP563" i="2" s="1"/>
  <c r="AP512" i="2"/>
  <c r="AQ18" i="4"/>
  <c r="AQ124" i="2" s="1"/>
  <c r="AQ77" i="2"/>
  <c r="AK318" i="2"/>
  <c r="AK319" i="2" s="1"/>
  <c r="AK256" i="2" s="1"/>
  <c r="AK257" i="2" s="1"/>
  <c r="AK263" i="2" s="1"/>
  <c r="AL217" i="2"/>
  <c r="AL234" i="2"/>
  <c r="T594" i="2"/>
  <c r="T597" i="2"/>
  <c r="T624" i="2" s="1"/>
  <c r="AK266" i="7"/>
  <c r="AK265" i="7"/>
  <c r="AM1033" i="2"/>
  <c r="AM91" i="17"/>
  <c r="AM53" i="17"/>
  <c r="AM252" i="4"/>
  <c r="AM137" i="17"/>
  <c r="AM12" i="17"/>
  <c r="AM1142" i="2"/>
  <c r="AM606" i="2"/>
  <c r="AM246" i="4"/>
  <c r="AM964" i="2"/>
  <c r="AM578" i="2"/>
  <c r="AM579" i="2" s="1"/>
  <c r="AM320" i="4"/>
  <c r="AM311" i="4"/>
  <c r="AM191" i="4"/>
  <c r="AM197" i="4"/>
  <c r="AM2" i="16"/>
  <c r="AR16" i="4"/>
  <c r="AR17" i="4" s="1"/>
  <c r="AR50" i="2" s="1"/>
  <c r="AM2" i="8"/>
  <c r="AM117" i="8" s="1"/>
  <c r="AM2" i="4"/>
  <c r="AM2" i="14"/>
  <c r="AM52" i="14" s="1"/>
  <c r="AM2" i="17"/>
  <c r="AM2" i="7"/>
  <c r="AM2" i="12"/>
  <c r="AM2" i="9"/>
  <c r="AM2" i="2"/>
  <c r="AM2" i="10"/>
  <c r="AN9" i="10"/>
  <c r="AK420" i="2"/>
  <c r="AK428" i="2" s="1"/>
  <c r="AK431" i="2" s="1"/>
  <c r="AK439" i="2" s="1"/>
  <c r="AK212" i="7"/>
  <c r="AK218" i="7" s="1"/>
  <c r="AL28" i="2"/>
  <c r="AL29" i="2" s="1"/>
  <c r="AL419" i="2"/>
  <c r="AL434" i="2"/>
  <c r="AL33" i="2"/>
  <c r="AL538" i="2"/>
  <c r="AL539" i="2" s="1"/>
  <c r="AL544" i="2" s="1"/>
  <c r="AL944" i="2"/>
  <c r="AL528" i="2"/>
  <c r="AL542" i="2" s="1"/>
  <c r="AL62" i="2"/>
  <c r="AL228" i="2"/>
  <c r="AL425" i="2"/>
  <c r="AL426" i="2" s="1"/>
  <c r="AL430" i="2" s="1"/>
  <c r="AL422" i="2"/>
  <c r="AL423" i="2" s="1"/>
  <c r="AL429" i="2" s="1"/>
  <c r="AK1150" i="2"/>
  <c r="AK64" i="2"/>
  <c r="AK67" i="2" s="1"/>
  <c r="AK68" i="2" s="1"/>
  <c r="AK111" i="2"/>
  <c r="AK113" i="2" s="1"/>
  <c r="AK116" i="2" s="1"/>
  <c r="AK117" i="2" s="1"/>
  <c r="AQ4" i="2"/>
  <c r="AQ4" i="17"/>
  <c r="AQ607" i="2"/>
  <c r="AQ4" i="16"/>
  <c r="AQ4" i="4"/>
  <c r="AQ4" i="9"/>
  <c r="AQ4" i="12"/>
  <c r="AQ4" i="14"/>
  <c r="AQ4" i="7"/>
  <c r="AR11" i="10"/>
  <c r="AQ4" i="10"/>
  <c r="AQ4" i="8"/>
  <c r="AL1143" i="2"/>
  <c r="AL1148" i="2" s="1"/>
  <c r="AL1144" i="2"/>
  <c r="AL1149" i="2" s="1"/>
  <c r="AL1145" i="2"/>
  <c r="AL1150" i="2" s="1"/>
  <c r="AK436" i="7"/>
  <c r="AK444" i="7"/>
  <c r="AK419" i="7"/>
  <c r="AK906" i="2" s="1"/>
  <c r="AK428" i="7"/>
  <c r="AK545" i="2"/>
  <c r="AK133" i="7"/>
  <c r="AL206" i="7"/>
  <c r="AL207" i="7" s="1"/>
  <c r="AL211" i="7" s="1"/>
  <c r="AL200" i="7"/>
  <c r="AL201" i="7" s="1"/>
  <c r="AL209" i="7" s="1"/>
  <c r="AL203" i="7"/>
  <c r="AL204" i="7" s="1"/>
  <c r="AL210" i="7" s="1"/>
  <c r="AL292" i="7"/>
  <c r="AL263" i="7"/>
  <c r="AL45" i="7"/>
  <c r="AL37" i="7"/>
  <c r="AL287" i="7"/>
  <c r="AL288" i="7" s="1"/>
  <c r="AL295" i="7" s="1"/>
  <c r="AJ122" i="2"/>
  <c r="AL954" i="2" l="1"/>
  <c r="AL956" i="2" s="1"/>
  <c r="AL898" i="2"/>
  <c r="AL900" i="2" s="1"/>
  <c r="AN682" i="2"/>
  <c r="AN28" i="10"/>
  <c r="AN55" i="10"/>
  <c r="AM29" i="10"/>
  <c r="AM30" i="10"/>
  <c r="AL683" i="2"/>
  <c r="AM12" i="2"/>
  <c r="Y58" i="16"/>
  <c r="X932" i="2"/>
  <c r="X1021" i="2" s="1"/>
  <c r="X1134" i="2" s="1"/>
  <c r="X79" i="16" s="1"/>
  <c r="Z911" i="2"/>
  <c r="AN438" i="7"/>
  <c r="AN441" i="7" s="1"/>
  <c r="AO437" i="7" s="1"/>
  <c r="Z420" i="7"/>
  <c r="Z425" i="7" s="1"/>
  <c r="AM446" i="7"/>
  <c r="AM449" i="7" s="1"/>
  <c r="AN445" i="7" s="1"/>
  <c r="X148" i="17"/>
  <c r="X46" i="16"/>
  <c r="AO430" i="7"/>
  <c r="AO433" i="7" s="1"/>
  <c r="AP429" i="7" s="1"/>
  <c r="Y918" i="2"/>
  <c r="Y761" i="2"/>
  <c r="AM74" i="14"/>
  <c r="AM41" i="14"/>
  <c r="AK555" i="2"/>
  <c r="AO563" i="2"/>
  <c r="AQ19" i="4"/>
  <c r="AQ512" i="2" s="1"/>
  <c r="AP632" i="2"/>
  <c r="AK81" i="2"/>
  <c r="AK87" i="2" s="1"/>
  <c r="AK344" i="2" s="1"/>
  <c r="AR18" i="4"/>
  <c r="AR124" i="2" s="1"/>
  <c r="AR77" i="2"/>
  <c r="AL318" i="2"/>
  <c r="AL319" i="2" s="1"/>
  <c r="AL256" i="2" s="1"/>
  <c r="AL257" i="2" s="1"/>
  <c r="AL263" i="2" s="1"/>
  <c r="AM217" i="2"/>
  <c r="AM234" i="2"/>
  <c r="AL212" i="7"/>
  <c r="AL218" i="7" s="1"/>
  <c r="T602" i="2"/>
  <c r="T603" i="2" s="1"/>
  <c r="T595" i="2"/>
  <c r="U590" i="2" s="1"/>
  <c r="AK122" i="2"/>
  <c r="AL545" i="2"/>
  <c r="AN1033" i="2"/>
  <c r="AN578" i="2"/>
  <c r="AN579" i="2" s="1"/>
  <c r="AN311" i="4"/>
  <c r="AN91" i="17"/>
  <c r="AN53" i="17"/>
  <c r="AN252" i="4"/>
  <c r="AN137" i="17"/>
  <c r="AN12" i="17"/>
  <c r="AN1142" i="2"/>
  <c r="AN606" i="2"/>
  <c r="AN320" i="4"/>
  <c r="AN964" i="2"/>
  <c r="AN191" i="4"/>
  <c r="AN197" i="4"/>
  <c r="AN246" i="4"/>
  <c r="AN2" i="14"/>
  <c r="AN52" i="14" s="1"/>
  <c r="AN2" i="16"/>
  <c r="AN2" i="10"/>
  <c r="AN2" i="2"/>
  <c r="AS16" i="4"/>
  <c r="AS17" i="4" s="1"/>
  <c r="AS50" i="2" s="1"/>
  <c r="AN2" i="17"/>
  <c r="AN2" i="7"/>
  <c r="AN2" i="8"/>
  <c r="AN117" i="8" s="1"/>
  <c r="AN2" i="9"/>
  <c r="AN2" i="12"/>
  <c r="AN2" i="4"/>
  <c r="AO9" i="10"/>
  <c r="AL133" i="7"/>
  <c r="AR4" i="2"/>
  <c r="AR4" i="17"/>
  <c r="AR607" i="2"/>
  <c r="AR4" i="14"/>
  <c r="AR4" i="16"/>
  <c r="AR4" i="7"/>
  <c r="AR4" i="4"/>
  <c r="AR4" i="9"/>
  <c r="AR4" i="12"/>
  <c r="AR4" i="10"/>
  <c r="AS11" i="10"/>
  <c r="AR4" i="8"/>
  <c r="AM203" i="7"/>
  <c r="AM204" i="7" s="1"/>
  <c r="AM210" i="7" s="1"/>
  <c r="AM206" i="7"/>
  <c r="AM207" i="7" s="1"/>
  <c r="AM211" i="7" s="1"/>
  <c r="AM200" i="7"/>
  <c r="AM201" i="7" s="1"/>
  <c r="AM209" i="7" s="1"/>
  <c r="AM292" i="7"/>
  <c r="AM37" i="7"/>
  <c r="AM263" i="7"/>
  <c r="AM287" i="7"/>
  <c r="AM288" i="7" s="1"/>
  <c r="AM295" i="7" s="1"/>
  <c r="AM45" i="7"/>
  <c r="AL266" i="7"/>
  <c r="AL265" i="7"/>
  <c r="AL111" i="2"/>
  <c r="AL113" i="2" s="1"/>
  <c r="AL116" i="2" s="1"/>
  <c r="AL64" i="2"/>
  <c r="AL67" i="2" s="1"/>
  <c r="AM28" i="2"/>
  <c r="AM29" i="2" s="1"/>
  <c r="AM425" i="2"/>
  <c r="AM426" i="2" s="1"/>
  <c r="AM430" i="2" s="1"/>
  <c r="AM228" i="2"/>
  <c r="AM528" i="2"/>
  <c r="AM542" i="2" s="1"/>
  <c r="AM33" i="2"/>
  <c r="AM62" i="2"/>
  <c r="AM944" i="2"/>
  <c r="AM434" i="2"/>
  <c r="AM422" i="2"/>
  <c r="AM423" i="2" s="1"/>
  <c r="AM429" i="2" s="1"/>
  <c r="AM419" i="2"/>
  <c r="AM538" i="2"/>
  <c r="AM539" i="2" s="1"/>
  <c r="AM544" i="2" s="1"/>
  <c r="AL444" i="7"/>
  <c r="AL436" i="7"/>
  <c r="AL428" i="7"/>
  <c r="AL419" i="7"/>
  <c r="AL906" i="2" s="1"/>
  <c r="AL420" i="2"/>
  <c r="AL428" i="2" s="1"/>
  <c r="AL431" i="2" s="1"/>
  <c r="AL439" i="2" s="1"/>
  <c r="AM1143" i="2"/>
  <c r="AM1148" i="2" s="1"/>
  <c r="AM1144" i="2"/>
  <c r="AM1149" i="2" s="1"/>
  <c r="AM1145" i="2"/>
  <c r="AM683" i="2" l="1"/>
  <c r="AN29" i="10"/>
  <c r="AN30" i="10"/>
  <c r="AN31" i="10" s="1"/>
  <c r="AN61" i="10" s="1"/>
  <c r="AN65" i="10" s="1"/>
  <c r="AN67" i="10" s="1"/>
  <c r="AO28" i="10"/>
  <c r="AO682" i="2"/>
  <c r="AO55" i="10"/>
  <c r="AM31" i="10"/>
  <c r="AM61" i="10" s="1"/>
  <c r="AM65" i="10" s="1"/>
  <c r="AM67" i="10" s="1"/>
  <c r="AN12" i="2"/>
  <c r="Z924" i="2"/>
  <c r="Z925" i="2" s="1"/>
  <c r="Z58" i="16" s="1"/>
  <c r="Z929" i="2"/>
  <c r="Z912" i="2"/>
  <c r="AA907" i="2" s="1"/>
  <c r="AA908" i="2" s="1"/>
  <c r="AP430" i="7"/>
  <c r="AP433" i="7"/>
  <c r="AQ429" i="7" s="1"/>
  <c r="AN446" i="7"/>
  <c r="AN449" i="7" s="1"/>
  <c r="AO445" i="7" s="1"/>
  <c r="AO438" i="7"/>
  <c r="AO441" i="7" s="1"/>
  <c r="AP437" i="7" s="1"/>
  <c r="Y931" i="2"/>
  <c r="Y1006" i="2"/>
  <c r="Y1096" i="2"/>
  <c r="AN74" i="14"/>
  <c r="AN41" i="14"/>
  <c r="AL555" i="2"/>
  <c r="AQ20" i="4"/>
  <c r="AQ563" i="2" s="1"/>
  <c r="AR19" i="4"/>
  <c r="AR512" i="2" s="1"/>
  <c r="AS18" i="4"/>
  <c r="AS19" i="4" s="1"/>
  <c r="AS77" i="2"/>
  <c r="AM318" i="2"/>
  <c r="AM319" i="2" s="1"/>
  <c r="AM256" i="2" s="1"/>
  <c r="AM257" i="2" s="1"/>
  <c r="AM263" i="2" s="1"/>
  <c r="AN217" i="2"/>
  <c r="AN234" i="2"/>
  <c r="AM545" i="2"/>
  <c r="U593" i="2"/>
  <c r="U597" i="2" s="1"/>
  <c r="U624" i="2" s="1"/>
  <c r="T609" i="2"/>
  <c r="T616" i="2"/>
  <c r="AM133" i="7"/>
  <c r="AS4" i="2"/>
  <c r="AS4" i="17"/>
  <c r="AS4" i="16"/>
  <c r="AS607" i="2"/>
  <c r="AS4" i="14"/>
  <c r="AS4" i="4"/>
  <c r="AS4" i="9"/>
  <c r="AS4" i="12"/>
  <c r="AS4" i="7"/>
  <c r="AS4" i="8"/>
  <c r="AS4" i="10"/>
  <c r="AM1150" i="2"/>
  <c r="AN203" i="7"/>
  <c r="AN204" i="7" s="1"/>
  <c r="AN210" i="7" s="1"/>
  <c r="AN206" i="7"/>
  <c r="AN207" i="7" s="1"/>
  <c r="AN211" i="7" s="1"/>
  <c r="AN200" i="7"/>
  <c r="AN201" i="7" s="1"/>
  <c r="AN209" i="7" s="1"/>
  <c r="AN263" i="7"/>
  <c r="AN37" i="7"/>
  <c r="AN287" i="7"/>
  <c r="AN288" i="7" s="1"/>
  <c r="AN295" i="7" s="1"/>
  <c r="AN292" i="7"/>
  <c r="AN45" i="7"/>
  <c r="AM420" i="2"/>
  <c r="AM428" i="2" s="1"/>
  <c r="AM431" i="2" s="1"/>
  <c r="AM439" i="2" s="1"/>
  <c r="AM265" i="7"/>
  <c r="AM266" i="7"/>
  <c r="AO1033" i="2"/>
  <c r="AO2" i="16"/>
  <c r="AO964" i="2"/>
  <c r="AO578" i="2"/>
  <c r="AO579" i="2" s="1"/>
  <c r="AO311" i="4"/>
  <c r="AO91" i="17"/>
  <c r="AO53" i="17"/>
  <c r="AO2" i="2"/>
  <c r="AO2" i="17"/>
  <c r="AO252" i="4"/>
  <c r="AO137" i="17"/>
  <c r="AO12" i="17"/>
  <c r="AO1142" i="2"/>
  <c r="AO606" i="2"/>
  <c r="AO2" i="14"/>
  <c r="AO52" i="14" s="1"/>
  <c r="AO246" i="4"/>
  <c r="AO320" i="4"/>
  <c r="AO2" i="4"/>
  <c r="AO2" i="9"/>
  <c r="AO2" i="12"/>
  <c r="AO191" i="4"/>
  <c r="AO2" i="7"/>
  <c r="AO197" i="4"/>
  <c r="AO2" i="10"/>
  <c r="AO2" i="8"/>
  <c r="AO117" i="8" s="1"/>
  <c r="AP9" i="10"/>
  <c r="AN419" i="2"/>
  <c r="AN538" i="2"/>
  <c r="AN539" i="2" s="1"/>
  <c r="AN544" i="2" s="1"/>
  <c r="AN944" i="2"/>
  <c r="AN422" i="2"/>
  <c r="AN423" i="2" s="1"/>
  <c r="AN429" i="2" s="1"/>
  <c r="AN28" i="2"/>
  <c r="AN29" i="2" s="1"/>
  <c r="AN33" i="2"/>
  <c r="AN228" i="2"/>
  <c r="AN434" i="2"/>
  <c r="AN62" i="2"/>
  <c r="AN425" i="2"/>
  <c r="AN426" i="2" s="1"/>
  <c r="AN430" i="2" s="1"/>
  <c r="AN528" i="2"/>
  <c r="AN542" i="2" s="1"/>
  <c r="AM444" i="7"/>
  <c r="AM428" i="7"/>
  <c r="AM436" i="7"/>
  <c r="AM419" i="7"/>
  <c r="AM906" i="2" s="1"/>
  <c r="AM212" i="7"/>
  <c r="AM218" i="7" s="1"/>
  <c r="AN1143" i="2"/>
  <c r="AN1148" i="2" s="1"/>
  <c r="AN1144" i="2"/>
  <c r="AN1149" i="2" s="1"/>
  <c r="AN1145" i="2"/>
  <c r="AN1150" i="2" s="1"/>
  <c r="AM111" i="2"/>
  <c r="AM113" i="2" s="1"/>
  <c r="AM116" i="2" s="1"/>
  <c r="AM64" i="2"/>
  <c r="AM67" i="2" s="1"/>
  <c r="AO29" i="10" l="1"/>
  <c r="AO30" i="10"/>
  <c r="AO31" i="10" s="1"/>
  <c r="AO61" i="10" s="1"/>
  <c r="AO65" i="10" s="1"/>
  <c r="AO67" i="10" s="1"/>
  <c r="AN954" i="2"/>
  <c r="AN956" i="2" s="1"/>
  <c r="AN898" i="2"/>
  <c r="AN900" i="2" s="1"/>
  <c r="AN683" i="2"/>
  <c r="AM954" i="2"/>
  <c r="AM956" i="2" s="1"/>
  <c r="AM898" i="2"/>
  <c r="AM900" i="2" s="1"/>
  <c r="AP28" i="10"/>
  <c r="AP682" i="2"/>
  <c r="AP55" i="10"/>
  <c r="AO12" i="2"/>
  <c r="Z937" i="2"/>
  <c r="Y932" i="2"/>
  <c r="Y1021" i="2" s="1"/>
  <c r="Y1134" i="2" s="1"/>
  <c r="Y79" i="16" s="1"/>
  <c r="AA911" i="2"/>
  <c r="Y148" i="17"/>
  <c r="Y46" i="16"/>
  <c r="AO446" i="7"/>
  <c r="AO449" i="7" s="1"/>
  <c r="AP445" i="7" s="1"/>
  <c r="Z918" i="2"/>
  <c r="Z761" i="2"/>
  <c r="AA420" i="7"/>
  <c r="AA425" i="7" s="1"/>
  <c r="AQ430" i="7"/>
  <c r="AQ433" i="7" s="1"/>
  <c r="AR429" i="7" s="1"/>
  <c r="AP438" i="7"/>
  <c r="AP441" i="7" s="1"/>
  <c r="AQ437" i="7" s="1"/>
  <c r="AO74" i="14"/>
  <c r="AO41" i="14"/>
  <c r="AM555" i="2"/>
  <c r="AQ632" i="2"/>
  <c r="AS124" i="2"/>
  <c r="AR20" i="4"/>
  <c r="AR632" i="2" s="1"/>
  <c r="AS20" i="4"/>
  <c r="AS632" i="2" s="1"/>
  <c r="AS512" i="2"/>
  <c r="AN318" i="2"/>
  <c r="AN319" i="2" s="1"/>
  <c r="AN256" i="2" s="1"/>
  <c r="AN257" i="2" s="1"/>
  <c r="AN263" i="2" s="1"/>
  <c r="AO217" i="2"/>
  <c r="AO234" i="2"/>
  <c r="AN212" i="7"/>
  <c r="AN218" i="7" s="1"/>
  <c r="U594" i="2"/>
  <c r="U602" i="2" s="1"/>
  <c r="U603" i="2" s="1"/>
  <c r="AN545" i="2"/>
  <c r="AN266" i="7"/>
  <c r="AN265" i="7"/>
  <c r="AN111" i="2"/>
  <c r="AN113" i="2" s="1"/>
  <c r="AN116" i="2" s="1"/>
  <c r="AN64" i="2"/>
  <c r="AN67" i="2" s="1"/>
  <c r="AN420" i="2"/>
  <c r="AN428" i="2" s="1"/>
  <c r="AN431" i="2" s="1"/>
  <c r="AN439" i="2" s="1"/>
  <c r="AO1143" i="2"/>
  <c r="AO1148" i="2" s="1"/>
  <c r="AO1144" i="2"/>
  <c r="AO1149" i="2" s="1"/>
  <c r="AO1145" i="2"/>
  <c r="AP1033" i="2"/>
  <c r="AP2" i="16"/>
  <c r="AP964" i="2"/>
  <c r="AP578" i="2"/>
  <c r="AP579" i="2" s="1"/>
  <c r="AP311" i="4"/>
  <c r="AP91" i="17"/>
  <c r="AP53" i="17"/>
  <c r="AP2" i="2"/>
  <c r="AP320" i="4"/>
  <c r="AP2" i="17"/>
  <c r="AP137" i="17"/>
  <c r="AP12" i="17"/>
  <c r="AP1142" i="2"/>
  <c r="AP606" i="2"/>
  <c r="AP2" i="14"/>
  <c r="AP52" i="14" s="1"/>
  <c r="AP246" i="4"/>
  <c r="AP2" i="4"/>
  <c r="AP2" i="9"/>
  <c r="AP252" i="4"/>
  <c r="AP2" i="12"/>
  <c r="AP191" i="4"/>
  <c r="AP197" i="4"/>
  <c r="AP2" i="7"/>
  <c r="AP2" i="8"/>
  <c r="AP117" i="8" s="1"/>
  <c r="AP2" i="10"/>
  <c r="AQ9" i="10"/>
  <c r="AO200" i="7"/>
  <c r="AO201" i="7" s="1"/>
  <c r="AO209" i="7" s="1"/>
  <c r="AO263" i="7"/>
  <c r="AO203" i="7"/>
  <c r="AO204" i="7" s="1"/>
  <c r="AO210" i="7" s="1"/>
  <c r="AO292" i="7"/>
  <c r="AO287" i="7"/>
  <c r="AO288" i="7" s="1"/>
  <c r="AO295" i="7" s="1"/>
  <c r="AO206" i="7"/>
  <c r="AO207" i="7" s="1"/>
  <c r="AO211" i="7" s="1"/>
  <c r="AO45" i="7"/>
  <c r="AO37" i="7"/>
  <c r="AO538" i="2"/>
  <c r="AO539" i="2" s="1"/>
  <c r="AO544" i="2" s="1"/>
  <c r="AO28" i="2"/>
  <c r="AO29" i="2" s="1"/>
  <c r="AO62" i="2"/>
  <c r="AO944" i="2"/>
  <c r="AO528" i="2"/>
  <c r="AO542" i="2" s="1"/>
  <c r="AO422" i="2"/>
  <c r="AO423" i="2" s="1"/>
  <c r="AO429" i="2" s="1"/>
  <c r="AO434" i="2"/>
  <c r="AO425" i="2"/>
  <c r="AO426" i="2" s="1"/>
  <c r="AO430" i="2" s="1"/>
  <c r="AO228" i="2"/>
  <c r="AO419" i="2"/>
  <c r="AO33" i="2"/>
  <c r="AN133" i="7"/>
  <c r="AN428" i="7"/>
  <c r="AN444" i="7"/>
  <c r="AN419" i="7"/>
  <c r="AN906" i="2" s="1"/>
  <c r="AN436" i="7"/>
  <c r="AO954" i="2" l="1"/>
  <c r="AO956" i="2" s="1"/>
  <c r="AO898" i="2"/>
  <c r="AO900" i="2" s="1"/>
  <c r="AQ682" i="2"/>
  <c r="AQ55" i="10"/>
  <c r="AQ28" i="10"/>
  <c r="AP29" i="10"/>
  <c r="AP30" i="10"/>
  <c r="AO683" i="2"/>
  <c r="AP12" i="2"/>
  <c r="AA924" i="2"/>
  <c r="AA925" i="2" s="1"/>
  <c r="AA937" i="2" s="1"/>
  <c r="AA929" i="2"/>
  <c r="AA912" i="2"/>
  <c r="AB907" i="2" s="1"/>
  <c r="AB908" i="2" s="1"/>
  <c r="AP446" i="7"/>
  <c r="AP449" i="7" s="1"/>
  <c r="AQ445" i="7" s="1"/>
  <c r="AQ438" i="7"/>
  <c r="AQ441" i="7" s="1"/>
  <c r="AR437" i="7" s="1"/>
  <c r="Z1096" i="2"/>
  <c r="Z931" i="2"/>
  <c r="Z1006" i="2"/>
  <c r="AR430" i="7"/>
  <c r="AR433" i="7" s="1"/>
  <c r="AS429" i="7" s="1"/>
  <c r="AP74" i="14"/>
  <c r="AP41" i="14"/>
  <c r="AN555" i="2"/>
  <c r="AR563" i="2"/>
  <c r="AS563" i="2"/>
  <c r="AO318" i="2"/>
  <c r="AO319" i="2" s="1"/>
  <c r="AO256" i="2" s="1"/>
  <c r="AO257" i="2" s="1"/>
  <c r="AO263" i="2" s="1"/>
  <c r="AP217" i="2"/>
  <c r="AP234" i="2"/>
  <c r="U595" i="2"/>
  <c r="V590" i="2" s="1"/>
  <c r="V593" i="2" s="1"/>
  <c r="V597" i="2" s="1"/>
  <c r="V624" i="2" s="1"/>
  <c r="U616" i="2"/>
  <c r="U609" i="2"/>
  <c r="AO420" i="2"/>
  <c r="AO428" i="2" s="1"/>
  <c r="AO431" i="2" s="1"/>
  <c r="AO439" i="2" s="1"/>
  <c r="AO111" i="2"/>
  <c r="AO113" i="2" s="1"/>
  <c r="AO116" i="2" s="1"/>
  <c r="AO64" i="2"/>
  <c r="AO67" i="2" s="1"/>
  <c r="AO266" i="7"/>
  <c r="AO265" i="7"/>
  <c r="AO212" i="7"/>
  <c r="AO218" i="7" s="1"/>
  <c r="AP528" i="2"/>
  <c r="AP542" i="2" s="1"/>
  <c r="AP419" i="2"/>
  <c r="AP422" i="2"/>
  <c r="AP423" i="2" s="1"/>
  <c r="AP429" i="2" s="1"/>
  <c r="AP538" i="2"/>
  <c r="AP539" i="2" s="1"/>
  <c r="AP544" i="2" s="1"/>
  <c r="AP434" i="2"/>
  <c r="AP228" i="2"/>
  <c r="AP28" i="2"/>
  <c r="AP29" i="2" s="1"/>
  <c r="AP62" i="2"/>
  <c r="AP33" i="2"/>
  <c r="AP944" i="2"/>
  <c r="AP425" i="2"/>
  <c r="AP426" i="2" s="1"/>
  <c r="AP430" i="2" s="1"/>
  <c r="AP45" i="7"/>
  <c r="AP200" i="7"/>
  <c r="AP201" i="7" s="1"/>
  <c r="AP209" i="7" s="1"/>
  <c r="AP203" i="7"/>
  <c r="AP204" i="7" s="1"/>
  <c r="AP210" i="7" s="1"/>
  <c r="AP292" i="7"/>
  <c r="AP263" i="7"/>
  <c r="AP37" i="7"/>
  <c r="AP206" i="7"/>
  <c r="AP207" i="7" s="1"/>
  <c r="AP211" i="7" s="1"/>
  <c r="AP287" i="7"/>
  <c r="AP288" i="7" s="1"/>
  <c r="AP295" i="7" s="1"/>
  <c r="AO133" i="7"/>
  <c r="AP1143" i="2"/>
  <c r="AP1148" i="2" s="1"/>
  <c r="AP1144" i="2"/>
  <c r="AP1149" i="2" s="1"/>
  <c r="AP1145" i="2"/>
  <c r="AP1150" i="2" s="1"/>
  <c r="AO545" i="2"/>
  <c r="AO428" i="7"/>
  <c r="AO444" i="7"/>
  <c r="AO419" i="7"/>
  <c r="AO906" i="2" s="1"/>
  <c r="AO436" i="7"/>
  <c r="AQ1033" i="2"/>
  <c r="AQ606" i="2"/>
  <c r="AQ2" i="14"/>
  <c r="AQ52" i="14" s="1"/>
  <c r="AQ246" i="4"/>
  <c r="AQ2" i="16"/>
  <c r="AQ964" i="2"/>
  <c r="AQ578" i="2"/>
  <c r="AQ579" i="2" s="1"/>
  <c r="AQ320" i="4"/>
  <c r="AQ311" i="4"/>
  <c r="AQ91" i="17"/>
  <c r="AQ53" i="17"/>
  <c r="AQ2" i="2"/>
  <c r="AQ2" i="17"/>
  <c r="AQ252" i="4"/>
  <c r="AQ137" i="17"/>
  <c r="AQ12" i="17"/>
  <c r="AQ1142" i="2"/>
  <c r="AQ197" i="4"/>
  <c r="AQ2" i="7"/>
  <c r="AQ2" i="4"/>
  <c r="AQ2" i="9"/>
  <c r="AQ2" i="12"/>
  <c r="AQ191" i="4"/>
  <c r="AQ2" i="8"/>
  <c r="AQ117" i="8" s="1"/>
  <c r="AQ2" i="10"/>
  <c r="AR9" i="10"/>
  <c r="AO1150" i="2"/>
  <c r="AP683" i="2" l="1"/>
  <c r="AQ29" i="10"/>
  <c r="AQ30" i="10"/>
  <c r="AQ31" i="10" s="1"/>
  <c r="AQ61" i="10" s="1"/>
  <c r="AQ65" i="10" s="1"/>
  <c r="AQ67" i="10" s="1"/>
  <c r="AR55" i="10"/>
  <c r="AR28" i="10"/>
  <c r="AR682" i="2"/>
  <c r="AP31" i="10"/>
  <c r="AP61" i="10" s="1"/>
  <c r="AP65" i="10" s="1"/>
  <c r="AP67" i="10" s="1"/>
  <c r="AQ12" i="2"/>
  <c r="AA58" i="16"/>
  <c r="Z932" i="2"/>
  <c r="Z1021" i="2" s="1"/>
  <c r="Z1134" i="2" s="1"/>
  <c r="Z79" i="16" s="1"/>
  <c r="AB911" i="2"/>
  <c r="AB420" i="7"/>
  <c r="AB425" i="7" s="1"/>
  <c r="AA918" i="2"/>
  <c r="AA761" i="2"/>
  <c r="AR438" i="7"/>
  <c r="AR441" i="7" s="1"/>
  <c r="AS437" i="7" s="1"/>
  <c r="AS430" i="7"/>
  <c r="F430" i="7" s="1"/>
  <c r="AQ446" i="7"/>
  <c r="AQ449" i="7" s="1"/>
  <c r="AR445" i="7" s="1"/>
  <c r="Z46" i="16"/>
  <c r="Z148" i="17"/>
  <c r="AQ74" i="14"/>
  <c r="AQ41" i="14"/>
  <c r="AO555" i="2"/>
  <c r="AP318" i="2"/>
  <c r="AP319" i="2" s="1"/>
  <c r="AP256" i="2" s="1"/>
  <c r="AP257" i="2" s="1"/>
  <c r="AP263" i="2" s="1"/>
  <c r="AQ217" i="2"/>
  <c r="AQ234" i="2"/>
  <c r="AP545" i="2"/>
  <c r="V594" i="2"/>
  <c r="AP133" i="7"/>
  <c r="AQ1143" i="2"/>
  <c r="AQ1148" i="2" s="1"/>
  <c r="AQ1144" i="2"/>
  <c r="AQ1149" i="2" s="1"/>
  <c r="AQ1145" i="2"/>
  <c r="AQ287" i="7"/>
  <c r="AQ288" i="7" s="1"/>
  <c r="AQ295" i="7" s="1"/>
  <c r="AQ45" i="7"/>
  <c r="AQ200" i="7"/>
  <c r="AQ201" i="7" s="1"/>
  <c r="AQ209" i="7" s="1"/>
  <c r="AQ37" i="7"/>
  <c r="AQ263" i="7"/>
  <c r="AQ292" i="7"/>
  <c r="AQ203" i="7"/>
  <c r="AQ204" i="7" s="1"/>
  <c r="AQ210" i="7" s="1"/>
  <c r="AQ206" i="7"/>
  <c r="AQ207" i="7" s="1"/>
  <c r="AQ211" i="7" s="1"/>
  <c r="AR1033" i="2"/>
  <c r="AR137" i="17"/>
  <c r="AR12" i="17"/>
  <c r="AR1142" i="2"/>
  <c r="AR606" i="2"/>
  <c r="AR2" i="14"/>
  <c r="AR52" i="14" s="1"/>
  <c r="AR246" i="4"/>
  <c r="AR320" i="4"/>
  <c r="AR2" i="16"/>
  <c r="AR964" i="2"/>
  <c r="AR578" i="2"/>
  <c r="AR579" i="2" s="1"/>
  <c r="AR311" i="4"/>
  <c r="AR91" i="17"/>
  <c r="AR53" i="17"/>
  <c r="AR2" i="2"/>
  <c r="AR2" i="17"/>
  <c r="AR252" i="4"/>
  <c r="AR197" i="4"/>
  <c r="AR2" i="7"/>
  <c r="AR2" i="4"/>
  <c r="AR2" i="9"/>
  <c r="AR2" i="12"/>
  <c r="AR191" i="4"/>
  <c r="AR2" i="10"/>
  <c r="AR2" i="8"/>
  <c r="AR117" i="8" s="1"/>
  <c r="AS9" i="10"/>
  <c r="AP266" i="7"/>
  <c r="AP265" i="7"/>
  <c r="AP419" i="7"/>
  <c r="AP906" i="2" s="1"/>
  <c r="AP428" i="7"/>
  <c r="AP436" i="7"/>
  <c r="AP444" i="7"/>
  <c r="AP420" i="2"/>
  <c r="AP428" i="2" s="1"/>
  <c r="AP431" i="2" s="1"/>
  <c r="AP439" i="2" s="1"/>
  <c r="AP64" i="2"/>
  <c r="AP67" i="2" s="1"/>
  <c r="AP111" i="2"/>
  <c r="AP113" i="2" s="1"/>
  <c r="AP116" i="2" s="1"/>
  <c r="AQ422" i="2"/>
  <c r="AQ423" i="2" s="1"/>
  <c r="AQ429" i="2" s="1"/>
  <c r="AQ434" i="2"/>
  <c r="AQ538" i="2"/>
  <c r="AQ539" i="2" s="1"/>
  <c r="AQ544" i="2" s="1"/>
  <c r="AQ228" i="2"/>
  <c r="AQ28" i="2"/>
  <c r="AQ29" i="2" s="1"/>
  <c r="AQ944" i="2"/>
  <c r="AQ33" i="2"/>
  <c r="AQ425" i="2"/>
  <c r="AQ426" i="2" s="1"/>
  <c r="AQ430" i="2" s="1"/>
  <c r="AQ419" i="2"/>
  <c r="AQ528" i="2"/>
  <c r="AQ542" i="2" s="1"/>
  <c r="AQ62" i="2"/>
  <c r="AP212" i="7"/>
  <c r="AP218" i="7" s="1"/>
  <c r="AQ954" i="2" l="1"/>
  <c r="AQ956" i="2" s="1"/>
  <c r="AQ898" i="2"/>
  <c r="AQ900" i="2" s="1"/>
  <c r="AR29" i="10"/>
  <c r="AR30" i="10"/>
  <c r="AR31" i="10" s="1"/>
  <c r="AR61" i="10" s="1"/>
  <c r="AR65" i="10" s="1"/>
  <c r="AR67" i="10" s="1"/>
  <c r="AP954" i="2"/>
  <c r="AP956" i="2" s="1"/>
  <c r="AP898" i="2"/>
  <c r="AP900" i="2" s="1"/>
  <c r="AS55" i="10"/>
  <c r="AS28" i="10"/>
  <c r="AS682" i="2"/>
  <c r="F689" i="2" s="1" a="1"/>
  <c r="F689" i="2" s="1"/>
  <c r="AQ683" i="2"/>
  <c r="AR12" i="2"/>
  <c r="AB924" i="2"/>
  <c r="AB925" i="2" s="1"/>
  <c r="AB937" i="2" s="1"/>
  <c r="AB929" i="2"/>
  <c r="AB912" i="2"/>
  <c r="AC907" i="2" s="1"/>
  <c r="AC908" i="2" s="1"/>
  <c r="AS433" i="7"/>
  <c r="AR446" i="7"/>
  <c r="AR449" i="7" s="1"/>
  <c r="AS445" i="7" s="1"/>
  <c r="AA1006" i="2"/>
  <c r="AA1096" i="2"/>
  <c r="AA931" i="2"/>
  <c r="AS438" i="7"/>
  <c r="F438" i="7" s="1"/>
  <c r="AR74" i="14"/>
  <c r="AR41" i="14"/>
  <c r="AP555" i="2"/>
  <c r="AQ318" i="2"/>
  <c r="AQ319" i="2" s="1"/>
  <c r="AQ256" i="2" s="1"/>
  <c r="AQ257" i="2" s="1"/>
  <c r="AQ263" i="2" s="1"/>
  <c r="AR217" i="2"/>
  <c r="AR234" i="2"/>
  <c r="AQ212" i="7"/>
  <c r="AQ218" i="7" s="1"/>
  <c r="V602" i="2"/>
  <c r="V603" i="2" s="1"/>
  <c r="V595" i="2"/>
  <c r="W590" i="2" s="1"/>
  <c r="AQ1150" i="2"/>
  <c r="AS1033" i="2"/>
  <c r="AS252" i="4"/>
  <c r="AS137" i="17"/>
  <c r="AS12" i="17"/>
  <c r="AS1142" i="2"/>
  <c r="AS2" i="2"/>
  <c r="AS320" i="4"/>
  <c r="AS2" i="17"/>
  <c r="AS606" i="2"/>
  <c r="AS2" i="14"/>
  <c r="AS52" i="14" s="1"/>
  <c r="AS964" i="2"/>
  <c r="AS578" i="2"/>
  <c r="AS579" i="2" s="1"/>
  <c r="AS2" i="16"/>
  <c r="AS91" i="17"/>
  <c r="AS53" i="17"/>
  <c r="AS311" i="4"/>
  <c r="AS191" i="4"/>
  <c r="AS197" i="4"/>
  <c r="AS2" i="7"/>
  <c r="AS2" i="4"/>
  <c r="AS2" i="9"/>
  <c r="AS246" i="4"/>
  <c r="AS2" i="12"/>
  <c r="AS2" i="10"/>
  <c r="AS2" i="8"/>
  <c r="AS117" i="8" s="1"/>
  <c r="AK119" i="8" s="1"/>
  <c r="AQ133" i="7"/>
  <c r="AQ420" i="2"/>
  <c r="AQ428" i="2" s="1"/>
  <c r="AQ431" i="2" s="1"/>
  <c r="AQ439" i="2" s="1"/>
  <c r="AR1143" i="2"/>
  <c r="AR1148" i="2" s="1"/>
  <c r="AR1144" i="2"/>
  <c r="AR1149" i="2" s="1"/>
  <c r="AR1145" i="2"/>
  <c r="AR1150" i="2" s="1"/>
  <c r="AR206" i="7"/>
  <c r="AR207" i="7" s="1"/>
  <c r="AR211" i="7" s="1"/>
  <c r="AR200" i="7"/>
  <c r="AR201" i="7" s="1"/>
  <c r="AR209" i="7" s="1"/>
  <c r="AR37" i="7"/>
  <c r="AR45" i="7"/>
  <c r="AR287" i="7"/>
  <c r="AR288" i="7" s="1"/>
  <c r="AR295" i="7" s="1"/>
  <c r="AR263" i="7"/>
  <c r="AR203" i="7"/>
  <c r="AR204" i="7" s="1"/>
  <c r="AR210" i="7" s="1"/>
  <c r="AR292" i="7"/>
  <c r="AQ111" i="2"/>
  <c r="AQ113" i="2" s="1"/>
  <c r="AQ116" i="2" s="1"/>
  <c r="AQ64" i="2"/>
  <c r="AQ67" i="2" s="1"/>
  <c r="AR422" i="2"/>
  <c r="AR423" i="2" s="1"/>
  <c r="AR429" i="2" s="1"/>
  <c r="AR944" i="2"/>
  <c r="AR434" i="2"/>
  <c r="AR228" i="2"/>
  <c r="AR538" i="2"/>
  <c r="AR539" i="2" s="1"/>
  <c r="AR544" i="2" s="1"/>
  <c r="AR33" i="2"/>
  <c r="AR419" i="2"/>
  <c r="AR28" i="2"/>
  <c r="AR29" i="2" s="1"/>
  <c r="AR425" i="2"/>
  <c r="AR426" i="2" s="1"/>
  <c r="AR430" i="2" s="1"/>
  <c r="AR528" i="2"/>
  <c r="AR542" i="2" s="1"/>
  <c r="AR62" i="2"/>
  <c r="AQ419" i="7"/>
  <c r="AQ906" i="2" s="1"/>
  <c r="AQ444" i="7"/>
  <c r="AQ436" i="7"/>
  <c r="AQ428" i="7"/>
  <c r="AQ545" i="2"/>
  <c r="AQ266" i="7"/>
  <c r="AQ265" i="7"/>
  <c r="F41" i="10" l="1" a="1"/>
  <c r="F41" i="10" s="1"/>
  <c r="AR119" i="8"/>
  <c r="AR121" i="8" s="1"/>
  <c r="AR696" i="2" s="1"/>
  <c r="AP119" i="8"/>
  <c r="AP121" i="8" s="1"/>
  <c r="AP696" i="2" s="1"/>
  <c r="AO119" i="8"/>
  <c r="AO121" i="8" s="1"/>
  <c r="AO696" i="2" s="1"/>
  <c r="AR954" i="2"/>
  <c r="AR956" i="2" s="1"/>
  <c r="AR898" i="2"/>
  <c r="AR900" i="2" s="1"/>
  <c r="AR683" i="2"/>
  <c r="AS29" i="10"/>
  <c r="AS30" i="10"/>
  <c r="AS31" i="10" s="1"/>
  <c r="AS61" i="10" s="1"/>
  <c r="AS65" i="10" s="1"/>
  <c r="AS67" i="10" s="1"/>
  <c r="F36" i="10" a="1"/>
  <c r="F36" i="10" s="1"/>
  <c r="F48" i="10" a="1"/>
  <c r="F48" i="10" s="1"/>
  <c r="AR50" i="10" s="1"/>
  <c r="AS12" i="2"/>
  <c r="F12" i="2" s="1"/>
  <c r="AS18" i="2" s="1"/>
  <c r="AB58" i="16"/>
  <c r="AA932" i="2"/>
  <c r="AA1021" i="2" s="1"/>
  <c r="AA1134" i="2" s="1"/>
  <c r="AA79" i="16" s="1"/>
  <c r="AC911" i="2"/>
  <c r="AB918" i="2"/>
  <c r="AB761" i="2"/>
  <c r="AA46" i="16"/>
  <c r="AA148" i="17"/>
  <c r="AS446" i="7"/>
  <c r="F446" i="7" s="1"/>
  <c r="AS441" i="7"/>
  <c r="AC420" i="7"/>
  <c r="AC425" i="7" s="1"/>
  <c r="AS74" i="14"/>
  <c r="AS41" i="14"/>
  <c r="AQ555" i="2"/>
  <c r="AR318" i="2"/>
  <c r="AR319" i="2" s="1"/>
  <c r="AR256" i="2" s="1"/>
  <c r="AR257" i="2" s="1"/>
  <c r="AR263" i="2" s="1"/>
  <c r="AS217" i="2"/>
  <c r="F222" i="2" s="1"/>
  <c r="AS234" i="2"/>
  <c r="AR212" i="7"/>
  <c r="AR218" i="7" s="1"/>
  <c r="W593" i="2"/>
  <c r="W597" i="2" s="1"/>
  <c r="W624" i="2" s="1"/>
  <c r="V616" i="2"/>
  <c r="V609" i="2"/>
  <c r="AR111" i="2"/>
  <c r="AR113" i="2" s="1"/>
  <c r="AR116" i="2" s="1"/>
  <c r="AR64" i="2"/>
  <c r="AR67" i="2" s="1"/>
  <c r="AS228" i="2"/>
  <c r="AS33" i="2"/>
  <c r="AS62" i="2"/>
  <c r="AS528" i="2"/>
  <c r="AS538" i="2"/>
  <c r="AS539" i="2" s="1"/>
  <c r="AS434" i="2"/>
  <c r="AS422" i="2"/>
  <c r="AS423" i="2" s="1"/>
  <c r="AS429" i="2" s="1"/>
  <c r="AS425" i="2"/>
  <c r="AS426" i="2" s="1"/>
  <c r="AS430" i="2" s="1"/>
  <c r="AS28" i="2"/>
  <c r="AS29" i="2" s="1"/>
  <c r="F29" i="2" s="1"/>
  <c r="F32" i="2" s="1"/>
  <c r="AS944" i="2"/>
  <c r="AS419" i="2"/>
  <c r="AS1143" i="2"/>
  <c r="AS1144" i="2"/>
  <c r="AS1145" i="2"/>
  <c r="AS206" i="7"/>
  <c r="AS207" i="7" s="1"/>
  <c r="AS211" i="7" s="1"/>
  <c r="AS37" i="7"/>
  <c r="AO40" i="7" s="1"/>
  <c r="AS45" i="7"/>
  <c r="AO47" i="7" s="1"/>
  <c r="AO60" i="7" s="1"/>
  <c r="AS200" i="7"/>
  <c r="AS201" i="7" s="1"/>
  <c r="AS209" i="7" s="1"/>
  <c r="AS203" i="7"/>
  <c r="AS204" i="7" s="1"/>
  <c r="AS210" i="7" s="1"/>
  <c r="AS263" i="7"/>
  <c r="AS287" i="7"/>
  <c r="AS288" i="7" s="1"/>
  <c r="AS295" i="7" s="1"/>
  <c r="AS292" i="7"/>
  <c r="AP296" i="7" s="1"/>
  <c r="AR133" i="7"/>
  <c r="AK135" i="7" s="1"/>
  <c r="AR420" i="2"/>
  <c r="AR428" i="2" s="1"/>
  <c r="AR431" i="2" s="1"/>
  <c r="AR439" i="2" s="1"/>
  <c r="AR419" i="7"/>
  <c r="AR906" i="2" s="1"/>
  <c r="AR428" i="7"/>
  <c r="AR436" i="7"/>
  <c r="AR444" i="7"/>
  <c r="AR296" i="7"/>
  <c r="AS119" i="8"/>
  <c r="AS121" i="8" s="1"/>
  <c r="AS696" i="2" s="1"/>
  <c r="M119" i="8"/>
  <c r="M121" i="8" s="1"/>
  <c r="M696" i="2" s="1"/>
  <c r="K119" i="8"/>
  <c r="L119" i="8"/>
  <c r="L121" i="8" s="1"/>
  <c r="L696" i="2" s="1"/>
  <c r="O119" i="8"/>
  <c r="O121" i="8" s="1"/>
  <c r="O696" i="2" s="1"/>
  <c r="N119" i="8"/>
  <c r="N121" i="8" s="1"/>
  <c r="N696" i="2" s="1"/>
  <c r="P119" i="8"/>
  <c r="P121" i="8" s="1"/>
  <c r="P696" i="2" s="1"/>
  <c r="S119" i="8"/>
  <c r="S121" i="8" s="1"/>
  <c r="S696" i="2" s="1"/>
  <c r="Q119" i="8"/>
  <c r="Q121" i="8" s="1"/>
  <c r="Q696" i="2" s="1"/>
  <c r="R119" i="8"/>
  <c r="R121" i="8" s="1"/>
  <c r="R696" i="2" s="1"/>
  <c r="U119" i="8"/>
  <c r="U121" i="8" s="1"/>
  <c r="U696" i="2" s="1"/>
  <c r="T119" i="8"/>
  <c r="T121" i="8" s="1"/>
  <c r="T696" i="2" s="1"/>
  <c r="V119" i="8"/>
  <c r="W119" i="8"/>
  <c r="X119" i="8"/>
  <c r="Y119" i="8"/>
  <c r="AC119" i="8"/>
  <c r="AC121" i="8" s="1"/>
  <c r="AC696" i="2" s="1"/>
  <c r="Z119" i="8"/>
  <c r="AA119" i="8"/>
  <c r="AB119" i="8"/>
  <c r="AH119" i="8"/>
  <c r="AH121" i="8" s="1"/>
  <c r="AH696" i="2" s="1"/>
  <c r="AD119" i="8"/>
  <c r="AD121" i="8" s="1"/>
  <c r="AD696" i="2" s="1"/>
  <c r="AF119" i="8"/>
  <c r="AF121" i="8" s="1"/>
  <c r="AF696" i="2" s="1"/>
  <c r="AE119" i="8"/>
  <c r="AE121" i="8" s="1"/>
  <c r="AE696" i="2" s="1"/>
  <c r="AG119" i="8"/>
  <c r="AG121" i="8" s="1"/>
  <c r="AG696" i="2" s="1"/>
  <c r="AJ119" i="8"/>
  <c r="AI119" i="8"/>
  <c r="AI121" i="8" s="1"/>
  <c r="AI696" i="2" s="1"/>
  <c r="AM119" i="8"/>
  <c r="AM121" i="8" s="1"/>
  <c r="AM696" i="2" s="1"/>
  <c r="AQ119" i="8"/>
  <c r="AQ121" i="8" s="1"/>
  <c r="AQ696" i="2" s="1"/>
  <c r="AL119" i="8"/>
  <c r="AL121" i="8" s="1"/>
  <c r="AL696" i="2" s="1"/>
  <c r="F193" i="4" a="1"/>
  <c r="F193" i="4" s="1"/>
  <c r="F1081" i="2" a="1"/>
  <c r="F1081" i="2" s="1"/>
  <c r="C143" i="18" s="1"/>
  <c r="G1116" i="2"/>
  <c r="D154" i="18" s="1"/>
  <c r="F1116" i="2" a="1"/>
  <c r="F1116" i="2" s="1"/>
  <c r="C154" i="18" s="1"/>
  <c r="F1119" i="2" a="1"/>
  <c r="F1119" i="2" s="1"/>
  <c r="C157" i="18" s="1"/>
  <c r="F1115" i="2" a="1"/>
  <c r="F1115" i="2" s="1"/>
  <c r="C153" i="18" s="1"/>
  <c r="F1073" i="2" a="1"/>
  <c r="F1073" i="2" s="1"/>
  <c r="C135" i="18" s="1"/>
  <c r="AR40" i="7"/>
  <c r="AR42" i="7"/>
  <c r="AR53" i="7" s="1"/>
  <c r="AR84" i="2" s="1"/>
  <c r="AR90" i="2" s="1"/>
  <c r="AR356" i="2" s="1"/>
  <c r="AR41" i="7"/>
  <c r="AR52" i="7" s="1"/>
  <c r="AR83" i="2" s="1"/>
  <c r="AR89" i="2" s="1"/>
  <c r="AR352" i="2" s="1"/>
  <c r="AO41" i="7"/>
  <c r="AO52" i="7" s="1"/>
  <c r="AO83" i="2" s="1"/>
  <c r="AO89" i="2" s="1"/>
  <c r="AO352" i="2" s="1"/>
  <c r="AO42" i="7"/>
  <c r="AO53" i="7" s="1"/>
  <c r="AO84" i="2" s="1"/>
  <c r="AO90" i="2" s="1"/>
  <c r="AO356" i="2" s="1"/>
  <c r="AL40" i="7"/>
  <c r="AK41" i="7"/>
  <c r="AN42" i="7"/>
  <c r="AN53" i="7" s="1"/>
  <c r="AN84" i="2" s="1"/>
  <c r="AN90" i="2" s="1"/>
  <c r="AN356" i="2" s="1"/>
  <c r="AR545" i="2"/>
  <c r="AR266" i="7"/>
  <c r="AR265" i="7"/>
  <c r="AN39" i="7"/>
  <c r="AN50" i="7" s="1"/>
  <c r="AQ42" i="7"/>
  <c r="AQ53" i="7" s="1"/>
  <c r="AQ84" i="2" s="1"/>
  <c r="AQ90" i="2" s="1"/>
  <c r="AQ356" i="2" s="1"/>
  <c r="AN119" i="8"/>
  <c r="AN121" i="8" s="1"/>
  <c r="AN696" i="2" s="1"/>
  <c r="AP39" i="7"/>
  <c r="AP50" i="7" s="1"/>
  <c r="AP40" i="7"/>
  <c r="AS43" i="10" l="1"/>
  <c r="AB43" i="10"/>
  <c r="AC43" i="10"/>
  <c r="AD43" i="10"/>
  <c r="AE43" i="10"/>
  <c r="AF43" i="10"/>
  <c r="AG43" i="10"/>
  <c r="AH43" i="10"/>
  <c r="AI43" i="10"/>
  <c r="AJ43" i="10"/>
  <c r="AK43" i="10"/>
  <c r="AL43" i="10"/>
  <c r="AM43" i="10"/>
  <c r="AN43" i="10"/>
  <c r="AO43" i="10"/>
  <c r="AP43" i="10"/>
  <c r="AQ43" i="10"/>
  <c r="AR43" i="10"/>
  <c r="AL296" i="7"/>
  <c r="AJ296" i="7"/>
  <c r="AN296" i="7"/>
  <c r="AL47" i="7"/>
  <c r="AL60" i="7" s="1"/>
  <c r="AL109" i="2" s="1"/>
  <c r="AS38" i="10"/>
  <c r="AR47" i="7"/>
  <c r="AR60" i="7" s="1"/>
  <c r="AS954" i="2"/>
  <c r="AS956" i="2" s="1"/>
  <c r="AS898" i="2"/>
  <c r="AS900" i="2" s="1"/>
  <c r="AS393" i="2"/>
  <c r="AS249" i="4"/>
  <c r="AS633" i="2"/>
  <c r="AS635" i="2" s="1"/>
  <c r="AS641" i="2" s="1"/>
  <c r="AS566" i="2"/>
  <c r="AS581" i="2" s="1"/>
  <c r="AS50" i="10"/>
  <c r="AS683" i="2"/>
  <c r="AN47" i="7"/>
  <c r="AN60" i="7" s="1"/>
  <c r="AN106" i="7" s="1"/>
  <c r="AN108" i="7" s="1"/>
  <c r="AR43" i="7"/>
  <c r="AR54" i="7" s="1"/>
  <c r="AR85" i="2" s="1"/>
  <c r="AR91" i="2" s="1"/>
  <c r="AR360" i="2" s="1"/>
  <c r="K50" i="10"/>
  <c r="AV50" i="10"/>
  <c r="AT50" i="10"/>
  <c r="AU50" i="10"/>
  <c r="L50" i="10"/>
  <c r="M50" i="10"/>
  <c r="N50" i="10"/>
  <c r="O50" i="10"/>
  <c r="P50" i="10"/>
  <c r="Q50" i="10"/>
  <c r="R50" i="10"/>
  <c r="S50" i="10"/>
  <c r="T50" i="10"/>
  <c r="U50" i="10"/>
  <c r="V50" i="10"/>
  <c r="W50" i="10"/>
  <c r="X50" i="10"/>
  <c r="Y50" i="10"/>
  <c r="Z50" i="10"/>
  <c r="AA50" i="10"/>
  <c r="AB50" i="10"/>
  <c r="AC50" i="10"/>
  <c r="AD50" i="10"/>
  <c r="AE50" i="10"/>
  <c r="AF50" i="10"/>
  <c r="AG50" i="10"/>
  <c r="AH50" i="10"/>
  <c r="AI50" i="10"/>
  <c r="AJ50" i="10"/>
  <c r="AK50" i="10"/>
  <c r="AL50" i="10"/>
  <c r="AM50" i="10"/>
  <c r="AN50" i="10"/>
  <c r="AO50" i="10"/>
  <c r="AP50" i="10"/>
  <c r="AQ50" i="10"/>
  <c r="AR39" i="7"/>
  <c r="AR50" i="7" s="1"/>
  <c r="AE38" i="10"/>
  <c r="AF38" i="10"/>
  <c r="AG38" i="10"/>
  <c r="AH38" i="10"/>
  <c r="AI38" i="10"/>
  <c r="AJ38" i="10"/>
  <c r="AK38" i="10"/>
  <c r="AM38" i="10"/>
  <c r="AL38" i="10"/>
  <c r="AN38" i="10"/>
  <c r="AO38" i="10"/>
  <c r="AP38" i="10"/>
  <c r="AQ38" i="10"/>
  <c r="AR38" i="10"/>
  <c r="K18" i="2"/>
  <c r="L18" i="2"/>
  <c r="M18" i="2"/>
  <c r="N18" i="2"/>
  <c r="O18" i="2"/>
  <c r="P18" i="2"/>
  <c r="Q18" i="2"/>
  <c r="R18" i="2"/>
  <c r="S18" i="2"/>
  <c r="T18" i="2"/>
  <c r="U18" i="2"/>
  <c r="V18" i="2"/>
  <c r="W18" i="2"/>
  <c r="X18" i="2"/>
  <c r="Y18" i="2"/>
  <c r="Z18" i="2"/>
  <c r="AA18" i="2"/>
  <c r="AB18" i="2"/>
  <c r="AC18" i="2"/>
  <c r="AD18" i="2"/>
  <c r="AE18" i="2"/>
  <c r="AF18" i="2"/>
  <c r="AG18" i="2"/>
  <c r="AH18" i="2"/>
  <c r="AI18" i="2"/>
  <c r="AJ18" i="2"/>
  <c r="AK18" i="2"/>
  <c r="AL18" i="2"/>
  <c r="AM18" i="2"/>
  <c r="AN18" i="2"/>
  <c r="AO18" i="2"/>
  <c r="AP18" i="2"/>
  <c r="AQ18" i="2"/>
  <c r="AR18" i="2"/>
  <c r="AC924" i="2"/>
  <c r="AC925" i="2" s="1"/>
  <c r="AC937" i="2" s="1"/>
  <c r="AC929" i="2"/>
  <c r="AC912" i="2"/>
  <c r="AD907" i="2" s="1"/>
  <c r="AD908" i="2" s="1"/>
  <c r="AS449" i="7"/>
  <c r="AP135" i="7"/>
  <c r="AP140" i="7" s="1"/>
  <c r="AP136" i="7"/>
  <c r="AP153" i="7" s="1"/>
  <c r="AP499" i="2" s="1"/>
  <c r="AB1006" i="2"/>
  <c r="AB931" i="2"/>
  <c r="AB1096" i="2"/>
  <c r="AR555" i="2"/>
  <c r="AB239" i="2"/>
  <c r="AB357" i="2" s="1"/>
  <c r="AB358" i="2" s="1"/>
  <c r="AC239" i="2"/>
  <c r="AC357" i="2" s="1"/>
  <c r="F220" i="2"/>
  <c r="AS318" i="2"/>
  <c r="AS319" i="2" s="1"/>
  <c r="AS256" i="2" s="1"/>
  <c r="AS257" i="2" s="1"/>
  <c r="AS263" i="2" s="1"/>
  <c r="F223" i="2"/>
  <c r="F221" i="2"/>
  <c r="F219" i="2"/>
  <c r="V349" i="2"/>
  <c r="V350" i="2" s="1"/>
  <c r="X349" i="2"/>
  <c r="X350" i="2" s="1"/>
  <c r="W349" i="2"/>
  <c r="W350" i="2" s="1"/>
  <c r="Z349" i="2"/>
  <c r="Z350" i="2" s="1"/>
  <c r="Y349" i="2"/>
  <c r="Y350" i="2" s="1"/>
  <c r="K349" i="2"/>
  <c r="AA349" i="2"/>
  <c r="AA350" i="2" s="1"/>
  <c r="P349" i="2"/>
  <c r="L349" i="2"/>
  <c r="T349" i="2"/>
  <c r="R349" i="2"/>
  <c r="Q349" i="2"/>
  <c r="U349" i="2"/>
  <c r="N349" i="2"/>
  <c r="S349" i="2"/>
  <c r="O349" i="2"/>
  <c r="M349" i="2"/>
  <c r="W361" i="2"/>
  <c r="W362" i="2" s="1"/>
  <c r="V361" i="2"/>
  <c r="V362" i="2" s="1"/>
  <c r="Z361" i="2"/>
  <c r="Z362" i="2" s="1"/>
  <c r="X361" i="2"/>
  <c r="X362" i="2" s="1"/>
  <c r="K361" i="2"/>
  <c r="AA361" i="2"/>
  <c r="AA362" i="2" s="1"/>
  <c r="Y361" i="2"/>
  <c r="Y362" i="2" s="1"/>
  <c r="T361" i="2"/>
  <c r="U361" i="2"/>
  <c r="S361" i="2"/>
  <c r="O361" i="2"/>
  <c r="N361" i="2"/>
  <c r="R361" i="2"/>
  <c r="M361" i="2"/>
  <c r="P361" i="2"/>
  <c r="Q361" i="2"/>
  <c r="L361" i="2"/>
  <c r="V353" i="2"/>
  <c r="V354" i="2" s="1"/>
  <c r="X353" i="2"/>
  <c r="X354" i="2" s="1"/>
  <c r="Z353" i="2"/>
  <c r="Z354" i="2" s="1"/>
  <c r="W353" i="2"/>
  <c r="W354" i="2" s="1"/>
  <c r="Y353" i="2"/>
  <c r="Y354" i="2" s="1"/>
  <c r="K353" i="2"/>
  <c r="AA353" i="2"/>
  <c r="AA354" i="2" s="1"/>
  <c r="N353" i="2"/>
  <c r="P353" i="2"/>
  <c r="L353" i="2"/>
  <c r="S353" i="2"/>
  <c r="Q353" i="2"/>
  <c r="O353" i="2"/>
  <c r="M353" i="2"/>
  <c r="U353" i="2"/>
  <c r="R353" i="2"/>
  <c r="T353" i="2"/>
  <c r="W345" i="2"/>
  <c r="V345" i="2"/>
  <c r="Z345" i="2"/>
  <c r="Z346" i="2" s="1"/>
  <c r="X345" i="2"/>
  <c r="X346" i="2" s="1"/>
  <c r="Y345" i="2"/>
  <c r="Y346" i="2" s="1"/>
  <c r="AA345" i="2"/>
  <c r="AA346" i="2" s="1"/>
  <c r="K345" i="2"/>
  <c r="Q345" i="2"/>
  <c r="O345" i="2"/>
  <c r="M345" i="2"/>
  <c r="N345" i="2"/>
  <c r="R345" i="2"/>
  <c r="T345" i="2"/>
  <c r="U345" i="2"/>
  <c r="S345" i="2"/>
  <c r="P345" i="2"/>
  <c r="L345" i="2"/>
  <c r="V357" i="2"/>
  <c r="V358" i="2" s="1"/>
  <c r="Z357" i="2"/>
  <c r="Z358" i="2" s="1"/>
  <c r="X357" i="2"/>
  <c r="X358" i="2" s="1"/>
  <c r="W357" i="2"/>
  <c r="W358" i="2" s="1"/>
  <c r="K357" i="2"/>
  <c r="AA357" i="2"/>
  <c r="AA358" i="2" s="1"/>
  <c r="Y357" i="2"/>
  <c r="Y358" i="2" s="1"/>
  <c r="N357" i="2"/>
  <c r="R357" i="2"/>
  <c r="S357" i="2"/>
  <c r="P357" i="2"/>
  <c r="L357" i="2"/>
  <c r="Q357" i="2"/>
  <c r="O357" i="2"/>
  <c r="M357" i="2"/>
  <c r="U357" i="2"/>
  <c r="T357" i="2"/>
  <c r="W594" i="2"/>
  <c r="W602" i="2" s="1"/>
  <c r="W603" i="2" s="1"/>
  <c r="W616" i="2" s="1"/>
  <c r="AQ136" i="7"/>
  <c r="AQ153" i="7" s="1"/>
  <c r="AQ499" i="2" s="1"/>
  <c r="AN43" i="7"/>
  <c r="AN54" i="7" s="1"/>
  <c r="AN85" i="2" s="1"/>
  <c r="AN91" i="2" s="1"/>
  <c r="AN360" i="2" s="1"/>
  <c r="AL42" i="7"/>
  <c r="AL53" i="7" s="1"/>
  <c r="AL84" i="2" s="1"/>
  <c r="AL90" i="2" s="1"/>
  <c r="AL356" i="2" s="1"/>
  <c r="AN40" i="7"/>
  <c r="AN461" i="7" s="1"/>
  <c r="AN464" i="7" s="1"/>
  <c r="AQ41" i="7"/>
  <c r="AQ52" i="7" s="1"/>
  <c r="AQ83" i="2" s="1"/>
  <c r="AQ89" i="2" s="1"/>
  <c r="AQ352" i="2" s="1"/>
  <c r="AO43" i="7"/>
  <c r="AO54" i="7" s="1"/>
  <c r="AO85" i="2" s="1"/>
  <c r="AO91" i="2" s="1"/>
  <c r="AO360" i="2" s="1"/>
  <c r="AQ39" i="7"/>
  <c r="AQ50" i="7" s="1"/>
  <c r="AQ56" i="2" s="1"/>
  <c r="AP42" i="7"/>
  <c r="AP53" i="7" s="1"/>
  <c r="AP84" i="2" s="1"/>
  <c r="AP90" i="2" s="1"/>
  <c r="AP356" i="2" s="1"/>
  <c r="AM135" i="7"/>
  <c r="AM140" i="7" s="1"/>
  <c r="AK137" i="7"/>
  <c r="AL135" i="7"/>
  <c r="AL140" i="7" s="1"/>
  <c r="AL493" i="2" s="1"/>
  <c r="AO39" i="7"/>
  <c r="AO50" i="7" s="1"/>
  <c r="AQ135" i="7"/>
  <c r="AQ140" i="7" s="1"/>
  <c r="AQ493" i="2" s="1"/>
  <c r="AO51" i="7"/>
  <c r="AO461" i="7"/>
  <c r="AO464" i="7" s="1"/>
  <c r="AO109" i="2"/>
  <c r="AO106" i="7"/>
  <c r="AO108" i="7" s="1"/>
  <c r="AO115" i="2"/>
  <c r="AO117" i="2" s="1"/>
  <c r="AN115" i="2"/>
  <c r="AN117" i="2" s="1"/>
  <c r="AS542" i="2"/>
  <c r="I528" i="2"/>
  <c r="I542" i="2" s="1"/>
  <c r="V34" i="2"/>
  <c r="V37" i="2" s="1"/>
  <c r="V38" i="2" s="1"/>
  <c r="V47" i="2" s="1"/>
  <c r="V52" i="2" s="1"/>
  <c r="V329" i="2" s="1"/>
  <c r="W34" i="2"/>
  <c r="W37" i="2" s="1"/>
  <c r="W38" i="2" s="1"/>
  <c r="W47" i="2" s="1"/>
  <c r="W52" i="2" s="1"/>
  <c r="W329" i="2" s="1"/>
  <c r="X34" i="2"/>
  <c r="X37" i="2" s="1"/>
  <c r="X38" i="2" s="1"/>
  <c r="X47" i="2" s="1"/>
  <c r="X52" i="2" s="1"/>
  <c r="X329" i="2" s="1"/>
  <c r="Y34" i="2"/>
  <c r="Y37" i="2" s="1"/>
  <c r="Y38" i="2" s="1"/>
  <c r="Y47" i="2" s="1"/>
  <c r="Y52" i="2" s="1"/>
  <c r="Y329" i="2" s="1"/>
  <c r="Z34" i="2"/>
  <c r="Z37" i="2" s="1"/>
  <c r="Z38" i="2" s="1"/>
  <c r="Z47" i="2" s="1"/>
  <c r="Z52" i="2" s="1"/>
  <c r="Z329" i="2" s="1"/>
  <c r="AA34" i="2"/>
  <c r="AA37" i="2" s="1"/>
  <c r="AA38" i="2" s="1"/>
  <c r="AA47" i="2" s="1"/>
  <c r="AA52" i="2" s="1"/>
  <c r="AA329" i="2" s="1"/>
  <c r="AB34" i="2"/>
  <c r="AB37" i="2" s="1"/>
  <c r="AB38" i="2" s="1"/>
  <c r="AB47" i="2" s="1"/>
  <c r="AB52" i="2" s="1"/>
  <c r="AB329" i="2" s="1"/>
  <c r="AC34" i="2"/>
  <c r="AC37" i="2" s="1"/>
  <c r="AC38" i="2" s="1"/>
  <c r="AC47" i="2" s="1"/>
  <c r="AC52" i="2" s="1"/>
  <c r="AC329" i="2" s="1"/>
  <c r="AS111" i="2"/>
  <c r="AS113" i="2" s="1"/>
  <c r="AS116" i="2" s="1"/>
  <c r="AS64" i="2"/>
  <c r="AS67" i="2" s="1"/>
  <c r="AQ58" i="2"/>
  <c r="AQ86" i="7"/>
  <c r="AQ88" i="7" s="1"/>
  <c r="AQ100" i="7" s="1"/>
  <c r="AN78" i="7"/>
  <c r="AN80" i="7" s="1"/>
  <c r="AN98" i="7" s="1"/>
  <c r="AN56" i="2"/>
  <c r="AN66" i="2"/>
  <c r="AN68" i="2" s="1"/>
  <c r="AN81" i="2" s="1"/>
  <c r="AN87" i="2" s="1"/>
  <c r="AN344" i="2" s="1"/>
  <c r="AR86" i="7"/>
  <c r="AR88" i="7" s="1"/>
  <c r="AR100" i="7" s="1"/>
  <c r="AR58" i="2"/>
  <c r="AM47" i="7"/>
  <c r="AM60" i="7" s="1"/>
  <c r="AS212" i="7"/>
  <c r="AS218" i="7" s="1"/>
  <c r="AP41" i="7"/>
  <c r="AP52" i="7" s="1"/>
  <c r="AP83" i="2" s="1"/>
  <c r="AP89" i="2" s="1"/>
  <c r="AP352" i="2" s="1"/>
  <c r="AL39" i="7"/>
  <c r="AL50" i="7" s="1"/>
  <c r="AN59" i="2"/>
  <c r="AN90" i="7"/>
  <c r="AN92" i="7" s="1"/>
  <c r="AN101" i="7" s="1"/>
  <c r="I119" i="8"/>
  <c r="K121" i="8"/>
  <c r="AR115" i="2"/>
  <c r="AR117" i="2" s="1"/>
  <c r="AR106" i="7"/>
  <c r="AR108" i="7" s="1"/>
  <c r="AR109" i="2"/>
  <c r="AR51" i="7"/>
  <c r="AR82" i="2" s="1"/>
  <c r="AR88" i="2" s="1"/>
  <c r="AR348" i="2" s="1"/>
  <c r="AR461" i="7"/>
  <c r="AR464" i="7" s="1"/>
  <c r="AR137" i="7"/>
  <c r="AR154" i="7" s="1"/>
  <c r="AR135" i="7"/>
  <c r="AR140" i="7" s="1"/>
  <c r="AR136" i="7"/>
  <c r="AR153" i="7" s="1"/>
  <c r="AR499" i="2" s="1"/>
  <c r="L135" i="7"/>
  <c r="L140" i="7" s="1"/>
  <c r="K136" i="7"/>
  <c r="K153" i="7" s="1"/>
  <c r="K135" i="7"/>
  <c r="K140" i="7" s="1"/>
  <c r="K493" i="2" s="1"/>
  <c r="K137" i="7"/>
  <c r="K154" i="7" s="1"/>
  <c r="L137" i="7"/>
  <c r="L154" i="7" s="1"/>
  <c r="L136" i="7"/>
  <c r="L153" i="7" s="1"/>
  <c r="L499" i="2" s="1"/>
  <c r="M135" i="7"/>
  <c r="M140" i="7" s="1"/>
  <c r="M137" i="7"/>
  <c r="M154" i="7" s="1"/>
  <c r="M136" i="7"/>
  <c r="M153" i="7" s="1"/>
  <c r="M499" i="2" s="1"/>
  <c r="N136" i="7"/>
  <c r="N153" i="7" s="1"/>
  <c r="N499" i="2" s="1"/>
  <c r="O135" i="7"/>
  <c r="O140" i="7" s="1"/>
  <c r="N135" i="7"/>
  <c r="N140" i="7" s="1"/>
  <c r="O137" i="7"/>
  <c r="O154" i="7" s="1"/>
  <c r="N137" i="7"/>
  <c r="N154" i="7" s="1"/>
  <c r="O136" i="7"/>
  <c r="O153" i="7" s="1"/>
  <c r="O499" i="2" s="1"/>
  <c r="S136" i="7"/>
  <c r="S153" i="7" s="1"/>
  <c r="S499" i="2" s="1"/>
  <c r="P136" i="7"/>
  <c r="P153" i="7" s="1"/>
  <c r="P499" i="2" s="1"/>
  <c r="P137" i="7"/>
  <c r="P154" i="7" s="1"/>
  <c r="Q135" i="7"/>
  <c r="Q140" i="7" s="1"/>
  <c r="P135" i="7"/>
  <c r="P140" i="7" s="1"/>
  <c r="Q137" i="7"/>
  <c r="Q154" i="7" s="1"/>
  <c r="Q136" i="7"/>
  <c r="Q153" i="7" s="1"/>
  <c r="Q499" i="2" s="1"/>
  <c r="R135" i="7"/>
  <c r="R140" i="7" s="1"/>
  <c r="R136" i="7"/>
  <c r="R153" i="7" s="1"/>
  <c r="R499" i="2" s="1"/>
  <c r="R137" i="7"/>
  <c r="R154" i="7" s="1"/>
  <c r="S137" i="7"/>
  <c r="S154" i="7" s="1"/>
  <c r="U136" i="7"/>
  <c r="U153" i="7" s="1"/>
  <c r="U499" i="2" s="1"/>
  <c r="T136" i="7"/>
  <c r="T153" i="7" s="1"/>
  <c r="T499" i="2" s="1"/>
  <c r="S135" i="7"/>
  <c r="S140" i="7" s="1"/>
  <c r="T137" i="7"/>
  <c r="T154" i="7" s="1"/>
  <c r="W137" i="7"/>
  <c r="X135" i="7"/>
  <c r="V136" i="7"/>
  <c r="U137" i="7"/>
  <c r="U154" i="7" s="1"/>
  <c r="T135" i="7"/>
  <c r="T140" i="7" s="1"/>
  <c r="U135" i="7"/>
  <c r="U140" i="7" s="1"/>
  <c r="W135" i="7"/>
  <c r="X137" i="7"/>
  <c r="W136" i="7"/>
  <c r="V135" i="7"/>
  <c r="V137" i="7"/>
  <c r="X136" i="7"/>
  <c r="Y136" i="7"/>
  <c r="Y137" i="7"/>
  <c r="Z135" i="7"/>
  <c r="Y135" i="7"/>
  <c r="Z136" i="7"/>
  <c r="Z137" i="7"/>
  <c r="AA136" i="7"/>
  <c r="AA135" i="7"/>
  <c r="AA137" i="7"/>
  <c r="AB137" i="7"/>
  <c r="AB135" i="7"/>
  <c r="AD136" i="7"/>
  <c r="AD153" i="7" s="1"/>
  <c r="AD499" i="2" s="1"/>
  <c r="AB136" i="7"/>
  <c r="AC137" i="7"/>
  <c r="AC154" i="7" s="1"/>
  <c r="AC136" i="7"/>
  <c r="AC153" i="7" s="1"/>
  <c r="AC499" i="2" s="1"/>
  <c r="AD135" i="7"/>
  <c r="AD140" i="7" s="1"/>
  <c r="AC135" i="7"/>
  <c r="AC140" i="7" s="1"/>
  <c r="AG135" i="7"/>
  <c r="AG140" i="7" s="1"/>
  <c r="AD137" i="7"/>
  <c r="AD154" i="7" s="1"/>
  <c r="AE136" i="7"/>
  <c r="AE153" i="7" s="1"/>
  <c r="AE499" i="2" s="1"/>
  <c r="AG136" i="7"/>
  <c r="AG153" i="7" s="1"/>
  <c r="AG499" i="2" s="1"/>
  <c r="AE135" i="7"/>
  <c r="AE140" i="7" s="1"/>
  <c r="AE137" i="7"/>
  <c r="AE154" i="7" s="1"/>
  <c r="AF135" i="7"/>
  <c r="AF140" i="7" s="1"/>
  <c r="AF136" i="7"/>
  <c r="AF153" i="7" s="1"/>
  <c r="AF499" i="2" s="1"/>
  <c r="AF137" i="7"/>
  <c r="AF154" i="7" s="1"/>
  <c r="AG137" i="7"/>
  <c r="AG154" i="7" s="1"/>
  <c r="AH136" i="7"/>
  <c r="AH153" i="7" s="1"/>
  <c r="AH499" i="2" s="1"/>
  <c r="AH135" i="7"/>
  <c r="AH140" i="7" s="1"/>
  <c r="AH137" i="7"/>
  <c r="AH154" i="7" s="1"/>
  <c r="AL137" i="7"/>
  <c r="AL154" i="7" s="1"/>
  <c r="AI137" i="7"/>
  <c r="AI154" i="7" s="1"/>
  <c r="AJ136" i="7"/>
  <c r="AK136" i="7"/>
  <c r="AI135" i="7"/>
  <c r="AI140" i="7" s="1"/>
  <c r="AI136" i="7"/>
  <c r="AI153" i="7" s="1"/>
  <c r="AI499" i="2" s="1"/>
  <c r="AP137" i="7"/>
  <c r="AP154" i="7" s="1"/>
  <c r="AM137" i="7"/>
  <c r="AM154" i="7" s="1"/>
  <c r="AM136" i="7"/>
  <c r="AM153" i="7" s="1"/>
  <c r="AM499" i="2" s="1"/>
  <c r="AJ135" i="7"/>
  <c r="AN136" i="7"/>
  <c r="AN153" i="7" s="1"/>
  <c r="AN499" i="2" s="1"/>
  <c r="AS39" i="7"/>
  <c r="AS50" i="7" s="1"/>
  <c r="AS42" i="7"/>
  <c r="AS53" i="7" s="1"/>
  <c r="AS84" i="2" s="1"/>
  <c r="AS90" i="2" s="1"/>
  <c r="AS356" i="2" s="1"/>
  <c r="AS41" i="7"/>
  <c r="AS52" i="7" s="1"/>
  <c r="AS83" i="2" s="1"/>
  <c r="AS89" i="2" s="1"/>
  <c r="AS352" i="2" s="1"/>
  <c r="AS43" i="7"/>
  <c r="AS54" i="7" s="1"/>
  <c r="AS85" i="2" s="1"/>
  <c r="AS91" i="2" s="1"/>
  <c r="AS360" i="2" s="1"/>
  <c r="AS40" i="7"/>
  <c r="K40" i="7"/>
  <c r="K43" i="7"/>
  <c r="K54" i="7" s="1"/>
  <c r="K85" i="2" s="1"/>
  <c r="K91" i="2" s="1"/>
  <c r="K39" i="7"/>
  <c r="K50" i="7" s="1"/>
  <c r="K41" i="7"/>
  <c r="K52" i="7" s="1"/>
  <c r="K83" i="2" s="1"/>
  <c r="K89" i="2" s="1"/>
  <c r="K42" i="7"/>
  <c r="K53" i="7" s="1"/>
  <c r="K84" i="2" s="1"/>
  <c r="K90" i="2" s="1"/>
  <c r="M42" i="7"/>
  <c r="M53" i="7" s="1"/>
  <c r="M84" i="2" s="1"/>
  <c r="M90" i="2" s="1"/>
  <c r="M356" i="2" s="1"/>
  <c r="M43" i="7"/>
  <c r="M54" i="7" s="1"/>
  <c r="M85" i="2" s="1"/>
  <c r="M91" i="2" s="1"/>
  <c r="M360" i="2" s="1"/>
  <c r="L40" i="7"/>
  <c r="M41" i="7"/>
  <c r="M52" i="7" s="1"/>
  <c r="M83" i="2" s="1"/>
  <c r="M89" i="2" s="1"/>
  <c r="M352" i="2" s="1"/>
  <c r="M40" i="7"/>
  <c r="N42" i="7"/>
  <c r="N53" i="7" s="1"/>
  <c r="N84" i="2" s="1"/>
  <c r="N90" i="2" s="1"/>
  <c r="N356" i="2" s="1"/>
  <c r="L41" i="7"/>
  <c r="L52" i="7" s="1"/>
  <c r="L83" i="2" s="1"/>
  <c r="L89" i="2" s="1"/>
  <c r="L352" i="2" s="1"/>
  <c r="L43" i="7"/>
  <c r="L54" i="7" s="1"/>
  <c r="L85" i="2" s="1"/>
  <c r="L91" i="2" s="1"/>
  <c r="L360" i="2" s="1"/>
  <c r="N39" i="7"/>
  <c r="N50" i="7" s="1"/>
  <c r="L39" i="7"/>
  <c r="L50" i="7" s="1"/>
  <c r="L42" i="7"/>
  <c r="L53" i="7" s="1"/>
  <c r="L84" i="2" s="1"/>
  <c r="L90" i="2" s="1"/>
  <c r="L356" i="2" s="1"/>
  <c r="O42" i="7"/>
  <c r="O53" i="7" s="1"/>
  <c r="O84" i="2" s="1"/>
  <c r="O90" i="2" s="1"/>
  <c r="O356" i="2" s="1"/>
  <c r="N43" i="7"/>
  <c r="N54" i="7" s="1"/>
  <c r="N85" i="2" s="1"/>
  <c r="N91" i="2" s="1"/>
  <c r="N360" i="2" s="1"/>
  <c r="N41" i="7"/>
  <c r="N52" i="7" s="1"/>
  <c r="N83" i="2" s="1"/>
  <c r="N89" i="2" s="1"/>
  <c r="N352" i="2" s="1"/>
  <c r="O39" i="7"/>
  <c r="O50" i="7" s="1"/>
  <c r="M39" i="7"/>
  <c r="M50" i="7" s="1"/>
  <c r="O43" i="7"/>
  <c r="O54" i="7" s="1"/>
  <c r="O85" i="2" s="1"/>
  <c r="O91" i="2" s="1"/>
  <c r="O360" i="2" s="1"/>
  <c r="O40" i="7"/>
  <c r="N40" i="7"/>
  <c r="O41" i="7"/>
  <c r="O52" i="7" s="1"/>
  <c r="O83" i="2" s="1"/>
  <c r="O89" i="2" s="1"/>
  <c r="O352" i="2" s="1"/>
  <c r="Q43" i="7"/>
  <c r="Q54" i="7" s="1"/>
  <c r="Q85" i="2" s="1"/>
  <c r="Q91" i="2" s="1"/>
  <c r="Q360" i="2" s="1"/>
  <c r="P42" i="7"/>
  <c r="P53" i="7" s="1"/>
  <c r="P84" i="2" s="1"/>
  <c r="P90" i="2" s="1"/>
  <c r="P356" i="2" s="1"/>
  <c r="P40" i="7"/>
  <c r="Q39" i="7"/>
  <c r="Q50" i="7" s="1"/>
  <c r="P39" i="7"/>
  <c r="P50" i="7" s="1"/>
  <c r="Q42" i="7"/>
  <c r="Q53" i="7" s="1"/>
  <c r="Q84" i="2" s="1"/>
  <c r="Q90" i="2" s="1"/>
  <c r="Q356" i="2" s="1"/>
  <c r="P41" i="7"/>
  <c r="P52" i="7" s="1"/>
  <c r="P83" i="2" s="1"/>
  <c r="P89" i="2" s="1"/>
  <c r="P352" i="2" s="1"/>
  <c r="R41" i="7"/>
  <c r="R52" i="7" s="1"/>
  <c r="R83" i="2" s="1"/>
  <c r="R89" i="2" s="1"/>
  <c r="R352" i="2" s="1"/>
  <c r="Q40" i="7"/>
  <c r="Q41" i="7"/>
  <c r="Q52" i="7" s="1"/>
  <c r="Q83" i="2" s="1"/>
  <c r="Q89" i="2" s="1"/>
  <c r="Q352" i="2" s="1"/>
  <c r="P43" i="7"/>
  <c r="P54" i="7" s="1"/>
  <c r="P85" i="2" s="1"/>
  <c r="P91" i="2" s="1"/>
  <c r="P360" i="2" s="1"/>
  <c r="R39" i="7"/>
  <c r="R50" i="7" s="1"/>
  <c r="R40" i="7"/>
  <c r="T43" i="7"/>
  <c r="T54" i="7" s="1"/>
  <c r="T85" i="2" s="1"/>
  <c r="T91" i="2" s="1"/>
  <c r="T360" i="2" s="1"/>
  <c r="R42" i="7"/>
  <c r="R53" i="7" s="1"/>
  <c r="R84" i="2" s="1"/>
  <c r="R90" i="2" s="1"/>
  <c r="R356" i="2" s="1"/>
  <c r="S41" i="7"/>
  <c r="S52" i="7" s="1"/>
  <c r="S83" i="2" s="1"/>
  <c r="S89" i="2" s="1"/>
  <c r="S352" i="2" s="1"/>
  <c r="R43" i="7"/>
  <c r="R54" i="7" s="1"/>
  <c r="R85" i="2" s="1"/>
  <c r="R91" i="2" s="1"/>
  <c r="R360" i="2" s="1"/>
  <c r="T41" i="7"/>
  <c r="T52" i="7" s="1"/>
  <c r="T83" i="2" s="1"/>
  <c r="T89" i="2" s="1"/>
  <c r="T352" i="2" s="1"/>
  <c r="S40" i="7"/>
  <c r="S42" i="7"/>
  <c r="S53" i="7" s="1"/>
  <c r="S84" i="2" s="1"/>
  <c r="S90" i="2" s="1"/>
  <c r="S356" i="2" s="1"/>
  <c r="S43" i="7"/>
  <c r="S54" i="7" s="1"/>
  <c r="S85" i="2" s="1"/>
  <c r="S91" i="2" s="1"/>
  <c r="S360" i="2" s="1"/>
  <c r="U40" i="7"/>
  <c r="T40" i="7"/>
  <c r="S39" i="7"/>
  <c r="S50" i="7" s="1"/>
  <c r="U42" i="7"/>
  <c r="U53" i="7" s="1"/>
  <c r="U84" i="2" s="1"/>
  <c r="U90" i="2" s="1"/>
  <c r="U356" i="2" s="1"/>
  <c r="U43" i="7"/>
  <c r="U54" i="7" s="1"/>
  <c r="U85" i="2" s="1"/>
  <c r="U91" i="2" s="1"/>
  <c r="U360" i="2" s="1"/>
  <c r="U39" i="7"/>
  <c r="U50" i="7" s="1"/>
  <c r="T42" i="7"/>
  <c r="T53" i="7" s="1"/>
  <c r="T84" i="2" s="1"/>
  <c r="T90" i="2" s="1"/>
  <c r="T356" i="2" s="1"/>
  <c r="T39" i="7"/>
  <c r="T50" i="7" s="1"/>
  <c r="V39" i="7"/>
  <c r="V50" i="7" s="1"/>
  <c r="V41" i="7"/>
  <c r="V40" i="7"/>
  <c r="V461" i="7" s="1"/>
  <c r="V464" i="7" s="1"/>
  <c r="V42" i="7"/>
  <c r="W40" i="7"/>
  <c r="W461" i="7" s="1"/>
  <c r="W464" i="7" s="1"/>
  <c r="U41" i="7"/>
  <c r="U52" i="7" s="1"/>
  <c r="U83" i="2" s="1"/>
  <c r="U89" i="2" s="1"/>
  <c r="U352" i="2" s="1"/>
  <c r="Z43" i="7"/>
  <c r="W42" i="7"/>
  <c r="Y42" i="7"/>
  <c r="W43" i="7"/>
  <c r="W39" i="7"/>
  <c r="W50" i="7" s="1"/>
  <c r="X42" i="7"/>
  <c r="X43" i="7"/>
  <c r="V43" i="7"/>
  <c r="X40" i="7"/>
  <c r="X461" i="7" s="1"/>
  <c r="X464" i="7" s="1"/>
  <c r="X39" i="7"/>
  <c r="W41" i="7"/>
  <c r="Y43" i="7"/>
  <c r="X41" i="7"/>
  <c r="Y40" i="7"/>
  <c r="Y461" i="7" s="1"/>
  <c r="Y464" i="7" s="1"/>
  <c r="Y39" i="7"/>
  <c r="Y41" i="7"/>
  <c r="Z41" i="7"/>
  <c r="Z40" i="7"/>
  <c r="Z461" i="7" s="1"/>
  <c r="Z464" i="7" s="1"/>
  <c r="Z42" i="7"/>
  <c r="AB40" i="7"/>
  <c r="AB461" i="7" s="1"/>
  <c r="AB464" i="7" s="1"/>
  <c r="AB43" i="7"/>
  <c r="AA40" i="7"/>
  <c r="AA461" i="7" s="1"/>
  <c r="AA464" i="7" s="1"/>
  <c r="AA42" i="7"/>
  <c r="Z39" i="7"/>
  <c r="AA41" i="7"/>
  <c r="AA43" i="7"/>
  <c r="AA39" i="7"/>
  <c r="AE42" i="7"/>
  <c r="AE53" i="7" s="1"/>
  <c r="AE84" i="2" s="1"/>
  <c r="AE90" i="2" s="1"/>
  <c r="AE356" i="2" s="1"/>
  <c r="AB42" i="7"/>
  <c r="AB39" i="7"/>
  <c r="AC39" i="7"/>
  <c r="AC50" i="7" s="1"/>
  <c r="AC42" i="7"/>
  <c r="AC53" i="7" s="1"/>
  <c r="AC84" i="2" s="1"/>
  <c r="AC90" i="2" s="1"/>
  <c r="AC356" i="2" s="1"/>
  <c r="AC40" i="7"/>
  <c r="AC43" i="7"/>
  <c r="AC54" i="7" s="1"/>
  <c r="AC85" i="2" s="1"/>
  <c r="AC91" i="2" s="1"/>
  <c r="AC360" i="2" s="1"/>
  <c r="AB41" i="7"/>
  <c r="AE39" i="7"/>
  <c r="AE50" i="7" s="1"/>
  <c r="AE43" i="7"/>
  <c r="AE54" i="7" s="1"/>
  <c r="AE85" i="2" s="1"/>
  <c r="AE91" i="2" s="1"/>
  <c r="AE360" i="2" s="1"/>
  <c r="AD40" i="7"/>
  <c r="AC41" i="7"/>
  <c r="AC52" i="7" s="1"/>
  <c r="AC83" i="2" s="1"/>
  <c r="AC89" i="2" s="1"/>
  <c r="AC352" i="2" s="1"/>
  <c r="AD43" i="7"/>
  <c r="AD54" i="7" s="1"/>
  <c r="AD85" i="2" s="1"/>
  <c r="AD91" i="2" s="1"/>
  <c r="AD360" i="2" s="1"/>
  <c r="AE40" i="7"/>
  <c r="AG41" i="7"/>
  <c r="AG52" i="7" s="1"/>
  <c r="AG83" i="2" s="1"/>
  <c r="AG89" i="2" s="1"/>
  <c r="AG352" i="2" s="1"/>
  <c r="AD42" i="7"/>
  <c r="AD53" i="7" s="1"/>
  <c r="AD84" i="2" s="1"/>
  <c r="AD90" i="2" s="1"/>
  <c r="AD356" i="2" s="1"/>
  <c r="AE41" i="7"/>
  <c r="AE52" i="7" s="1"/>
  <c r="AE83" i="2" s="1"/>
  <c r="AE89" i="2" s="1"/>
  <c r="AE352" i="2" s="1"/>
  <c r="AD39" i="7"/>
  <c r="AD50" i="7" s="1"/>
  <c r="AH43" i="7"/>
  <c r="AH54" i="7" s="1"/>
  <c r="AH85" i="2" s="1"/>
  <c r="AH91" i="2" s="1"/>
  <c r="AH360" i="2" s="1"/>
  <c r="AG40" i="7"/>
  <c r="AG43" i="7"/>
  <c r="AG54" i="7" s="1"/>
  <c r="AG85" i="2" s="1"/>
  <c r="AG91" i="2" s="1"/>
  <c r="AG360" i="2" s="1"/>
  <c r="AF42" i="7"/>
  <c r="AF53" i="7" s="1"/>
  <c r="AF84" i="2" s="1"/>
  <c r="AF90" i="2" s="1"/>
  <c r="AF356" i="2" s="1"/>
  <c r="AF40" i="7"/>
  <c r="AD41" i="7"/>
  <c r="AD52" i="7" s="1"/>
  <c r="AD83" i="2" s="1"/>
  <c r="AD89" i="2" s="1"/>
  <c r="AD352" i="2" s="1"/>
  <c r="AF41" i="7"/>
  <c r="AF52" i="7" s="1"/>
  <c r="AF83" i="2" s="1"/>
  <c r="AF89" i="2" s="1"/>
  <c r="AF352" i="2" s="1"/>
  <c r="AG42" i="7"/>
  <c r="AG53" i="7" s="1"/>
  <c r="AG84" i="2" s="1"/>
  <c r="AG90" i="2" s="1"/>
  <c r="AG356" i="2" s="1"/>
  <c r="AF43" i="7"/>
  <c r="AF54" i="7" s="1"/>
  <c r="AF85" i="2" s="1"/>
  <c r="AF91" i="2" s="1"/>
  <c r="AF360" i="2" s="1"/>
  <c r="AG39" i="7"/>
  <c r="AG50" i="7" s="1"/>
  <c r="AH39" i="7"/>
  <c r="AH50" i="7" s="1"/>
  <c r="AF39" i="7"/>
  <c r="AF50" i="7" s="1"/>
  <c r="AI39" i="7"/>
  <c r="AH42" i="7"/>
  <c r="AH53" i="7" s="1"/>
  <c r="AH84" i="2" s="1"/>
  <c r="AH90" i="2" s="1"/>
  <c r="AH356" i="2" s="1"/>
  <c r="AK43" i="7"/>
  <c r="AK54" i="7" s="1"/>
  <c r="AK85" i="2" s="1"/>
  <c r="AK91" i="2" s="1"/>
  <c r="AK360" i="2" s="1"/>
  <c r="AH40" i="7"/>
  <c r="AK40" i="7"/>
  <c r="AK461" i="7" s="1"/>
  <c r="AK464" i="7" s="1"/>
  <c r="AI43" i="7"/>
  <c r="AI54" i="7" s="1"/>
  <c r="AI85" i="2" s="1"/>
  <c r="AI91" i="2" s="1"/>
  <c r="AI360" i="2" s="1"/>
  <c r="AH41" i="7"/>
  <c r="AH52" i="7" s="1"/>
  <c r="AH83" i="2" s="1"/>
  <c r="AH89" i="2" s="1"/>
  <c r="AH352" i="2" s="1"/>
  <c r="AJ41" i="7"/>
  <c r="AI41" i="7"/>
  <c r="AJ43" i="7"/>
  <c r="AJ54" i="7" s="1"/>
  <c r="AJ85" i="2" s="1"/>
  <c r="AJ91" i="2" s="1"/>
  <c r="AJ360" i="2" s="1"/>
  <c r="AI40" i="7"/>
  <c r="AI461" i="7" s="1"/>
  <c r="AI464" i="7" s="1"/>
  <c r="AJ39" i="7"/>
  <c r="AQ43" i="7"/>
  <c r="AQ54" i="7" s="1"/>
  <c r="AQ85" i="2" s="1"/>
  <c r="AQ91" i="2" s="1"/>
  <c r="AQ360" i="2" s="1"/>
  <c r="AL41" i="7"/>
  <c r="AL52" i="7" s="1"/>
  <c r="AL83" i="2" s="1"/>
  <c r="AL89" i="2" s="1"/>
  <c r="AL352" i="2" s="1"/>
  <c r="AK42" i="7"/>
  <c r="AK53" i="7" s="1"/>
  <c r="AK84" i="2" s="1"/>
  <c r="AK90" i="2" s="1"/>
  <c r="AK356" i="2" s="1"/>
  <c r="AM41" i="7"/>
  <c r="AM52" i="7" s="1"/>
  <c r="AM83" i="2" s="1"/>
  <c r="AM89" i="2" s="1"/>
  <c r="AM352" i="2" s="1"/>
  <c r="AK39" i="7"/>
  <c r="AM40" i="7"/>
  <c r="AL43" i="7"/>
  <c r="AL54" i="7" s="1"/>
  <c r="AL85" i="2" s="1"/>
  <c r="AL91" i="2" s="1"/>
  <c r="AL360" i="2" s="1"/>
  <c r="AI42" i="7"/>
  <c r="AI53" i="7" s="1"/>
  <c r="AI84" i="2" s="1"/>
  <c r="AI90" i="2" s="1"/>
  <c r="AI356" i="2" s="1"/>
  <c r="AP43" i="7"/>
  <c r="AP54" i="7" s="1"/>
  <c r="AP85" i="2" s="1"/>
  <c r="AP91" i="2" s="1"/>
  <c r="AP360" i="2" s="1"/>
  <c r="AJ40" i="7"/>
  <c r="AJ461" i="7" s="1"/>
  <c r="AJ464" i="7" s="1"/>
  <c r="AM39" i="7"/>
  <c r="AM50" i="7" s="1"/>
  <c r="AJ42" i="7"/>
  <c r="AJ53" i="7" s="1"/>
  <c r="AJ84" i="2" s="1"/>
  <c r="AJ90" i="2" s="1"/>
  <c r="AJ356" i="2" s="1"/>
  <c r="AO137" i="7"/>
  <c r="AO154" i="7" s="1"/>
  <c r="AO136" i="7"/>
  <c r="AO153" i="7" s="1"/>
  <c r="AO499" i="2" s="1"/>
  <c r="AN41" i="7"/>
  <c r="AN52" i="7" s="1"/>
  <c r="AN83" i="2" s="1"/>
  <c r="AN89" i="2" s="1"/>
  <c r="AN352" i="2" s="1"/>
  <c r="AS1149" i="2"/>
  <c r="M1184" i="2" a="1"/>
  <c r="M1184" i="2" s="1"/>
  <c r="AP51" i="7"/>
  <c r="AP82" i="2" s="1"/>
  <c r="AP88" i="2" s="1"/>
  <c r="AP348" i="2" s="1"/>
  <c r="AP461" i="7"/>
  <c r="AP464" i="7" s="1"/>
  <c r="AL51" i="7"/>
  <c r="AL82" i="2" s="1"/>
  <c r="AL88" i="2" s="1"/>
  <c r="AL348" i="2" s="1"/>
  <c r="AL461" i="7"/>
  <c r="AL464" i="7" s="1"/>
  <c r="AO78" i="7"/>
  <c r="AO80" i="7" s="1"/>
  <c r="AO98" i="7" s="1"/>
  <c r="AO66" i="2"/>
  <c r="AO68" i="2" s="1"/>
  <c r="AO56" i="2"/>
  <c r="AO135" i="7"/>
  <c r="AO140" i="7" s="1"/>
  <c r="AN135" i="7"/>
  <c r="AN140" i="7" s="1"/>
  <c r="AS1148" i="2"/>
  <c r="L1184" i="2" a="1"/>
  <c r="L1184" i="2" s="1"/>
  <c r="AS100" i="2"/>
  <c r="AS101" i="2" s="1"/>
  <c r="AS104" i="2" s="1"/>
  <c r="AS105" i="2" s="1"/>
  <c r="AS19" i="2"/>
  <c r="AS22" i="2" s="1"/>
  <c r="AS23" i="2" s="1"/>
  <c r="AM42" i="7"/>
  <c r="AM53" i="7" s="1"/>
  <c r="AM84" i="2" s="1"/>
  <c r="AM90" i="2" s="1"/>
  <c r="AM356" i="2" s="1"/>
  <c r="AR60" i="2"/>
  <c r="AR94" i="7"/>
  <c r="AR96" i="7" s="1"/>
  <c r="AR102" i="7" s="1"/>
  <c r="AM493" i="2"/>
  <c r="AR56" i="2"/>
  <c r="AR66" i="2"/>
  <c r="AR68" i="2" s="1"/>
  <c r="AR78" i="7"/>
  <c r="AR80" i="7" s="1"/>
  <c r="AR98" i="7" s="1"/>
  <c r="AS1150" i="2"/>
  <c r="N1184" i="2" a="1"/>
  <c r="N1184" i="2" s="1"/>
  <c r="D51" i="11" s="1"/>
  <c r="F63" i="15" s="1"/>
  <c r="J63" i="15" s="1"/>
  <c r="I63" i="15" s="1"/>
  <c r="AO59" i="2"/>
  <c r="AO90" i="7"/>
  <c r="AO92" i="7" s="1"/>
  <c r="AO101" i="7" s="1"/>
  <c r="AP493" i="2"/>
  <c r="AS296" i="7"/>
  <c r="AS444" i="7"/>
  <c r="AS436" i="7"/>
  <c r="AS428" i="7"/>
  <c r="AS419" i="7"/>
  <c r="AS906" i="2" s="1"/>
  <c r="U296" i="7"/>
  <c r="K296" i="7"/>
  <c r="K297" i="7" s="1"/>
  <c r="N296" i="7"/>
  <c r="O296" i="7"/>
  <c r="R296" i="7"/>
  <c r="T296" i="7"/>
  <c r="S296" i="7"/>
  <c r="M296" i="7"/>
  <c r="X296" i="7"/>
  <c r="Q296" i="7"/>
  <c r="P296" i="7"/>
  <c r="L296" i="7"/>
  <c r="V296" i="7"/>
  <c r="Y296" i="7"/>
  <c r="W296" i="7"/>
  <c r="Z296" i="7"/>
  <c r="AA296" i="7"/>
  <c r="AC296" i="7"/>
  <c r="AB296" i="7"/>
  <c r="AD296" i="7"/>
  <c r="AG296" i="7"/>
  <c r="AE296" i="7"/>
  <c r="AF296" i="7"/>
  <c r="AI296" i="7"/>
  <c r="AH296" i="7"/>
  <c r="AM296" i="7"/>
  <c r="AO296" i="7"/>
  <c r="AQ296" i="7"/>
  <c r="AK296" i="7"/>
  <c r="AL136" i="7"/>
  <c r="AL153" i="7" s="1"/>
  <c r="AL499" i="2" s="1"/>
  <c r="AJ137" i="7"/>
  <c r="AQ40" i="7"/>
  <c r="AS266" i="7"/>
  <c r="AS265" i="7"/>
  <c r="AQ90" i="7"/>
  <c r="AQ92" i="7" s="1"/>
  <c r="AQ101" i="7" s="1"/>
  <c r="AQ59" i="2"/>
  <c r="AR90" i="7"/>
  <c r="AR92" i="7" s="1"/>
  <c r="AR101" i="7" s="1"/>
  <c r="AR59" i="2"/>
  <c r="AS133" i="7"/>
  <c r="AS47" i="7"/>
  <c r="AS60" i="7" s="1"/>
  <c r="K47" i="7"/>
  <c r="K60" i="7" s="1"/>
  <c r="M47" i="7"/>
  <c r="M60" i="7" s="1"/>
  <c r="L47" i="7"/>
  <c r="L60" i="7" s="1"/>
  <c r="N47" i="7"/>
  <c r="N60" i="7" s="1"/>
  <c r="O47" i="7"/>
  <c r="O60" i="7" s="1"/>
  <c r="P47" i="7"/>
  <c r="P60" i="7" s="1"/>
  <c r="Q47" i="7"/>
  <c r="Q60" i="7" s="1"/>
  <c r="R47" i="7"/>
  <c r="R60" i="7" s="1"/>
  <c r="S47" i="7"/>
  <c r="S60" i="7" s="1"/>
  <c r="T47" i="7"/>
  <c r="T60" i="7" s="1"/>
  <c r="U47" i="7"/>
  <c r="U60" i="7" s="1"/>
  <c r="V47" i="7"/>
  <c r="V60" i="7" s="1"/>
  <c r="Y47" i="7"/>
  <c r="W47" i="7"/>
  <c r="W60" i="7" s="1"/>
  <c r="AB47" i="7"/>
  <c r="Z47" i="7"/>
  <c r="X47" i="7"/>
  <c r="AE47" i="7"/>
  <c r="AE60" i="7" s="1"/>
  <c r="AA47" i="7"/>
  <c r="AC47" i="7"/>
  <c r="AC60" i="7" s="1"/>
  <c r="AD47" i="7"/>
  <c r="AD60" i="7" s="1"/>
  <c r="AF47" i="7"/>
  <c r="AF60" i="7" s="1"/>
  <c r="AG47" i="7"/>
  <c r="AG60" i="7" s="1"/>
  <c r="AI47" i="7"/>
  <c r="AI60" i="7" s="1"/>
  <c r="AH47" i="7"/>
  <c r="AH60" i="7" s="1"/>
  <c r="AK47" i="7"/>
  <c r="AJ47" i="7"/>
  <c r="AP47" i="7"/>
  <c r="AP60" i="7" s="1"/>
  <c r="AP78" i="7"/>
  <c r="AP80" i="7" s="1"/>
  <c r="AP98" i="7" s="1"/>
  <c r="AP56" i="2"/>
  <c r="AP66" i="2"/>
  <c r="AP68" i="2" s="1"/>
  <c r="AO58" i="2"/>
  <c r="AO86" i="7"/>
  <c r="AO88" i="7" s="1"/>
  <c r="AO100" i="7" s="1"/>
  <c r="AM43" i="7"/>
  <c r="AM54" i="7" s="1"/>
  <c r="AM85" i="2" s="1"/>
  <c r="AM91" i="2" s="1"/>
  <c r="AM360" i="2" s="1"/>
  <c r="AN137" i="7"/>
  <c r="AN154" i="7" s="1"/>
  <c r="AQ137" i="7"/>
  <c r="AQ154" i="7" s="1"/>
  <c r="AS420" i="2"/>
  <c r="AS428" i="2" s="1"/>
  <c r="AS431" i="2" s="1"/>
  <c r="AS439" i="2" s="1"/>
  <c r="AS544" i="2"/>
  <c r="I539" i="2"/>
  <c r="I544" i="2" s="1"/>
  <c r="AQ47" i="7"/>
  <c r="AQ60" i="7" s="1"/>
  <c r="AL115" i="2" l="1"/>
  <c r="AL117" i="2" s="1"/>
  <c r="AL106" i="7"/>
  <c r="AL108" i="7" s="1"/>
  <c r="AL90" i="7"/>
  <c r="AL92" i="7" s="1"/>
  <c r="AL101" i="7" s="1"/>
  <c r="AL59" i="2"/>
  <c r="AN109" i="2"/>
  <c r="AS194" i="4"/>
  <c r="AN94" i="7"/>
  <c r="AN96" i="7" s="1"/>
  <c r="AN102" i="7" s="1"/>
  <c r="AQ78" i="7"/>
  <c r="AQ80" i="7" s="1"/>
  <c r="AQ98" i="7" s="1"/>
  <c r="AQ66" i="2"/>
  <c r="AQ68" i="2" s="1"/>
  <c r="AK633" i="2"/>
  <c r="AK635" i="2" s="1"/>
  <c r="AK641" i="2" s="1"/>
  <c r="AK566" i="2"/>
  <c r="AK249" i="4"/>
  <c r="AK194" i="4"/>
  <c r="AK393" i="2"/>
  <c r="AK394" i="2" s="1"/>
  <c r="AR633" i="2"/>
  <c r="AR635" i="2" s="1"/>
  <c r="AR641" i="2" s="1"/>
  <c r="AR194" i="4"/>
  <c r="AR566" i="2"/>
  <c r="AR581" i="2" s="1"/>
  <c r="AR582" i="2" s="1"/>
  <c r="AR591" i="2" s="1"/>
  <c r="AR592" i="2" s="1"/>
  <c r="AR249" i="4"/>
  <c r="AR393" i="2"/>
  <c r="AJ194" i="4"/>
  <c r="AJ249" i="4"/>
  <c r="AJ393" i="2"/>
  <c r="AJ394" i="2" s="1"/>
  <c r="AJ566" i="2"/>
  <c r="AJ633" i="2"/>
  <c r="AJ635" i="2" s="1"/>
  <c r="AJ641" i="2" s="1"/>
  <c r="AQ393" i="2"/>
  <c r="AQ566" i="2"/>
  <c r="AQ194" i="4"/>
  <c r="AQ633" i="2"/>
  <c r="AQ635" i="2" s="1"/>
  <c r="AQ641" i="2" s="1"/>
  <c r="AQ249" i="4"/>
  <c r="AI194" i="4"/>
  <c r="AI249" i="4"/>
  <c r="AI393" i="2"/>
  <c r="AI633" i="2"/>
  <c r="AI635" i="2" s="1"/>
  <c r="AI641" i="2" s="1"/>
  <c r="AI566" i="2"/>
  <c r="AP566" i="2"/>
  <c r="AP249" i="4"/>
  <c r="AP633" i="2"/>
  <c r="AP635" i="2" s="1"/>
  <c r="AP641" i="2" s="1"/>
  <c r="AP194" i="4"/>
  <c r="AP393" i="2"/>
  <c r="AH566" i="2"/>
  <c r="AH633" i="2"/>
  <c r="AH635" i="2" s="1"/>
  <c r="AH641" i="2" s="1"/>
  <c r="AH393" i="2"/>
  <c r="AH194" i="4"/>
  <c r="AH249" i="4"/>
  <c r="AO633" i="2"/>
  <c r="AO635" i="2" s="1"/>
  <c r="AO641" i="2" s="1"/>
  <c r="AO566" i="2"/>
  <c r="AO393" i="2"/>
  <c r="AO249" i="4"/>
  <c r="AO194" i="4"/>
  <c r="AG393" i="2"/>
  <c r="AG194" i="4"/>
  <c r="AG633" i="2"/>
  <c r="AG635" i="2" s="1"/>
  <c r="AG641" i="2" s="1"/>
  <c r="AG249" i="4"/>
  <c r="AG566" i="2"/>
  <c r="AN393" i="2"/>
  <c r="AN566" i="2"/>
  <c r="AN194" i="4"/>
  <c r="AN633" i="2"/>
  <c r="AN635" i="2" s="1"/>
  <c r="AN641" i="2" s="1"/>
  <c r="AN249" i="4"/>
  <c r="AF393" i="2"/>
  <c r="AF194" i="4"/>
  <c r="AF249" i="4"/>
  <c r="AF566" i="2"/>
  <c r="AF633" i="2"/>
  <c r="AF635" i="2" s="1"/>
  <c r="AF641" i="2" s="1"/>
  <c r="AL194" i="4"/>
  <c r="AL249" i="4"/>
  <c r="AL566" i="2"/>
  <c r="AL633" i="2"/>
  <c r="AL635" i="2" s="1"/>
  <c r="AL641" i="2" s="1"/>
  <c r="AL393" i="2"/>
  <c r="AE566" i="2"/>
  <c r="AE633" i="2"/>
  <c r="AE635" i="2" s="1"/>
  <c r="AE393" i="2"/>
  <c r="AE194" i="4"/>
  <c r="AE249" i="4"/>
  <c r="AM249" i="4"/>
  <c r="AM566" i="2"/>
  <c r="AM633" i="2"/>
  <c r="AM635" i="2" s="1"/>
  <c r="AM641" i="2" s="1"/>
  <c r="AM194" i="4"/>
  <c r="AM393" i="2"/>
  <c r="Q19" i="2"/>
  <c r="Q22" i="2" s="1"/>
  <c r="Q23" i="2" s="1"/>
  <c r="Q100" i="2"/>
  <c r="Q101" i="2" s="1"/>
  <c r="Q104" i="2" s="1"/>
  <c r="Q105" i="2" s="1"/>
  <c r="AN100" i="2"/>
  <c r="AN101" i="2" s="1"/>
  <c r="AN104" i="2" s="1"/>
  <c r="AN105" i="2" s="1"/>
  <c r="AN19" i="2"/>
  <c r="AN22" i="2" s="1"/>
  <c r="AN23" i="2" s="1"/>
  <c r="AF19" i="2"/>
  <c r="AF22" i="2" s="1"/>
  <c r="AF23" i="2" s="1"/>
  <c r="AF100" i="2"/>
  <c r="AF101" i="2" s="1"/>
  <c r="AF104" i="2" s="1"/>
  <c r="AF105" i="2" s="1"/>
  <c r="X19" i="2"/>
  <c r="X22" i="2" s="1"/>
  <c r="X100" i="2"/>
  <c r="X101" i="2" s="1"/>
  <c r="X104" i="2" s="1"/>
  <c r="P100" i="2"/>
  <c r="P101" i="2" s="1"/>
  <c r="P104" i="2" s="1"/>
  <c r="P105" i="2" s="1"/>
  <c r="P19" i="2"/>
  <c r="P22" i="2" s="1"/>
  <c r="P23" i="2" s="1"/>
  <c r="AO19" i="2"/>
  <c r="AO22" i="2" s="1"/>
  <c r="AO23" i="2" s="1"/>
  <c r="AO100" i="2"/>
  <c r="AO101" i="2" s="1"/>
  <c r="AO104" i="2" s="1"/>
  <c r="AO105" i="2" s="1"/>
  <c r="AM19" i="2"/>
  <c r="AM22" i="2" s="1"/>
  <c r="AM23" i="2" s="1"/>
  <c r="AM100" i="2"/>
  <c r="AM101" i="2" s="1"/>
  <c r="AM104" i="2" s="1"/>
  <c r="AM105" i="2" s="1"/>
  <c r="AE19" i="2"/>
  <c r="AE22" i="2" s="1"/>
  <c r="AE23" i="2" s="1"/>
  <c r="AE100" i="2"/>
  <c r="AE101" i="2" s="1"/>
  <c r="AE104" i="2" s="1"/>
  <c r="AE105" i="2" s="1"/>
  <c r="W19" i="2"/>
  <c r="W22" i="2" s="1"/>
  <c r="W100" i="2"/>
  <c r="W101" i="2" s="1"/>
  <c r="W104" i="2" s="1"/>
  <c r="W105" i="2" s="1"/>
  <c r="O100" i="2"/>
  <c r="O101" i="2" s="1"/>
  <c r="O104" i="2" s="1"/>
  <c r="O105" i="2" s="1"/>
  <c r="O19" i="2"/>
  <c r="O22" i="2" s="1"/>
  <c r="O23" i="2" s="1"/>
  <c r="AL100" i="2"/>
  <c r="AL101" i="2" s="1"/>
  <c r="AL104" i="2" s="1"/>
  <c r="AL105" i="2" s="1"/>
  <c r="AL19" i="2"/>
  <c r="AL22" i="2" s="1"/>
  <c r="AL23" i="2" s="1"/>
  <c r="AD100" i="2"/>
  <c r="AD101" i="2" s="1"/>
  <c r="AD104" i="2" s="1"/>
  <c r="AD105" i="2" s="1"/>
  <c r="AD19" i="2"/>
  <c r="AD22" i="2" s="1"/>
  <c r="AD23" i="2" s="1"/>
  <c r="V19" i="2"/>
  <c r="V22" i="2" s="1"/>
  <c r="V100" i="2"/>
  <c r="V101" i="2" s="1"/>
  <c r="V104" i="2" s="1"/>
  <c r="V105" i="2" s="1"/>
  <c r="N100" i="2"/>
  <c r="N101" i="2" s="1"/>
  <c r="N104" i="2" s="1"/>
  <c r="N105" i="2" s="1"/>
  <c r="N19" i="2"/>
  <c r="N22" i="2" s="1"/>
  <c r="N23" i="2" s="1"/>
  <c r="AG100" i="2"/>
  <c r="AG101" i="2" s="1"/>
  <c r="AG104" i="2" s="1"/>
  <c r="AG105" i="2" s="1"/>
  <c r="AG19" i="2"/>
  <c r="AG22" i="2" s="1"/>
  <c r="AG23" i="2" s="1"/>
  <c r="AK19" i="2"/>
  <c r="AK22" i="2" s="1"/>
  <c r="AK23" i="2" s="1"/>
  <c r="AK100" i="2"/>
  <c r="AK101" i="2" s="1"/>
  <c r="AK104" i="2" s="1"/>
  <c r="AK105" i="2" s="1"/>
  <c r="AC19" i="2"/>
  <c r="AC22" i="2" s="1"/>
  <c r="AC100" i="2"/>
  <c r="AC101" i="2" s="1"/>
  <c r="AC104" i="2" s="1"/>
  <c r="U100" i="2"/>
  <c r="U101" i="2" s="1"/>
  <c r="U104" i="2" s="1"/>
  <c r="U105" i="2" s="1"/>
  <c r="U19" i="2"/>
  <c r="U22" i="2" s="1"/>
  <c r="U23" i="2" s="1"/>
  <c r="M19" i="2"/>
  <c r="M22" i="2" s="1"/>
  <c r="M23" i="2" s="1"/>
  <c r="M100" i="2"/>
  <c r="M101" i="2" s="1"/>
  <c r="M104" i="2" s="1"/>
  <c r="M105" i="2" s="1"/>
  <c r="Y19" i="2"/>
  <c r="Y22" i="2" s="1"/>
  <c r="Y100" i="2"/>
  <c r="Y101" i="2" s="1"/>
  <c r="Y104" i="2" s="1"/>
  <c r="AR19" i="2"/>
  <c r="AR22" i="2" s="1"/>
  <c r="AR23" i="2" s="1"/>
  <c r="AR100" i="2"/>
  <c r="AR101" i="2" s="1"/>
  <c r="AR104" i="2" s="1"/>
  <c r="AR105" i="2" s="1"/>
  <c r="AJ100" i="2"/>
  <c r="AJ101" i="2" s="1"/>
  <c r="AJ104" i="2" s="1"/>
  <c r="AJ105" i="2" s="1"/>
  <c r="AJ19" i="2"/>
  <c r="AJ22" i="2" s="1"/>
  <c r="AJ23" i="2" s="1"/>
  <c r="AB100" i="2"/>
  <c r="AB101" i="2" s="1"/>
  <c r="AB104" i="2" s="1"/>
  <c r="AB19" i="2"/>
  <c r="AB22" i="2" s="1"/>
  <c r="T19" i="2"/>
  <c r="T22" i="2" s="1"/>
  <c r="T23" i="2" s="1"/>
  <c r="T100" i="2"/>
  <c r="T101" i="2" s="1"/>
  <c r="T104" i="2" s="1"/>
  <c r="T105" i="2" s="1"/>
  <c r="L19" i="2"/>
  <c r="L22" i="2" s="1"/>
  <c r="L23" i="2" s="1"/>
  <c r="L100" i="2"/>
  <c r="L101" i="2" s="1"/>
  <c r="L104" i="2" s="1"/>
  <c r="L105" i="2" s="1"/>
  <c r="AQ100" i="2"/>
  <c r="AQ101" i="2" s="1"/>
  <c r="AQ104" i="2" s="1"/>
  <c r="AQ105" i="2" s="1"/>
  <c r="AQ19" i="2"/>
  <c r="AQ22" i="2" s="1"/>
  <c r="AQ23" i="2" s="1"/>
  <c r="AI100" i="2"/>
  <c r="AI101" i="2" s="1"/>
  <c r="AI104" i="2" s="1"/>
  <c r="AI105" i="2" s="1"/>
  <c r="AI19" i="2"/>
  <c r="AI22" i="2" s="1"/>
  <c r="AI23" i="2" s="1"/>
  <c r="AA19" i="2"/>
  <c r="AA22" i="2" s="1"/>
  <c r="AA100" i="2"/>
  <c r="AA101" i="2" s="1"/>
  <c r="AA104" i="2" s="1"/>
  <c r="S100" i="2"/>
  <c r="S101" i="2" s="1"/>
  <c r="S104" i="2" s="1"/>
  <c r="S105" i="2" s="1"/>
  <c r="S19" i="2"/>
  <c r="S22" i="2" s="1"/>
  <c r="S23" i="2" s="1"/>
  <c r="K100" i="2"/>
  <c r="K101" i="2" s="1"/>
  <c r="K104" i="2" s="1"/>
  <c r="K105" i="2" s="1"/>
  <c r="K19" i="2"/>
  <c r="K22" i="2" s="1"/>
  <c r="K23" i="2" s="1"/>
  <c r="AP100" i="2"/>
  <c r="AP101" i="2" s="1"/>
  <c r="AP104" i="2" s="1"/>
  <c r="AP105" i="2" s="1"/>
  <c r="AP19" i="2"/>
  <c r="AP22" i="2" s="1"/>
  <c r="AP23" i="2" s="1"/>
  <c r="AH19" i="2"/>
  <c r="AH22" i="2" s="1"/>
  <c r="AH23" i="2" s="1"/>
  <c r="AH100" i="2"/>
  <c r="AH101" i="2" s="1"/>
  <c r="AH104" i="2" s="1"/>
  <c r="AH105" i="2" s="1"/>
  <c r="Z100" i="2"/>
  <c r="Z101" i="2" s="1"/>
  <c r="Z104" i="2" s="1"/>
  <c r="Z19" i="2"/>
  <c r="Z22" i="2" s="1"/>
  <c r="R19" i="2"/>
  <c r="R22" i="2" s="1"/>
  <c r="R23" i="2" s="1"/>
  <c r="R100" i="2"/>
  <c r="R101" i="2" s="1"/>
  <c r="R104" i="2" s="1"/>
  <c r="R105" i="2" s="1"/>
  <c r="AC58" i="16"/>
  <c r="AB932" i="2"/>
  <c r="AB1021" i="2" s="1"/>
  <c r="AB1134" i="2" s="1"/>
  <c r="AB79" i="16" s="1"/>
  <c r="AD911" i="2"/>
  <c r="AP90" i="7"/>
  <c r="AP92" i="7" s="1"/>
  <c r="AP101" i="7" s="1"/>
  <c r="AP59" i="2"/>
  <c r="AN60" i="2"/>
  <c r="AR55" i="7"/>
  <c r="N354" i="2"/>
  <c r="N366" i="2" s="1"/>
  <c r="Q358" i="2"/>
  <c r="Q367" i="2" s="1"/>
  <c r="U354" i="2"/>
  <c r="Q362" i="2"/>
  <c r="Q368" i="2" s="1"/>
  <c r="T362" i="2"/>
  <c r="T368" i="2" s="1"/>
  <c r="R354" i="2"/>
  <c r="R366" i="2" s="1"/>
  <c r="L358" i="2"/>
  <c r="L367" i="2" s="1"/>
  <c r="M354" i="2"/>
  <c r="M366" i="2" s="1"/>
  <c r="P362" i="2"/>
  <c r="P368" i="2" s="1"/>
  <c r="U362" i="2"/>
  <c r="AO55" i="7"/>
  <c r="AO57" i="7" s="1"/>
  <c r="AO82" i="2"/>
  <c r="AO88" i="2" s="1"/>
  <c r="AO348" i="2" s="1"/>
  <c r="P358" i="2"/>
  <c r="P367" i="2" s="1"/>
  <c r="O354" i="2"/>
  <c r="O366" i="2" s="1"/>
  <c r="M362" i="2"/>
  <c r="M368" i="2" s="1"/>
  <c r="AB148" i="17"/>
  <c r="AB46" i="16"/>
  <c r="O358" i="2"/>
  <c r="O367" i="2" s="1"/>
  <c r="AN51" i="7"/>
  <c r="AN82" i="2" s="1"/>
  <c r="AN88" i="2" s="1"/>
  <c r="AN348" i="2" s="1"/>
  <c r="K356" i="2"/>
  <c r="I90" i="2"/>
  <c r="I356" i="2" s="1"/>
  <c r="S358" i="2"/>
  <c r="S367" i="2" s="1"/>
  <c r="Q354" i="2"/>
  <c r="Q366" i="2" s="1"/>
  <c r="R362" i="2"/>
  <c r="R368" i="2" s="1"/>
  <c r="K352" i="2"/>
  <c r="K354" i="2" s="1"/>
  <c r="K366" i="2" s="1"/>
  <c r="I89" i="2"/>
  <c r="I352" i="2" s="1"/>
  <c r="T358" i="2"/>
  <c r="T367" i="2" s="1"/>
  <c r="R358" i="2"/>
  <c r="R367" i="2" s="1"/>
  <c r="S354" i="2"/>
  <c r="S366" i="2" s="1"/>
  <c r="N362" i="2"/>
  <c r="N368" i="2" s="1"/>
  <c r="AD420" i="7"/>
  <c r="AD425" i="7" s="1"/>
  <c r="U358" i="2"/>
  <c r="N358" i="2"/>
  <c r="N367" i="2" s="1"/>
  <c r="L354" i="2"/>
  <c r="L366" i="2" s="1"/>
  <c r="O362" i="2"/>
  <c r="O368" i="2" s="1"/>
  <c r="AC761" i="2"/>
  <c r="AC918" i="2"/>
  <c r="K360" i="2"/>
  <c r="I91" i="2"/>
  <c r="I360" i="2" s="1"/>
  <c r="M358" i="2"/>
  <c r="M367" i="2" s="1"/>
  <c r="T354" i="2"/>
  <c r="T366" i="2" s="1"/>
  <c r="P354" i="2"/>
  <c r="P366" i="2" s="1"/>
  <c r="S362" i="2"/>
  <c r="S368" i="2" s="1"/>
  <c r="AC358" i="2"/>
  <c r="AO81" i="2"/>
  <c r="AO87" i="2" s="1"/>
  <c r="AO344" i="2" s="1"/>
  <c r="AR81" i="2"/>
  <c r="AR87" i="2" s="1"/>
  <c r="AR344" i="2" s="1"/>
  <c r="AP81" i="2"/>
  <c r="AP87" i="2" s="1"/>
  <c r="AP344" i="2" s="1"/>
  <c r="AQ81" i="2"/>
  <c r="AQ87" i="2" s="1"/>
  <c r="AQ344" i="2" s="1"/>
  <c r="AB236" i="2"/>
  <c r="AB345" i="2" s="1"/>
  <c r="AB346" i="2" s="1"/>
  <c r="AC236" i="2"/>
  <c r="AC345" i="2" s="1"/>
  <c r="AC346" i="2" s="1"/>
  <c r="AB238" i="2"/>
  <c r="AB353" i="2" s="1"/>
  <c r="AC238" i="2"/>
  <c r="AC353" i="2" s="1"/>
  <c r="AC354" i="2" s="1"/>
  <c r="AB237" i="2"/>
  <c r="AB349" i="2" s="1"/>
  <c r="AC237" i="2"/>
  <c r="AC349" i="2" s="1"/>
  <c r="AB240" i="2"/>
  <c r="AB361" i="2" s="1"/>
  <c r="AC240" i="2"/>
  <c r="AC361" i="2" s="1"/>
  <c r="AC362" i="2" s="1"/>
  <c r="W367" i="2"/>
  <c r="X366" i="2"/>
  <c r="V366" i="2"/>
  <c r="X368" i="2"/>
  <c r="Z367" i="2"/>
  <c r="Y364" i="2"/>
  <c r="AA366" i="2"/>
  <c r="Z368" i="2"/>
  <c r="X367" i="2"/>
  <c r="AA364" i="2"/>
  <c r="Y367" i="2"/>
  <c r="V367" i="2"/>
  <c r="X364" i="2"/>
  <c r="V368" i="2"/>
  <c r="Y365" i="2"/>
  <c r="Z364" i="2"/>
  <c r="Y366" i="2"/>
  <c r="Y368" i="2"/>
  <c r="W368" i="2"/>
  <c r="Z365" i="2"/>
  <c r="W609" i="2"/>
  <c r="AB367" i="2"/>
  <c r="AA368" i="2"/>
  <c r="W365" i="2"/>
  <c r="AA367" i="2"/>
  <c r="W366" i="2"/>
  <c r="X365" i="2"/>
  <c r="Z366" i="2"/>
  <c r="AA365" i="2"/>
  <c r="V365" i="2"/>
  <c r="W595" i="2"/>
  <c r="X590" i="2" s="1"/>
  <c r="X593" i="2" s="1"/>
  <c r="X597" i="2" s="1"/>
  <c r="X624" i="2" s="1"/>
  <c r="AS545" i="2"/>
  <c r="AO60" i="2"/>
  <c r="AO94" i="7"/>
  <c r="AO96" i="7" s="1"/>
  <c r="AO102" i="7" s="1"/>
  <c r="AR122" i="2"/>
  <c r="O109" i="2"/>
  <c r="O115" i="2"/>
  <c r="O117" i="2" s="1"/>
  <c r="O106" i="7"/>
  <c r="O108" i="7" s="1"/>
  <c r="AE262" i="4"/>
  <c r="AE250" i="2" s="1"/>
  <c r="AE252" i="2" s="1"/>
  <c r="AE262" i="2" s="1"/>
  <c r="AE264" i="2" s="1"/>
  <c r="AE207" i="4"/>
  <c r="AE136" i="2" s="1"/>
  <c r="AE138" i="2" s="1"/>
  <c r="AM58" i="2"/>
  <c r="AM86" i="7"/>
  <c r="AM88" i="7" s="1"/>
  <c r="AM100" i="7" s="1"/>
  <c r="AF59" i="2"/>
  <c r="AF90" i="7"/>
  <c r="AF92" i="7" s="1"/>
  <c r="AF101" i="7" s="1"/>
  <c r="AC461" i="7"/>
  <c r="AC464" i="7" s="1"/>
  <c r="AC51" i="7"/>
  <c r="AC82" i="2" s="1"/>
  <c r="AC88" i="2" s="1"/>
  <c r="AC348" i="2" s="1"/>
  <c r="X497" i="7"/>
  <c r="X474" i="7"/>
  <c r="T59" i="2"/>
  <c r="T90" i="7"/>
  <c r="T92" i="7" s="1"/>
  <c r="T101" i="7" s="1"/>
  <c r="R66" i="2"/>
  <c r="R68" i="2" s="1"/>
  <c r="R78" i="7"/>
  <c r="R80" i="7" s="1"/>
  <c r="R98" i="7" s="1"/>
  <c r="R56" i="2"/>
  <c r="M56" i="2"/>
  <c r="M66" i="2"/>
  <c r="M68" i="2" s="1"/>
  <c r="M78" i="7"/>
  <c r="M80" i="7" s="1"/>
  <c r="M98" i="7" s="1"/>
  <c r="K59" i="2"/>
  <c r="I53" i="7"/>
  <c r="I84" i="2" s="1"/>
  <c r="K90" i="7"/>
  <c r="K92" i="7" s="1"/>
  <c r="AI493" i="2"/>
  <c r="AD392" i="2"/>
  <c r="AD394" i="2" s="1"/>
  <c r="AD767" i="2" s="1"/>
  <c r="AD801" i="2"/>
  <c r="O392" i="2"/>
  <c r="O394" i="2" s="1"/>
  <c r="O767" i="2" s="1"/>
  <c r="O801" i="2"/>
  <c r="AC109" i="2"/>
  <c r="AC115" i="2"/>
  <c r="AC106" i="7"/>
  <c r="AC108" i="7" s="1"/>
  <c r="N109" i="2"/>
  <c r="N115" i="2"/>
  <c r="N117" i="2" s="1"/>
  <c r="N106" i="7"/>
  <c r="N108" i="7" s="1"/>
  <c r="AD262" i="4"/>
  <c r="AD250" i="2" s="1"/>
  <c r="AD252" i="2" s="1"/>
  <c r="AD262" i="2" s="1"/>
  <c r="AD264" i="2" s="1"/>
  <c r="AD207" i="4"/>
  <c r="AD136" i="2" s="1"/>
  <c r="AD138" i="2" s="1"/>
  <c r="AM56" i="2"/>
  <c r="AM66" i="2"/>
  <c r="AM68" i="2" s="1"/>
  <c r="AM78" i="7"/>
  <c r="AM80" i="7" s="1"/>
  <c r="AM98" i="7" s="1"/>
  <c r="AK59" i="2"/>
  <c r="AK55" i="7"/>
  <c r="AK90" i="7"/>
  <c r="AK92" i="7" s="1"/>
  <c r="AK101" i="7" s="1"/>
  <c r="AH58" i="2"/>
  <c r="AH86" i="7"/>
  <c r="AH88" i="7" s="1"/>
  <c r="AH100" i="7" s="1"/>
  <c r="AH56" i="2"/>
  <c r="AH66" i="2"/>
  <c r="AH68" i="2" s="1"/>
  <c r="AH78" i="7"/>
  <c r="AH80" i="7" s="1"/>
  <c r="AH98" i="7" s="1"/>
  <c r="AG60" i="2"/>
  <c r="AG94" i="7"/>
  <c r="AG96" i="7" s="1"/>
  <c r="AG102" i="7" s="1"/>
  <c r="AD60" i="2"/>
  <c r="AD94" i="7"/>
  <c r="AD96" i="7" s="1"/>
  <c r="AD102" i="7" s="1"/>
  <c r="AC59" i="2"/>
  <c r="AC90" i="7"/>
  <c r="AC92" i="7" s="1"/>
  <c r="AC101" i="7" s="1"/>
  <c r="U58" i="2"/>
  <c r="U86" i="7"/>
  <c r="U88" i="7" s="1"/>
  <c r="U100" i="7" s="1"/>
  <c r="U78" i="7"/>
  <c r="U80" i="7" s="1"/>
  <c r="U98" i="7" s="1"/>
  <c r="U56" i="2"/>
  <c r="U66" i="2"/>
  <c r="U68" i="2" s="1"/>
  <c r="S461" i="7"/>
  <c r="S464" i="7" s="1"/>
  <c r="S51" i="7"/>
  <c r="S82" i="2" s="1"/>
  <c r="S88" i="2" s="1"/>
  <c r="S348" i="2" s="1"/>
  <c r="S350" i="2" s="1"/>
  <c r="S365" i="2" s="1"/>
  <c r="P94" i="7"/>
  <c r="P96" i="7" s="1"/>
  <c r="P102" i="7" s="1"/>
  <c r="P60" i="2"/>
  <c r="P51" i="7"/>
  <c r="P82" i="2" s="1"/>
  <c r="P88" i="2" s="1"/>
  <c r="P348" i="2" s="1"/>
  <c r="P350" i="2" s="1"/>
  <c r="P365" i="2" s="1"/>
  <c r="P461" i="7"/>
  <c r="P464" i="7" s="1"/>
  <c r="O66" i="2"/>
  <c r="O68" i="2" s="1"/>
  <c r="O56" i="2"/>
  <c r="O78" i="7"/>
  <c r="O80" i="7" s="1"/>
  <c r="O98" i="7" s="1"/>
  <c r="L58" i="2"/>
  <c r="L86" i="7"/>
  <c r="L88" i="7" s="1"/>
  <c r="L100" i="7" s="1"/>
  <c r="K58" i="2"/>
  <c r="K86" i="7"/>
  <c r="K88" i="7" s="1"/>
  <c r="I52" i="7"/>
  <c r="I83" i="2" s="1"/>
  <c r="AS66" i="2"/>
  <c r="AS68" i="2" s="1"/>
  <c r="AS78" i="7"/>
  <c r="AS80" i="7" s="1"/>
  <c r="AS98" i="7" s="1"/>
  <c r="AS56" i="2"/>
  <c r="AF392" i="2"/>
  <c r="AF801" i="2"/>
  <c r="AG493" i="2"/>
  <c r="U493" i="2"/>
  <c r="P493" i="2"/>
  <c r="N493" i="2"/>
  <c r="K392" i="2"/>
  <c r="K394" i="2" s="1"/>
  <c r="K767" i="2" s="1"/>
  <c r="K801" i="2"/>
  <c r="K696" i="2"/>
  <c r="I121" i="8"/>
  <c r="I696" i="2" s="1"/>
  <c r="AC42" i="2"/>
  <c r="AC43" i="2" s="1"/>
  <c r="AC331" i="2"/>
  <c r="AN221" i="7"/>
  <c r="AN223" i="7" s="1"/>
  <c r="AN239" i="7"/>
  <c r="AN111" i="7"/>
  <c r="AN474" i="7"/>
  <c r="AN497" i="7"/>
  <c r="AJ55" i="7"/>
  <c r="AJ59" i="2"/>
  <c r="AJ90" i="7"/>
  <c r="AJ92" i="7" s="1"/>
  <c r="AJ101" i="7" s="1"/>
  <c r="AF78" i="7"/>
  <c r="AF80" i="7" s="1"/>
  <c r="AF98" i="7" s="1"/>
  <c r="AF56" i="2"/>
  <c r="AF66" i="2"/>
  <c r="AF68" i="2" s="1"/>
  <c r="AE51" i="7"/>
  <c r="AE82" i="2" s="1"/>
  <c r="AE88" i="2" s="1"/>
  <c r="AE348" i="2" s="1"/>
  <c r="AE461" i="7"/>
  <c r="AE464" i="7" s="1"/>
  <c r="S59" i="2"/>
  <c r="S90" i="7"/>
  <c r="S92" i="7" s="1"/>
  <c r="S101" i="7" s="1"/>
  <c r="Q56" i="2"/>
  <c r="Q66" i="2"/>
  <c r="Q68" i="2" s="1"/>
  <c r="Q78" i="7"/>
  <c r="Q80" i="7" s="1"/>
  <c r="Q98" i="7" s="1"/>
  <c r="L60" i="2"/>
  <c r="L94" i="7"/>
  <c r="L96" i="7" s="1"/>
  <c r="L102" i="7" s="1"/>
  <c r="AS90" i="7"/>
  <c r="AS92" i="7" s="1"/>
  <c r="AS101" i="7" s="1"/>
  <c r="AS59" i="2"/>
  <c r="AG392" i="2"/>
  <c r="AG394" i="2" s="1"/>
  <c r="AG767" i="2" s="1"/>
  <c r="AG801" i="2"/>
  <c r="S493" i="2"/>
  <c r="Q392" i="2"/>
  <c r="Q394" i="2" s="1"/>
  <c r="Q767" i="2" s="1"/>
  <c r="Q801" i="2"/>
  <c r="L392" i="2"/>
  <c r="L394" i="2" s="1"/>
  <c r="L767" i="2" s="1"/>
  <c r="L801" i="2"/>
  <c r="AP86" i="7"/>
  <c r="AP88" i="7" s="1"/>
  <c r="AP100" i="7" s="1"/>
  <c r="AP58" i="2"/>
  <c r="AP109" i="2"/>
  <c r="AP115" i="2"/>
  <c r="AP117" i="2" s="1"/>
  <c r="AP106" i="7"/>
  <c r="AP108" i="7" s="1"/>
  <c r="V115" i="2"/>
  <c r="V117" i="2" s="1"/>
  <c r="V106" i="7"/>
  <c r="V108" i="7" s="1"/>
  <c r="V109" i="2"/>
  <c r="AP55" i="7"/>
  <c r="U115" i="2"/>
  <c r="U117" i="2" s="1"/>
  <c r="U109" i="2"/>
  <c r="U106" i="7"/>
  <c r="U108" i="7" s="1"/>
  <c r="L115" i="2"/>
  <c r="L117" i="2" s="1"/>
  <c r="L109" i="2"/>
  <c r="L106" i="7"/>
  <c r="L108" i="7" s="1"/>
  <c r="AJ497" i="7"/>
  <c r="AJ474" i="7"/>
  <c r="AL58" i="2"/>
  <c r="AL86" i="7"/>
  <c r="AL88" i="7" s="1"/>
  <c r="AL100" i="7" s="1"/>
  <c r="AI60" i="2"/>
  <c r="AI94" i="7"/>
  <c r="AI96" i="7" s="1"/>
  <c r="AI102" i="7" s="1"/>
  <c r="AG66" i="2"/>
  <c r="AG68" i="2" s="1"/>
  <c r="AG81" i="2" s="1"/>
  <c r="AG87" i="2" s="1"/>
  <c r="AG344" i="2" s="1"/>
  <c r="AG78" i="7"/>
  <c r="AG80" i="7" s="1"/>
  <c r="AG98" i="7" s="1"/>
  <c r="AG56" i="2"/>
  <c r="AG461" i="7"/>
  <c r="AG464" i="7" s="1"/>
  <c r="AG51" i="7"/>
  <c r="AG82" i="2" s="1"/>
  <c r="AG88" i="2" s="1"/>
  <c r="AG348" i="2" s="1"/>
  <c r="AC58" i="2"/>
  <c r="AC86" i="7"/>
  <c r="AC88" i="7" s="1"/>
  <c r="AC100" i="7" s="1"/>
  <c r="AC78" i="7"/>
  <c r="AC80" i="7" s="1"/>
  <c r="AC98" i="7" s="1"/>
  <c r="AC66" i="2"/>
  <c r="AC56" i="2"/>
  <c r="W474" i="7"/>
  <c r="W497" i="7"/>
  <c r="U94" i="7"/>
  <c r="U96" i="7" s="1"/>
  <c r="U102" i="7" s="1"/>
  <c r="U60" i="2"/>
  <c r="T58" i="2"/>
  <c r="T86" i="7"/>
  <c r="T88" i="7" s="1"/>
  <c r="T100" i="7" s="1"/>
  <c r="Q58" i="2"/>
  <c r="Q86" i="7"/>
  <c r="Q88" i="7" s="1"/>
  <c r="Q100" i="7" s="1"/>
  <c r="P59" i="2"/>
  <c r="P90" i="7"/>
  <c r="P92" i="7" s="1"/>
  <c r="P101" i="7" s="1"/>
  <c r="N58" i="2"/>
  <c r="N86" i="7"/>
  <c r="N88" i="7" s="1"/>
  <c r="N100" i="7" s="1"/>
  <c r="N59" i="2"/>
  <c r="N90" i="7"/>
  <c r="N92" i="7" s="1"/>
  <c r="N101" i="7" s="1"/>
  <c r="K66" i="2"/>
  <c r="K68" i="2" s="1"/>
  <c r="K81" i="2" s="1"/>
  <c r="K87" i="2" s="1"/>
  <c r="K344" i="2" s="1"/>
  <c r="K346" i="2" s="1"/>
  <c r="K56" i="2"/>
  <c r="I50" i="7"/>
  <c r="K78" i="7"/>
  <c r="K80" i="7" s="1"/>
  <c r="AC493" i="2"/>
  <c r="T493" i="2"/>
  <c r="Q493" i="2"/>
  <c r="O493" i="2"/>
  <c r="AB42" i="2"/>
  <c r="AB43" i="2" s="1"/>
  <c r="AB331" i="2"/>
  <c r="V42" i="2"/>
  <c r="V43" i="2" s="1"/>
  <c r="V331" i="2"/>
  <c r="AN122" i="2"/>
  <c r="M115" i="2"/>
  <c r="M117" i="2" s="1"/>
  <c r="M109" i="2"/>
  <c r="M106" i="7"/>
  <c r="M108" i="7" s="1"/>
  <c r="AP60" i="2"/>
  <c r="AP94" i="7"/>
  <c r="AP96" i="7" s="1"/>
  <c r="AP102" i="7" s="1"/>
  <c r="AH60" i="2"/>
  <c r="AH94" i="7"/>
  <c r="AH96" i="7" s="1"/>
  <c r="AH102" i="7" s="1"/>
  <c r="Q60" i="2"/>
  <c r="Q94" i="7"/>
  <c r="Q96" i="7" s="1"/>
  <c r="Q102" i="7" s="1"/>
  <c r="P392" i="2"/>
  <c r="P394" i="2" s="1"/>
  <c r="P767" i="2" s="1"/>
  <c r="P801" i="2"/>
  <c r="AO122" i="2"/>
  <c r="AQ392" i="2"/>
  <c r="AQ394" i="2" s="1"/>
  <c r="AQ767" i="2" s="1"/>
  <c r="AQ801" i="2"/>
  <c r="AH109" i="2"/>
  <c r="AH106" i="7"/>
  <c r="AH108" i="7" s="1"/>
  <c r="AH115" i="2"/>
  <c r="AH117" i="2" s="1"/>
  <c r="S106" i="7"/>
  <c r="S108" i="7" s="1"/>
  <c r="S115" i="2"/>
  <c r="S117" i="2" s="1"/>
  <c r="S109" i="2"/>
  <c r="K109" i="2"/>
  <c r="K115" i="2"/>
  <c r="K117" i="2" s="1"/>
  <c r="K106" i="7"/>
  <c r="K108" i="7" s="1"/>
  <c r="I60" i="7"/>
  <c r="AL239" i="7"/>
  <c r="AL221" i="7"/>
  <c r="AL223" i="7" s="1"/>
  <c r="AL111" i="7"/>
  <c r="AQ461" i="7"/>
  <c r="AQ464" i="7" s="1"/>
  <c r="AQ51" i="7"/>
  <c r="AQ82" i="2" s="1"/>
  <c r="AQ88" i="2" s="1"/>
  <c r="AQ348" i="2" s="1"/>
  <c r="AR57" i="7"/>
  <c r="AR258" i="7"/>
  <c r="AL474" i="7"/>
  <c r="AL497" i="7"/>
  <c r="AI59" i="2"/>
  <c r="AI55" i="7"/>
  <c r="AI90" i="7"/>
  <c r="AI92" i="7" s="1"/>
  <c r="AI101" i="7" s="1"/>
  <c r="AH461" i="7"/>
  <c r="AH464" i="7" s="1"/>
  <c r="AH51" i="7"/>
  <c r="AH82" i="2" s="1"/>
  <c r="AH88" i="2" s="1"/>
  <c r="AH348" i="2" s="1"/>
  <c r="AG59" i="2"/>
  <c r="AG90" i="7"/>
  <c r="AG92" i="7" s="1"/>
  <c r="AG101" i="7" s="1"/>
  <c r="AD78" i="7"/>
  <c r="AD80" i="7" s="1"/>
  <c r="AD98" i="7" s="1"/>
  <c r="AD56" i="2"/>
  <c r="AD66" i="2"/>
  <c r="AD68" i="2" s="1"/>
  <c r="AE60" i="2"/>
  <c r="AE94" i="7"/>
  <c r="AE96" i="7" s="1"/>
  <c r="AE102" i="7" s="1"/>
  <c r="W66" i="2"/>
  <c r="W68" i="2" s="1"/>
  <c r="W81" i="2" s="1"/>
  <c r="W87" i="2" s="1"/>
  <c r="W344" i="2" s="1"/>
  <c r="W346" i="2" s="1"/>
  <c r="W56" i="2"/>
  <c r="W55" i="7"/>
  <c r="W78" i="7"/>
  <c r="W80" i="7" s="1"/>
  <c r="W98" i="7" s="1"/>
  <c r="W103" i="7" s="1"/>
  <c r="V474" i="7"/>
  <c r="V497" i="7"/>
  <c r="S56" i="2"/>
  <c r="S66" i="2"/>
  <c r="S68" i="2" s="1"/>
  <c r="S78" i="7"/>
  <c r="S80" i="7" s="1"/>
  <c r="S98" i="7" s="1"/>
  <c r="S86" i="7"/>
  <c r="S88" i="7" s="1"/>
  <c r="S100" i="7" s="1"/>
  <c r="S58" i="2"/>
  <c r="R86" i="7"/>
  <c r="R88" i="7" s="1"/>
  <c r="R100" i="7" s="1"/>
  <c r="R58" i="2"/>
  <c r="O58" i="2"/>
  <c r="O86" i="7"/>
  <c r="O88" i="7" s="1"/>
  <c r="O100" i="7" s="1"/>
  <c r="O59" i="2"/>
  <c r="O90" i="7"/>
  <c r="O92" i="7" s="1"/>
  <c r="O101" i="7" s="1"/>
  <c r="M58" i="2"/>
  <c r="M86" i="7"/>
  <c r="M88" i="7" s="1"/>
  <c r="M100" i="7" s="1"/>
  <c r="K51" i="7"/>
  <c r="K82" i="2" s="1"/>
  <c r="K88" i="2" s="1"/>
  <c r="K461" i="7"/>
  <c r="K464" i="7" s="1"/>
  <c r="AL392" i="2"/>
  <c r="AL801" i="2"/>
  <c r="AE392" i="2"/>
  <c r="AE801" i="2"/>
  <c r="R392" i="2"/>
  <c r="R394" i="2" s="1"/>
  <c r="R767" i="2" s="1"/>
  <c r="R801" i="2"/>
  <c r="L493" i="2"/>
  <c r="AR474" i="7"/>
  <c r="AR497" i="7"/>
  <c r="AM115" i="2"/>
  <c r="AM117" i="2" s="1"/>
  <c r="AM106" i="7"/>
  <c r="AM108" i="7" s="1"/>
  <c r="AM109" i="2"/>
  <c r="Z42" i="2"/>
  <c r="Z43" i="2" s="1"/>
  <c r="Z331" i="2"/>
  <c r="AO111" i="7"/>
  <c r="AO239" i="7"/>
  <c r="AO221" i="7"/>
  <c r="AO223" i="7" s="1"/>
  <c r="AD115" i="2"/>
  <c r="AD117" i="2" s="1"/>
  <c r="AD109" i="2"/>
  <c r="AD106" i="7"/>
  <c r="AD108" i="7" s="1"/>
  <c r="T109" i="2"/>
  <c r="T106" i="7"/>
  <c r="T108" i="7" s="1"/>
  <c r="T115" i="2"/>
  <c r="T117" i="2" s="1"/>
  <c r="AF60" i="2"/>
  <c r="AF94" i="7"/>
  <c r="AF96" i="7" s="1"/>
  <c r="AF102" i="7" s="1"/>
  <c r="AD51" i="7"/>
  <c r="AD461" i="7"/>
  <c r="AD464" i="7" s="1"/>
  <c r="Q461" i="7"/>
  <c r="Q464" i="7" s="1"/>
  <c r="Q51" i="7"/>
  <c r="M461" i="7"/>
  <c r="M464" i="7" s="1"/>
  <c r="M51" i="7"/>
  <c r="M82" i="2" s="1"/>
  <c r="M88" i="2" s="1"/>
  <c r="M348" i="2" s="1"/>
  <c r="M350" i="2" s="1"/>
  <c r="M365" i="2" s="1"/>
  <c r="AI392" i="2"/>
  <c r="AI394" i="2" s="1"/>
  <c r="AI767" i="2" s="1"/>
  <c r="AI801" i="2"/>
  <c r="S392" i="2"/>
  <c r="S394" i="2" s="1"/>
  <c r="S767" i="2" s="1"/>
  <c r="S801" i="2"/>
  <c r="AA42" i="2"/>
  <c r="AA43" i="2" s="1"/>
  <c r="AA331" i="2"/>
  <c r="AN392" i="2"/>
  <c r="AN394" i="2" s="1"/>
  <c r="AN767" i="2" s="1"/>
  <c r="AN801" i="2"/>
  <c r="AI109" i="2"/>
  <c r="AI106" i="7"/>
  <c r="AI108" i="7" s="1"/>
  <c r="AI115" i="2"/>
  <c r="AI117" i="2" s="1"/>
  <c r="R106" i="7"/>
  <c r="R108" i="7" s="1"/>
  <c r="R109" i="2"/>
  <c r="R115" i="2"/>
  <c r="R117" i="2" s="1"/>
  <c r="AS106" i="7"/>
  <c r="AS108" i="7" s="1"/>
  <c r="AS115" i="2"/>
  <c r="AS117" i="2" s="1"/>
  <c r="AS109" i="2"/>
  <c r="AM59" i="2"/>
  <c r="AM90" i="7"/>
  <c r="AM92" i="7" s="1"/>
  <c r="AM101" i="7" s="1"/>
  <c r="AL57" i="2"/>
  <c r="AL82" i="7"/>
  <c r="AL84" i="7" s="1"/>
  <c r="AL99" i="7" s="1"/>
  <c r="AN58" i="2"/>
  <c r="AN86" i="7"/>
  <c r="AN88" i="7" s="1"/>
  <c r="AN100" i="7" s="1"/>
  <c r="AL60" i="2"/>
  <c r="AL94" i="7"/>
  <c r="AL96" i="7" s="1"/>
  <c r="AL102" i="7" s="1"/>
  <c r="AI497" i="7"/>
  <c r="AI474" i="7"/>
  <c r="AK60" i="2"/>
  <c r="AK94" i="7"/>
  <c r="AK96" i="7" s="1"/>
  <c r="AK102" i="7" s="1"/>
  <c r="AF86" i="7"/>
  <c r="AF88" i="7" s="1"/>
  <c r="AF100" i="7" s="1"/>
  <c r="AF58" i="2"/>
  <c r="AE58" i="2"/>
  <c r="AE86" i="7"/>
  <c r="AE88" i="7" s="1"/>
  <c r="AE100" i="7" s="1"/>
  <c r="AE56" i="2"/>
  <c r="AE66" i="2"/>
  <c r="AE68" i="2" s="1"/>
  <c r="AE78" i="7"/>
  <c r="AE80" i="7" s="1"/>
  <c r="AE98" i="7" s="1"/>
  <c r="AE55" i="7"/>
  <c r="AE59" i="2"/>
  <c r="AE90" i="7"/>
  <c r="AE92" i="7" s="1"/>
  <c r="AE101" i="7" s="1"/>
  <c r="AB474" i="7"/>
  <c r="AB497" i="7"/>
  <c r="T461" i="7"/>
  <c r="T464" i="7" s="1"/>
  <c r="T51" i="7"/>
  <c r="T82" i="2" s="1"/>
  <c r="T88" i="2" s="1"/>
  <c r="T348" i="2" s="1"/>
  <c r="T350" i="2" s="1"/>
  <c r="T365" i="2" s="1"/>
  <c r="R90" i="7"/>
  <c r="R92" i="7" s="1"/>
  <c r="R101" i="7" s="1"/>
  <c r="R59" i="2"/>
  <c r="P58" i="2"/>
  <c r="P86" i="7"/>
  <c r="P88" i="7" s="1"/>
  <c r="P100" i="7" s="1"/>
  <c r="N51" i="7"/>
  <c r="N461" i="7"/>
  <c r="N464" i="7" s="1"/>
  <c r="L59" i="2"/>
  <c r="L90" i="7"/>
  <c r="L92" i="7" s="1"/>
  <c r="L101" i="7" s="1"/>
  <c r="L461" i="7"/>
  <c r="L464" i="7" s="1"/>
  <c r="L51" i="7"/>
  <c r="L82" i="2" s="1"/>
  <c r="L88" i="2" s="1"/>
  <c r="L348" i="2" s="1"/>
  <c r="L350" i="2" s="1"/>
  <c r="L365" i="2" s="1"/>
  <c r="AS51" i="7"/>
  <c r="AS461" i="7"/>
  <c r="AS464" i="7" s="1"/>
  <c r="AM392" i="2"/>
  <c r="AM394" i="2" s="1"/>
  <c r="AM767" i="2" s="1"/>
  <c r="AM801" i="2"/>
  <c r="AH392" i="2"/>
  <c r="AH394" i="2" s="1"/>
  <c r="AH767" i="2" s="1"/>
  <c r="AH801" i="2"/>
  <c r="AE493" i="2"/>
  <c r="AC392" i="2"/>
  <c r="AC394" i="2" s="1"/>
  <c r="AC767" i="2" s="1"/>
  <c r="AC801" i="2"/>
  <c r="M801" i="2"/>
  <c r="M392" i="2"/>
  <c r="M394" i="2" s="1"/>
  <c r="M767" i="2" s="1"/>
  <c r="AR82" i="7"/>
  <c r="AR84" i="7" s="1"/>
  <c r="AR99" i="7" s="1"/>
  <c r="AR103" i="7" s="1"/>
  <c r="AR57" i="2"/>
  <c r="AR70" i="2" s="1"/>
  <c r="AR75" i="2" s="1"/>
  <c r="Y42" i="2"/>
  <c r="Y43" i="2" s="1"/>
  <c r="Y331" i="2"/>
  <c r="AM60" i="2"/>
  <c r="AM94" i="7"/>
  <c r="AM96" i="7" s="1"/>
  <c r="AM102" i="7" s="1"/>
  <c r="AQ94" i="7"/>
  <c r="AQ96" i="7" s="1"/>
  <c r="AQ102" i="7" s="1"/>
  <c r="AQ60" i="2"/>
  <c r="AA474" i="7"/>
  <c r="AA497" i="7"/>
  <c r="U59" i="2"/>
  <c r="U90" i="7"/>
  <c r="U92" i="7" s="1"/>
  <c r="U101" i="7" s="1"/>
  <c r="N60" i="2"/>
  <c r="N94" i="7"/>
  <c r="N96" i="7" s="1"/>
  <c r="N102" i="7" s="1"/>
  <c r="AD493" i="2"/>
  <c r="U392" i="2"/>
  <c r="U394" i="2" s="1"/>
  <c r="U767" i="2" s="1"/>
  <c r="U801" i="2"/>
  <c r="K499" i="2"/>
  <c r="AG109" i="2"/>
  <c r="AG115" i="2"/>
  <c r="AG117" i="2" s="1"/>
  <c r="AG106" i="7"/>
  <c r="AG108" i="7" s="1"/>
  <c r="Q109" i="2"/>
  <c r="Q106" i="7"/>
  <c r="Q108" i="7" s="1"/>
  <c r="Q115" i="2"/>
  <c r="Q117" i="2" s="1"/>
  <c r="AS135" i="7"/>
  <c r="AS140" i="7" s="1"/>
  <c r="AS136" i="7"/>
  <c r="AS153" i="7" s="1"/>
  <c r="AS499" i="2" s="1"/>
  <c r="AS137" i="7"/>
  <c r="AS154" i="7" s="1"/>
  <c r="AL122" i="2"/>
  <c r="K299" i="7"/>
  <c r="L294" i="7"/>
  <c r="L297" i="7" s="1"/>
  <c r="AG207" i="4"/>
  <c r="AG136" i="2" s="1"/>
  <c r="AG138" i="2" s="1"/>
  <c r="AG262" i="4"/>
  <c r="AG250" i="2" s="1"/>
  <c r="AG252" i="2" s="1"/>
  <c r="AG262" i="2" s="1"/>
  <c r="AG264" i="2" s="1"/>
  <c r="AS31" i="2"/>
  <c r="AS34" i="2" s="1"/>
  <c r="AS37" i="2" s="1"/>
  <c r="AS38" i="2" s="1"/>
  <c r="AS47" i="2" s="1"/>
  <c r="AS52" i="2" s="1"/>
  <c r="AS41" i="2"/>
  <c r="AS74" i="2"/>
  <c r="AN493" i="2"/>
  <c r="AP497" i="7"/>
  <c r="AP474" i="7"/>
  <c r="AM461" i="7"/>
  <c r="AM464" i="7" s="1"/>
  <c r="AM51" i="7"/>
  <c r="AJ60" i="2"/>
  <c r="AJ94" i="7"/>
  <c r="AJ96" i="7" s="1"/>
  <c r="AJ102" i="7" s="1"/>
  <c r="AH59" i="2"/>
  <c r="AH90" i="7"/>
  <c r="AH92" i="7" s="1"/>
  <c r="AH101" i="7" s="1"/>
  <c r="AD58" i="2"/>
  <c r="AD86" i="7"/>
  <c r="AD88" i="7" s="1"/>
  <c r="AD100" i="7" s="1"/>
  <c r="AD59" i="2"/>
  <c r="AD90" i="7"/>
  <c r="AD92" i="7" s="1"/>
  <c r="AD101" i="7" s="1"/>
  <c r="V66" i="2"/>
  <c r="V68" i="2" s="1"/>
  <c r="V81" i="2" s="1"/>
  <c r="V87" i="2" s="1"/>
  <c r="V344" i="2" s="1"/>
  <c r="V346" i="2" s="1"/>
  <c r="V55" i="7"/>
  <c r="V78" i="7"/>
  <c r="V80" i="7" s="1"/>
  <c r="V98" i="7" s="1"/>
  <c r="V103" i="7" s="1"/>
  <c r="V56" i="2"/>
  <c r="U51" i="7"/>
  <c r="U82" i="2" s="1"/>
  <c r="U88" i="2" s="1"/>
  <c r="U348" i="2" s="1"/>
  <c r="U350" i="2" s="1"/>
  <c r="U461" i="7"/>
  <c r="U464" i="7" s="1"/>
  <c r="T60" i="2"/>
  <c r="T94" i="7"/>
  <c r="T96" i="7" s="1"/>
  <c r="T102" i="7" s="1"/>
  <c r="Q90" i="7"/>
  <c r="Q92" i="7" s="1"/>
  <c r="Q101" i="7" s="1"/>
  <c r="Q59" i="2"/>
  <c r="O461" i="7"/>
  <c r="O464" i="7" s="1"/>
  <c r="O51" i="7"/>
  <c r="L66" i="2"/>
  <c r="L68" i="2" s="1"/>
  <c r="L56" i="2"/>
  <c r="L78" i="7"/>
  <c r="L80" i="7" s="1"/>
  <c r="L98" i="7" s="1"/>
  <c r="M60" i="2"/>
  <c r="M94" i="7"/>
  <c r="M96" i="7" s="1"/>
  <c r="M102" i="7" s="1"/>
  <c r="AS94" i="7"/>
  <c r="AS96" i="7" s="1"/>
  <c r="AS102" i="7" s="1"/>
  <c r="AS60" i="2"/>
  <c r="AP392" i="2"/>
  <c r="AP394" i="2" s="1"/>
  <c r="AP767" i="2" s="1"/>
  <c r="AP801" i="2"/>
  <c r="AH493" i="2"/>
  <c r="R493" i="2"/>
  <c r="M493" i="2"/>
  <c r="AR493" i="2"/>
  <c r="X42" i="2"/>
  <c r="X43" i="2" s="1"/>
  <c r="X331" i="2"/>
  <c r="AO497" i="7"/>
  <c r="AO474" i="7"/>
  <c r="AE109" i="2"/>
  <c r="AE115" i="2"/>
  <c r="AE117" i="2" s="1"/>
  <c r="AE106" i="7"/>
  <c r="AE108" i="7" s="1"/>
  <c r="AK474" i="7"/>
  <c r="AK497" i="7"/>
  <c r="Y497" i="7"/>
  <c r="Y474" i="7"/>
  <c r="R94" i="7"/>
  <c r="R96" i="7" s="1"/>
  <c r="R102" i="7" s="1"/>
  <c r="R60" i="2"/>
  <c r="K60" i="2"/>
  <c r="K94" i="7"/>
  <c r="K96" i="7" s="1"/>
  <c r="I54" i="7"/>
  <c r="I85" i="2" s="1"/>
  <c r="AF493" i="2"/>
  <c r="AQ106" i="7"/>
  <c r="AQ108" i="7" s="1"/>
  <c r="AQ115" i="2"/>
  <c r="AQ117" i="2" s="1"/>
  <c r="AQ109" i="2"/>
  <c r="AF109" i="2"/>
  <c r="AF115" i="2"/>
  <c r="AF117" i="2" s="1"/>
  <c r="AF106" i="7"/>
  <c r="AF108" i="7" s="1"/>
  <c r="W115" i="2"/>
  <c r="W117" i="2" s="1"/>
  <c r="W109" i="2"/>
  <c r="W106" i="7"/>
  <c r="W108" i="7" s="1"/>
  <c r="P106" i="7"/>
  <c r="P108" i="7" s="1"/>
  <c r="P115" i="2"/>
  <c r="P117" i="2" s="1"/>
  <c r="P109" i="2"/>
  <c r="AF262" i="4"/>
  <c r="AF250" i="2" s="1"/>
  <c r="AF252" i="2" s="1"/>
  <c r="AF262" i="2" s="1"/>
  <c r="AF264" i="2" s="1"/>
  <c r="AF207" i="4"/>
  <c r="AF136" i="2" s="1"/>
  <c r="AF138" i="2" s="1"/>
  <c r="AS121" i="2"/>
  <c r="AO493" i="2"/>
  <c r="AP57" i="2"/>
  <c r="AP82" i="7"/>
  <c r="AP84" i="7" s="1"/>
  <c r="AP99" i="7" s="1"/>
  <c r="AP103" i="7" s="1"/>
  <c r="AO392" i="2"/>
  <c r="AO801" i="2"/>
  <c r="AF51" i="7"/>
  <c r="AF461" i="7"/>
  <c r="AF464" i="7" s="1"/>
  <c r="AG58" i="2"/>
  <c r="AG86" i="7"/>
  <c r="AG88" i="7" s="1"/>
  <c r="AG100" i="7" s="1"/>
  <c r="AC60" i="2"/>
  <c r="AC94" i="7"/>
  <c r="AC96" i="7" s="1"/>
  <c r="AC102" i="7" s="1"/>
  <c r="Z497" i="7"/>
  <c r="Z474" i="7"/>
  <c r="T56" i="2"/>
  <c r="T66" i="2"/>
  <c r="T68" i="2" s="1"/>
  <c r="T78" i="7"/>
  <c r="T80" i="7" s="1"/>
  <c r="T98" i="7" s="1"/>
  <c r="S60" i="2"/>
  <c r="S94" i="7"/>
  <c r="S96" i="7" s="1"/>
  <c r="S102" i="7" s="1"/>
  <c r="R51" i="7"/>
  <c r="R461" i="7"/>
  <c r="R464" i="7" s="1"/>
  <c r="P78" i="7"/>
  <c r="P80" i="7" s="1"/>
  <c r="P98" i="7" s="1"/>
  <c r="P56" i="2"/>
  <c r="P66" i="2"/>
  <c r="P68" i="2" s="1"/>
  <c r="O60" i="2"/>
  <c r="O94" i="7"/>
  <c r="O96" i="7" s="1"/>
  <c r="O102" i="7" s="1"/>
  <c r="N56" i="2"/>
  <c r="N66" i="2"/>
  <c r="N68" i="2" s="1"/>
  <c r="N78" i="7"/>
  <c r="N80" i="7" s="1"/>
  <c r="N98" i="7" s="1"/>
  <c r="M59" i="2"/>
  <c r="M90" i="7"/>
  <c r="M92" i="7" s="1"/>
  <c r="M101" i="7" s="1"/>
  <c r="AS86" i="7"/>
  <c r="AS88" i="7" s="1"/>
  <c r="AS100" i="7" s="1"/>
  <c r="AS58" i="2"/>
  <c r="T392" i="2"/>
  <c r="T394" i="2" s="1"/>
  <c r="T767" i="2" s="1"/>
  <c r="T801" i="2"/>
  <c r="N392" i="2"/>
  <c r="N394" i="2" s="1"/>
  <c r="N767" i="2" s="1"/>
  <c r="N801" i="2"/>
  <c r="AR392" i="2"/>
  <c r="AR801" i="2"/>
  <c r="AR221" i="7"/>
  <c r="AR223" i="7" s="1"/>
  <c r="AR239" i="7"/>
  <c r="AR111" i="7"/>
  <c r="AL66" i="2"/>
  <c r="AL68" i="2" s="1"/>
  <c r="AL56" i="2"/>
  <c r="AL78" i="7"/>
  <c r="AL80" i="7" s="1"/>
  <c r="AL98" i="7" s="1"/>
  <c r="AL55" i="7"/>
  <c r="W331" i="2"/>
  <c r="W42" i="2"/>
  <c r="W43" i="2" s="1"/>
  <c r="AO57" i="2"/>
  <c r="AO82" i="7"/>
  <c r="AO84" i="7" s="1"/>
  <c r="AO99" i="7" s="1"/>
  <c r="AO103" i="7" s="1"/>
  <c r="AR1051" i="2" l="1"/>
  <c r="AL394" i="2"/>
  <c r="AL767" i="2" s="1"/>
  <c r="AR394" i="2"/>
  <c r="AR767" i="2" s="1"/>
  <c r="S55" i="7"/>
  <c r="AE394" i="2"/>
  <c r="AE767" i="2" s="1"/>
  <c r="AR96" i="17"/>
  <c r="AR101" i="17" s="1"/>
  <c r="AR829" i="2"/>
  <c r="AR841" i="2" s="1"/>
  <c r="AR847" i="2" s="1"/>
  <c r="AR654" i="2"/>
  <c r="AR660" i="2"/>
  <c r="AR817" i="2"/>
  <c r="AR29" i="16"/>
  <c r="AR807" i="2"/>
  <c r="AR85" i="14"/>
  <c r="AR91" i="14" s="1"/>
  <c r="AC55" i="7"/>
  <c r="AG581" i="2"/>
  <c r="AG807" i="2"/>
  <c r="AG660" i="2"/>
  <c r="AG85" i="14"/>
  <c r="AG91" i="14" s="1"/>
  <c r="AG96" i="17"/>
  <c r="AG101" i="17" s="1"/>
  <c r="AG654" i="2"/>
  <c r="AG29" i="16"/>
  <c r="AG817" i="2"/>
  <c r="AG1051" i="2"/>
  <c r="AG829" i="2"/>
  <c r="AG841" i="2" s="1"/>
  <c r="AG847" i="2" s="1"/>
  <c r="AM581" i="2"/>
  <c r="AM829" i="2"/>
  <c r="AM841" i="2" s="1"/>
  <c r="AM847" i="2" s="1"/>
  <c r="AM85" i="14"/>
  <c r="AM91" i="14" s="1"/>
  <c r="AM29" i="16"/>
  <c r="AM1051" i="2"/>
  <c r="AM654" i="2"/>
  <c r="AM817" i="2"/>
  <c r="AM807" i="2"/>
  <c r="AM96" i="17"/>
  <c r="AM101" i="17" s="1"/>
  <c r="AM660" i="2"/>
  <c r="AF257" i="4"/>
  <c r="AF258" i="4"/>
  <c r="AF256" i="4"/>
  <c r="AN581" i="2"/>
  <c r="AN1051" i="2"/>
  <c r="AN29" i="16"/>
  <c r="AN817" i="2"/>
  <c r="AN829" i="2"/>
  <c r="AN841" i="2" s="1"/>
  <c r="AN847" i="2" s="1"/>
  <c r="AN85" i="14"/>
  <c r="AN91" i="14" s="1"/>
  <c r="AN96" i="17"/>
  <c r="AN101" i="17" s="1"/>
  <c r="AN660" i="2"/>
  <c r="AN654" i="2"/>
  <c r="AN807" i="2"/>
  <c r="AH202" i="4"/>
  <c r="AI202" i="4" s="1"/>
  <c r="AJ202" i="4" s="1"/>
  <c r="AK202" i="4" s="1"/>
  <c r="AL202" i="4" s="1"/>
  <c r="AM202" i="4" s="1"/>
  <c r="AN202" i="4" s="1"/>
  <c r="AO202" i="4" s="1"/>
  <c r="AP202" i="4" s="1"/>
  <c r="AQ202" i="4" s="1"/>
  <c r="AR202" i="4" s="1"/>
  <c r="AS202" i="4" s="1"/>
  <c r="AH203" i="4"/>
  <c r="AI203" i="4" s="1"/>
  <c r="AJ203" i="4" s="1"/>
  <c r="AK203" i="4" s="1"/>
  <c r="AL203" i="4" s="1"/>
  <c r="AM203" i="4" s="1"/>
  <c r="AN203" i="4" s="1"/>
  <c r="AO203" i="4" s="1"/>
  <c r="AP203" i="4" s="1"/>
  <c r="AQ203" i="4" s="1"/>
  <c r="AR203" i="4" s="1"/>
  <c r="AS203" i="4" s="1"/>
  <c r="AH201" i="4"/>
  <c r="AI201" i="4" s="1"/>
  <c r="AJ201" i="4" s="1"/>
  <c r="AK201" i="4" s="1"/>
  <c r="AL201" i="4" s="1"/>
  <c r="AM201" i="4" s="1"/>
  <c r="AN201" i="4" s="1"/>
  <c r="AO201" i="4" s="1"/>
  <c r="AP201" i="4" s="1"/>
  <c r="AQ201" i="4" s="1"/>
  <c r="AR201" i="4" s="1"/>
  <c r="AS201" i="4" s="1"/>
  <c r="AJ581" i="2"/>
  <c r="AJ807" i="2"/>
  <c r="AJ96" i="17"/>
  <c r="AJ101" i="17" s="1"/>
  <c r="AJ829" i="2"/>
  <c r="AJ841" i="2" s="1"/>
  <c r="AJ847" i="2" s="1"/>
  <c r="AJ1051" i="2"/>
  <c r="AJ654" i="2"/>
  <c r="AJ660" i="2"/>
  <c r="AJ29" i="16"/>
  <c r="AJ85" i="14"/>
  <c r="AJ91" i="14" s="1"/>
  <c r="AJ817" i="2"/>
  <c r="AL581" i="2"/>
  <c r="AL96" i="17"/>
  <c r="AL101" i="17" s="1"/>
  <c r="AL807" i="2"/>
  <c r="AL660" i="2"/>
  <c r="AL1051" i="2"/>
  <c r="AL829" i="2"/>
  <c r="AL841" i="2" s="1"/>
  <c r="AL847" i="2" s="1"/>
  <c r="AL817" i="2"/>
  <c r="AL85" i="14"/>
  <c r="AL91" i="14" s="1"/>
  <c r="AL654" i="2"/>
  <c r="AL29" i="16"/>
  <c r="AF202" i="4"/>
  <c r="AF203" i="4"/>
  <c r="AF201" i="4"/>
  <c r="AP581" i="2"/>
  <c r="AP1051" i="2"/>
  <c r="AP85" i="14"/>
  <c r="AP91" i="14" s="1"/>
  <c r="AP829" i="2"/>
  <c r="AP841" i="2" s="1"/>
  <c r="AP847" i="2" s="1"/>
  <c r="AP96" i="17"/>
  <c r="AP101" i="17" s="1"/>
  <c r="AP660" i="2"/>
  <c r="AP654" i="2"/>
  <c r="AP807" i="2"/>
  <c r="AP29" i="16"/>
  <c r="AP817" i="2"/>
  <c r="AJ767" i="2"/>
  <c r="AJ21" i="16"/>
  <c r="AJ1043" i="2"/>
  <c r="AE257" i="4"/>
  <c r="AE258" i="4"/>
  <c r="AE256" i="4"/>
  <c r="AK767" i="2"/>
  <c r="AK1043" i="2"/>
  <c r="AK21" i="16"/>
  <c r="AE203" i="4"/>
  <c r="AE202" i="4"/>
  <c r="AE201" i="4"/>
  <c r="AG257" i="4"/>
  <c r="AG258" i="4"/>
  <c r="AG256" i="4"/>
  <c r="AH581" i="2"/>
  <c r="AH807" i="2"/>
  <c r="AH29" i="16"/>
  <c r="AH1051" i="2"/>
  <c r="AH85" i="14"/>
  <c r="AH91" i="14" s="1"/>
  <c r="AH654" i="2"/>
  <c r="AH817" i="2"/>
  <c r="AH660" i="2"/>
  <c r="AH96" i="17"/>
  <c r="AH101" i="17" s="1"/>
  <c r="AH829" i="2"/>
  <c r="AH841" i="2" s="1"/>
  <c r="AH847" i="2" s="1"/>
  <c r="AO394" i="2"/>
  <c r="AO767" i="2" s="1"/>
  <c r="AO581" i="2"/>
  <c r="AO96" i="17"/>
  <c r="AO101" i="17" s="1"/>
  <c r="AO654" i="2"/>
  <c r="AO829" i="2"/>
  <c r="AO841" i="2" s="1"/>
  <c r="AO847" i="2" s="1"/>
  <c r="AO1051" i="2"/>
  <c r="AO85" i="14"/>
  <c r="AO91" i="14" s="1"/>
  <c r="AO817" i="2"/>
  <c r="AO29" i="16"/>
  <c r="AO660" i="2"/>
  <c r="AO807" i="2"/>
  <c r="AQ581" i="2"/>
  <c r="AQ817" i="2"/>
  <c r="AQ660" i="2"/>
  <c r="AQ96" i="17"/>
  <c r="AQ101" i="17" s="1"/>
  <c r="AQ1051" i="2"/>
  <c r="AQ829" i="2"/>
  <c r="AQ841" i="2" s="1"/>
  <c r="AQ847" i="2" s="1"/>
  <c r="AQ654" i="2"/>
  <c r="AQ807" i="2"/>
  <c r="AQ29" i="16"/>
  <c r="AQ85" i="14"/>
  <c r="AQ91" i="14" s="1"/>
  <c r="AI581" i="2"/>
  <c r="AI807" i="2"/>
  <c r="AI85" i="14"/>
  <c r="AI91" i="14" s="1"/>
  <c r="AI829" i="2"/>
  <c r="AI841" i="2" s="1"/>
  <c r="AI847" i="2" s="1"/>
  <c r="AI1051" i="2"/>
  <c r="AI96" i="17"/>
  <c r="AI101" i="17" s="1"/>
  <c r="AI817" i="2"/>
  <c r="AI660" i="2"/>
  <c r="AI654" i="2"/>
  <c r="AI29" i="16"/>
  <c r="AE641" i="2"/>
  <c r="I635" i="2"/>
  <c r="I641" i="2" s="1"/>
  <c r="AG202" i="4"/>
  <c r="AG203" i="4"/>
  <c r="AG201" i="4"/>
  <c r="AI255" i="4"/>
  <c r="AJ255" i="4" s="1"/>
  <c r="AK255" i="4" s="1"/>
  <c r="AL255" i="4" s="1"/>
  <c r="AM255" i="4" s="1"/>
  <c r="AN255" i="4" s="1"/>
  <c r="AO255" i="4" s="1"/>
  <c r="AP255" i="4" s="1"/>
  <c r="AQ255" i="4" s="1"/>
  <c r="AR255" i="4" s="1"/>
  <c r="AS255" i="4" s="1"/>
  <c r="AI254" i="4"/>
  <c r="AJ254" i="4" s="1"/>
  <c r="AK254" i="4" s="1"/>
  <c r="AL254" i="4" s="1"/>
  <c r="AM254" i="4" s="1"/>
  <c r="AN254" i="4" s="1"/>
  <c r="AO254" i="4" s="1"/>
  <c r="AP254" i="4" s="1"/>
  <c r="AQ254" i="4" s="1"/>
  <c r="AR254" i="4" s="1"/>
  <c r="AS254" i="4" s="1"/>
  <c r="AK581" i="2"/>
  <c r="AK817" i="2"/>
  <c r="AK807" i="2"/>
  <c r="AK29" i="16"/>
  <c r="AK85" i="14"/>
  <c r="AK91" i="14" s="1"/>
  <c r="AK96" i="17"/>
  <c r="AK101" i="17" s="1"/>
  <c r="AK829" i="2"/>
  <c r="AK841" i="2" s="1"/>
  <c r="AK847" i="2" s="1"/>
  <c r="AK660" i="2"/>
  <c r="AK654" i="2"/>
  <c r="AK1051" i="2"/>
  <c r="AF394" i="2"/>
  <c r="AF767" i="2" s="1"/>
  <c r="AE581" i="2"/>
  <c r="AE817" i="2"/>
  <c r="AE660" i="2"/>
  <c r="AE807" i="2"/>
  <c r="AE1051" i="2"/>
  <c r="AE85" i="14"/>
  <c r="AE91" i="14" s="1"/>
  <c r="AE829" i="2"/>
  <c r="AE841" i="2" s="1"/>
  <c r="AE847" i="2" s="1"/>
  <c r="AE29" i="16"/>
  <c r="AE96" i="17"/>
  <c r="AE101" i="17" s="1"/>
  <c r="AE654" i="2"/>
  <c r="AF581" i="2"/>
  <c r="AF817" i="2"/>
  <c r="AF654" i="2"/>
  <c r="AF807" i="2"/>
  <c r="AF29" i="16"/>
  <c r="AF1051" i="2"/>
  <c r="AF96" i="17"/>
  <c r="AF101" i="17" s="1"/>
  <c r="AF660" i="2"/>
  <c r="AF85" i="14"/>
  <c r="AF91" i="14" s="1"/>
  <c r="AF829" i="2"/>
  <c r="AF841" i="2" s="1"/>
  <c r="AF847" i="2" s="1"/>
  <c r="AH258" i="4"/>
  <c r="AI258" i="4" s="1"/>
  <c r="AJ258" i="4" s="1"/>
  <c r="AK258" i="4" s="1"/>
  <c r="AL258" i="4" s="1"/>
  <c r="AM258" i="4" s="1"/>
  <c r="AN258" i="4" s="1"/>
  <c r="AO258" i="4" s="1"/>
  <c r="AP258" i="4" s="1"/>
  <c r="AQ258" i="4" s="1"/>
  <c r="AR258" i="4" s="1"/>
  <c r="AS258" i="4" s="1"/>
  <c r="AH257" i="4"/>
  <c r="AI257" i="4" s="1"/>
  <c r="AJ257" i="4" s="1"/>
  <c r="AK257" i="4" s="1"/>
  <c r="AL257" i="4" s="1"/>
  <c r="AM257" i="4" s="1"/>
  <c r="AN257" i="4" s="1"/>
  <c r="AO257" i="4" s="1"/>
  <c r="AP257" i="4" s="1"/>
  <c r="AQ257" i="4" s="1"/>
  <c r="AR257" i="4" s="1"/>
  <c r="AS257" i="4" s="1"/>
  <c r="AH256" i="4"/>
  <c r="AI256" i="4" s="1"/>
  <c r="AJ256" i="4" s="1"/>
  <c r="AK256" i="4" s="1"/>
  <c r="AL256" i="4" s="1"/>
  <c r="AM256" i="4" s="1"/>
  <c r="AN256" i="4" s="1"/>
  <c r="AO256" i="4" s="1"/>
  <c r="AP256" i="4" s="1"/>
  <c r="AQ256" i="4" s="1"/>
  <c r="AR256" i="4" s="1"/>
  <c r="AS256" i="4" s="1"/>
  <c r="AI200" i="4"/>
  <c r="AJ200" i="4" s="1"/>
  <c r="AK200" i="4" s="1"/>
  <c r="AL200" i="4" s="1"/>
  <c r="AM200" i="4" s="1"/>
  <c r="AN200" i="4" s="1"/>
  <c r="AO200" i="4" s="1"/>
  <c r="AP200" i="4" s="1"/>
  <c r="AQ200" i="4" s="1"/>
  <c r="AR200" i="4" s="1"/>
  <c r="AS200" i="4" s="1"/>
  <c r="AI199" i="4"/>
  <c r="AJ199" i="4" s="1"/>
  <c r="AK199" i="4" s="1"/>
  <c r="AL199" i="4" s="1"/>
  <c r="AM199" i="4" s="1"/>
  <c r="AN199" i="4" s="1"/>
  <c r="AO199" i="4" s="1"/>
  <c r="AP199" i="4" s="1"/>
  <c r="AQ199" i="4" s="1"/>
  <c r="AR199" i="4" s="1"/>
  <c r="AS199" i="4" s="1"/>
  <c r="I23" i="2"/>
  <c r="I31" i="2" s="1"/>
  <c r="I105" i="2"/>
  <c r="AH121" i="2"/>
  <c r="T121" i="2"/>
  <c r="AK121" i="2"/>
  <c r="AK126" i="2" s="1"/>
  <c r="AK471" i="2" s="1"/>
  <c r="AD31" i="2"/>
  <c r="AD34" i="2" s="1"/>
  <c r="AD37" i="2" s="1"/>
  <c r="AD38" i="2" s="1"/>
  <c r="AD74" i="2"/>
  <c r="AD41" i="2"/>
  <c r="AE121" i="2"/>
  <c r="AH74" i="2"/>
  <c r="AH41" i="2"/>
  <c r="AH31" i="2"/>
  <c r="AH34" i="2" s="1"/>
  <c r="AH37" i="2" s="1"/>
  <c r="AH38" i="2" s="1"/>
  <c r="T41" i="2"/>
  <c r="T74" i="2"/>
  <c r="T31" i="2"/>
  <c r="T34" i="2" s="1"/>
  <c r="T37" i="2" s="1"/>
  <c r="T38" i="2" s="1"/>
  <c r="AK41" i="2"/>
  <c r="AK74" i="2"/>
  <c r="AK31" i="2"/>
  <c r="AK34" i="2" s="1"/>
  <c r="AK37" i="2" s="1"/>
  <c r="AK38" i="2" s="1"/>
  <c r="AD121" i="2"/>
  <c r="AE74" i="2"/>
  <c r="AE31" i="2"/>
  <c r="AE34" i="2" s="1"/>
  <c r="AE37" i="2" s="1"/>
  <c r="AE38" i="2" s="1"/>
  <c r="AE41" i="2"/>
  <c r="AP74" i="2"/>
  <c r="AP31" i="2"/>
  <c r="AP34" i="2" s="1"/>
  <c r="AP37" i="2" s="1"/>
  <c r="AP38" i="2" s="1"/>
  <c r="AP41" i="2"/>
  <c r="AI74" i="2"/>
  <c r="AI31" i="2"/>
  <c r="AI34" i="2" s="1"/>
  <c r="AI37" i="2" s="1"/>
  <c r="AI38" i="2" s="1"/>
  <c r="AI41" i="2"/>
  <c r="M121" i="2"/>
  <c r="AG31" i="2"/>
  <c r="AG34" i="2" s="1"/>
  <c r="AG37" i="2" s="1"/>
  <c r="AG38" i="2" s="1"/>
  <c r="AG41" i="2"/>
  <c r="AG74" i="2"/>
  <c r="AL31" i="2"/>
  <c r="AL34" i="2" s="1"/>
  <c r="AL37" i="2" s="1"/>
  <c r="AL38" i="2" s="1"/>
  <c r="AL74" i="2"/>
  <c r="AL41" i="2"/>
  <c r="AM121" i="2"/>
  <c r="AF121" i="2"/>
  <c r="AP121" i="2"/>
  <c r="AI121" i="2"/>
  <c r="M74" i="2"/>
  <c r="M31" i="2"/>
  <c r="M34" i="2" s="1"/>
  <c r="M37" i="2" s="1"/>
  <c r="M38" i="2" s="1"/>
  <c r="M41" i="2"/>
  <c r="AG121" i="2"/>
  <c r="AL121" i="2"/>
  <c r="AL126" i="2" s="1"/>
  <c r="AL471" i="2" s="1"/>
  <c r="AM41" i="2"/>
  <c r="AM31" i="2"/>
  <c r="AM34" i="2" s="1"/>
  <c r="AM37" i="2" s="1"/>
  <c r="AM38" i="2" s="1"/>
  <c r="AM74" i="2"/>
  <c r="AF31" i="2"/>
  <c r="AF34" i="2" s="1"/>
  <c r="AF37" i="2" s="1"/>
  <c r="AF38" i="2" s="1"/>
  <c r="AF41" i="2"/>
  <c r="AF74" i="2"/>
  <c r="R121" i="2"/>
  <c r="K41" i="2"/>
  <c r="K31" i="2"/>
  <c r="K34" i="2" s="1"/>
  <c r="K37" i="2" s="1"/>
  <c r="K38" i="2" s="1"/>
  <c r="K74" i="2"/>
  <c r="AQ31" i="2"/>
  <c r="AQ34" i="2" s="1"/>
  <c r="AQ37" i="2" s="1"/>
  <c r="AQ38" i="2" s="1"/>
  <c r="AQ41" i="2"/>
  <c r="AQ74" i="2"/>
  <c r="AJ74" i="2"/>
  <c r="AJ31" i="2"/>
  <c r="AJ34" i="2" s="1"/>
  <c r="AJ37" i="2" s="1"/>
  <c r="AJ38" i="2" s="1"/>
  <c r="AJ41" i="2"/>
  <c r="U74" i="2"/>
  <c r="U31" i="2"/>
  <c r="U34" i="2" s="1"/>
  <c r="U37" i="2" s="1"/>
  <c r="U38" i="2" s="1"/>
  <c r="U41" i="2"/>
  <c r="N74" i="2"/>
  <c r="N41" i="2"/>
  <c r="N31" i="2"/>
  <c r="N34" i="2" s="1"/>
  <c r="N37" i="2" s="1"/>
  <c r="N38" i="2" s="1"/>
  <c r="O41" i="2"/>
  <c r="O31" i="2"/>
  <c r="O34" i="2" s="1"/>
  <c r="O37" i="2" s="1"/>
  <c r="O38" i="2" s="1"/>
  <c r="O74" i="2"/>
  <c r="AO121" i="2"/>
  <c r="AO126" i="2" s="1"/>
  <c r="AO471" i="2" s="1"/>
  <c r="AN41" i="2"/>
  <c r="AN31" i="2"/>
  <c r="AN34" i="2" s="1"/>
  <c r="AN37" i="2" s="1"/>
  <c r="AN38" i="2" s="1"/>
  <c r="AN74" i="2"/>
  <c r="R74" i="2"/>
  <c r="R31" i="2"/>
  <c r="R34" i="2" s="1"/>
  <c r="R37" i="2" s="1"/>
  <c r="R38" i="2" s="1"/>
  <c r="R41" i="2"/>
  <c r="K121" i="2"/>
  <c r="AQ121" i="2"/>
  <c r="AJ121" i="2"/>
  <c r="AJ126" i="2" s="1"/>
  <c r="AJ471" i="2" s="1"/>
  <c r="U121" i="2"/>
  <c r="N121" i="2"/>
  <c r="O121" i="2"/>
  <c r="AO41" i="2"/>
  <c r="AO74" i="2"/>
  <c r="AO31" i="2"/>
  <c r="AO34" i="2" s="1"/>
  <c r="AO37" i="2" s="1"/>
  <c r="AO38" i="2" s="1"/>
  <c r="AN121" i="2"/>
  <c r="AN126" i="2" s="1"/>
  <c r="AN471" i="2" s="1"/>
  <c r="S31" i="2"/>
  <c r="S34" i="2" s="1"/>
  <c r="S37" i="2" s="1"/>
  <c r="S38" i="2" s="1"/>
  <c r="S41" i="2"/>
  <c r="S74" i="2"/>
  <c r="L121" i="2"/>
  <c r="AR121" i="2"/>
  <c r="AR126" i="2" s="1"/>
  <c r="AR471" i="2" s="1"/>
  <c r="V121" i="2"/>
  <c r="W121" i="2"/>
  <c r="P41" i="2"/>
  <c r="P74" i="2"/>
  <c r="P31" i="2"/>
  <c r="P34" i="2" s="1"/>
  <c r="P37" i="2" s="1"/>
  <c r="P38" i="2" s="1"/>
  <c r="Q121" i="2"/>
  <c r="S121" i="2"/>
  <c r="L31" i="2"/>
  <c r="L34" i="2" s="1"/>
  <c r="L37" i="2" s="1"/>
  <c r="L38" i="2" s="1"/>
  <c r="L41" i="2"/>
  <c r="L74" i="2"/>
  <c r="AR74" i="2"/>
  <c r="AR79" i="2" s="1"/>
  <c r="AR470" i="2" s="1"/>
  <c r="AR31" i="2"/>
  <c r="AR34" i="2" s="1"/>
  <c r="AR37" i="2" s="1"/>
  <c r="AR38" i="2" s="1"/>
  <c r="AR41" i="2"/>
  <c r="P121" i="2"/>
  <c r="Q31" i="2"/>
  <c r="Q34" i="2" s="1"/>
  <c r="Q37" i="2" s="1"/>
  <c r="Q38" i="2" s="1"/>
  <c r="Q74" i="2"/>
  <c r="Q41" i="2"/>
  <c r="AD924" i="2"/>
  <c r="AD925" i="2" s="1"/>
  <c r="AD937" i="2" s="1"/>
  <c r="AD929" i="2"/>
  <c r="AD912" i="2"/>
  <c r="AE907" i="2" s="1"/>
  <c r="AE908" i="2" s="1"/>
  <c r="AN82" i="7"/>
  <c r="AN84" i="7" s="1"/>
  <c r="AN99" i="7" s="1"/>
  <c r="AN103" i="7" s="1"/>
  <c r="AN57" i="2"/>
  <c r="AN70" i="2" s="1"/>
  <c r="AN75" i="2" s="1"/>
  <c r="AN79" i="2" s="1"/>
  <c r="AN470" i="2" s="1"/>
  <c r="AN55" i="7"/>
  <c r="AN258" i="7" s="1"/>
  <c r="AO258" i="7"/>
  <c r="L55" i="7"/>
  <c r="L258" i="7" s="1"/>
  <c r="P55" i="7"/>
  <c r="P57" i="7" s="1"/>
  <c r="AG55" i="7"/>
  <c r="AG57" i="7" s="1"/>
  <c r="AI103" i="7"/>
  <c r="AI217" i="7" s="1"/>
  <c r="AI219" i="7" s="1"/>
  <c r="AC350" i="2"/>
  <c r="AC1006" i="2"/>
  <c r="AC931" i="2"/>
  <c r="AC1096" i="2"/>
  <c r="I153" i="7"/>
  <c r="I499" i="2" s="1"/>
  <c r="AS55" i="7"/>
  <c r="AS258" i="7" s="1"/>
  <c r="AS82" i="2"/>
  <c r="AS88" i="2" s="1"/>
  <c r="AS348" i="2" s="1"/>
  <c r="Q55" i="7"/>
  <c r="Q258" i="7" s="1"/>
  <c r="Q82" i="2"/>
  <c r="Q88" i="2" s="1"/>
  <c r="Q348" i="2" s="1"/>
  <c r="Q350" i="2" s="1"/>
  <c r="Q365" i="2" s="1"/>
  <c r="AM55" i="7"/>
  <c r="AM258" i="7" s="1"/>
  <c r="AM82" i="2"/>
  <c r="AM88" i="2" s="1"/>
  <c r="AM348" i="2" s="1"/>
  <c r="O55" i="7"/>
  <c r="O57" i="7" s="1"/>
  <c r="O82" i="2"/>
  <c r="O88" i="2" s="1"/>
  <c r="O348" i="2" s="1"/>
  <c r="O350" i="2" s="1"/>
  <c r="O365" i="2" s="1"/>
  <c r="K348" i="2"/>
  <c r="K350" i="2" s="1"/>
  <c r="K365" i="2" s="1"/>
  <c r="N55" i="7"/>
  <c r="N57" i="7" s="1"/>
  <c r="N82" i="2"/>
  <c r="N88" i="2" s="1"/>
  <c r="N348" i="2" s="1"/>
  <c r="N350" i="2" s="1"/>
  <c r="N365" i="2" s="1"/>
  <c r="M55" i="7"/>
  <c r="M258" i="7" s="1"/>
  <c r="R55" i="7"/>
  <c r="R57" i="7" s="1"/>
  <c r="R82" i="2"/>
  <c r="R88" i="2" s="1"/>
  <c r="R348" i="2" s="1"/>
  <c r="R350" i="2" s="1"/>
  <c r="R365" i="2" s="1"/>
  <c r="AD55" i="7"/>
  <c r="AD258" i="7" s="1"/>
  <c r="AD82" i="2"/>
  <c r="AD88" i="2" s="1"/>
  <c r="AD348" i="2" s="1"/>
  <c r="AF55" i="7"/>
  <c r="AF57" i="7" s="1"/>
  <c r="AF82" i="2"/>
  <c r="AF88" i="2" s="1"/>
  <c r="AF348" i="2" s="1"/>
  <c r="AN57" i="7"/>
  <c r="AN259" i="7" s="1"/>
  <c r="AS555" i="2"/>
  <c r="AS329" i="2"/>
  <c r="W48" i="2"/>
  <c r="W53" i="2" s="1"/>
  <c r="W334" i="2" s="1"/>
  <c r="W336" i="2" s="1"/>
  <c r="W339" i="2" s="1"/>
  <c r="Y48" i="2"/>
  <c r="Y53" i="2" s="1"/>
  <c r="Y334" i="2" s="1"/>
  <c r="Y336" i="2" s="1"/>
  <c r="Y339" i="2" s="1"/>
  <c r="AB48" i="2"/>
  <c r="AB53" i="2" s="1"/>
  <c r="AB334" i="2" s="1"/>
  <c r="AB336" i="2" s="1"/>
  <c r="AB339" i="2" s="1"/>
  <c r="Z48" i="2"/>
  <c r="Z53" i="2" s="1"/>
  <c r="Z334" i="2" s="1"/>
  <c r="Z336" i="2" s="1"/>
  <c r="Z339" i="2" s="1"/>
  <c r="X48" i="2"/>
  <c r="X53" i="2" s="1"/>
  <c r="X334" i="2" s="1"/>
  <c r="X336" i="2" s="1"/>
  <c r="X339" i="2" s="1"/>
  <c r="AA48" i="2"/>
  <c r="AA53" i="2" s="1"/>
  <c r="AA334" i="2" s="1"/>
  <c r="AA336" i="2" s="1"/>
  <c r="AA339" i="2" s="1"/>
  <c r="V48" i="2"/>
  <c r="V53" i="2" s="1"/>
  <c r="V334" i="2" s="1"/>
  <c r="V336" i="2" s="1"/>
  <c r="V339" i="2" s="1"/>
  <c r="AC48" i="2"/>
  <c r="AC53" i="2" s="1"/>
  <c r="AC334" i="2" s="1"/>
  <c r="AC336" i="2" s="1"/>
  <c r="AC339" i="2" s="1"/>
  <c r="AB362" i="2"/>
  <c r="AB354" i="2"/>
  <c r="AB366" i="2" s="1"/>
  <c r="AB350" i="2"/>
  <c r="AC364" i="2"/>
  <c r="AD81" i="2"/>
  <c r="AD87" i="2" s="1"/>
  <c r="AD344" i="2" s="1"/>
  <c r="AS81" i="2"/>
  <c r="AS87" i="2" s="1"/>
  <c r="AS344" i="2" s="1"/>
  <c r="AE81" i="2"/>
  <c r="AE87" i="2" s="1"/>
  <c r="AE344" i="2" s="1"/>
  <c r="O81" i="2"/>
  <c r="O87" i="2" s="1"/>
  <c r="O344" i="2" s="1"/>
  <c r="O346" i="2" s="1"/>
  <c r="U81" i="2"/>
  <c r="U87" i="2" s="1"/>
  <c r="U344" i="2" s="1"/>
  <c r="U346" i="2" s="1"/>
  <c r="AH81" i="2"/>
  <c r="AH87" i="2" s="1"/>
  <c r="AH344" i="2" s="1"/>
  <c r="M81" i="2"/>
  <c r="M87" i="2" s="1"/>
  <c r="M344" i="2" s="1"/>
  <c r="M346" i="2" s="1"/>
  <c r="P81" i="2"/>
  <c r="P87" i="2" s="1"/>
  <c r="P344" i="2" s="1"/>
  <c r="P346" i="2" s="1"/>
  <c r="AM81" i="2"/>
  <c r="AM87" i="2" s="1"/>
  <c r="AM344" i="2" s="1"/>
  <c r="N81" i="2"/>
  <c r="N87" i="2" s="1"/>
  <c r="N344" i="2" s="1"/>
  <c r="N346" i="2" s="1"/>
  <c r="L81" i="2"/>
  <c r="L87" i="2" s="1"/>
  <c r="L344" i="2" s="1"/>
  <c r="L346" i="2" s="1"/>
  <c r="S81" i="2"/>
  <c r="S87" i="2" s="1"/>
  <c r="S344" i="2" s="1"/>
  <c r="S346" i="2" s="1"/>
  <c r="AL81" i="2"/>
  <c r="AL87" i="2" s="1"/>
  <c r="AL344" i="2" s="1"/>
  <c r="AF81" i="2"/>
  <c r="AF87" i="2" s="1"/>
  <c r="AF344" i="2" s="1"/>
  <c r="T81" i="2"/>
  <c r="T87" i="2" s="1"/>
  <c r="T344" i="2" s="1"/>
  <c r="T346" i="2" s="1"/>
  <c r="Q81" i="2"/>
  <c r="Q87" i="2" s="1"/>
  <c r="Q344" i="2" s="1"/>
  <c r="Q346" i="2" s="1"/>
  <c r="R81" i="2"/>
  <c r="R87" i="2" s="1"/>
  <c r="R344" i="2" s="1"/>
  <c r="R346" i="2" s="1"/>
  <c r="AB364" i="2"/>
  <c r="AC368" i="2"/>
  <c r="AS582" i="2"/>
  <c r="AS583" i="2" s="1"/>
  <c r="AO70" i="2"/>
  <c r="AO75" i="2" s="1"/>
  <c r="AO79" i="2" s="1"/>
  <c r="AO470" i="2" s="1"/>
  <c r="I545" i="2"/>
  <c r="AA369" i="2"/>
  <c r="AA373" i="2" s="1"/>
  <c r="Y369" i="2"/>
  <c r="Y373" i="2" s="1"/>
  <c r="X369" i="2"/>
  <c r="X373" i="2" s="1"/>
  <c r="Z369" i="2"/>
  <c r="Z373" i="2" s="1"/>
  <c r="X594" i="2"/>
  <c r="X602" i="2" s="1"/>
  <c r="X603" i="2" s="1"/>
  <c r="X609" i="2" s="1"/>
  <c r="AI70" i="2"/>
  <c r="AI75" i="2" s="1"/>
  <c r="AI79" i="2" s="1"/>
  <c r="AI470" i="2" s="1"/>
  <c r="AR583" i="2"/>
  <c r="AR601" i="2" s="1"/>
  <c r="AS122" i="2"/>
  <c r="AS126" i="2" s="1"/>
  <c r="AR217" i="7"/>
  <c r="AR219" i="7" s="1"/>
  <c r="AR234" i="7"/>
  <c r="AR110" i="7"/>
  <c r="AR112" i="7" s="1"/>
  <c r="Q57" i="7"/>
  <c r="AP217" i="7"/>
  <c r="AP219" i="7" s="1"/>
  <c r="AP110" i="7"/>
  <c r="AP234" i="7"/>
  <c r="T1043" i="2"/>
  <c r="T21" i="16"/>
  <c r="AS392" i="2"/>
  <c r="AS801" i="2"/>
  <c r="L497" i="7"/>
  <c r="L474" i="7"/>
  <c r="AI122" i="2"/>
  <c r="AI126" i="2" s="1"/>
  <c r="T221" i="7"/>
  <c r="T223" i="7" s="1"/>
  <c r="T111" i="7"/>
  <c r="T239" i="7"/>
  <c r="AH57" i="2"/>
  <c r="AH70" i="2" s="1"/>
  <c r="AH75" i="2" s="1"/>
  <c r="AH82" i="7"/>
  <c r="AH84" i="7" s="1"/>
  <c r="AH99" i="7" s="1"/>
  <c r="AH103" i="7" s="1"/>
  <c r="M122" i="2"/>
  <c r="AB340" i="2"/>
  <c r="K98" i="7"/>
  <c r="I80" i="7"/>
  <c r="I98" i="7" s="1"/>
  <c r="AC258" i="7"/>
  <c r="AC57" i="7"/>
  <c r="AP258" i="7"/>
  <c r="AP57" i="7"/>
  <c r="P497" i="7"/>
  <c r="P474" i="7"/>
  <c r="AL258" i="7"/>
  <c r="AL57" i="7"/>
  <c r="P122" i="2"/>
  <c r="P126" i="2" s="1"/>
  <c r="AE239" i="7"/>
  <c r="AE221" i="7"/>
  <c r="AE223" i="7" s="1"/>
  <c r="AE111" i="7"/>
  <c r="L57" i="7"/>
  <c r="V57" i="7"/>
  <c r="V258" i="7"/>
  <c r="AS42" i="2"/>
  <c r="AS43" i="2" s="1"/>
  <c r="AH1043" i="2"/>
  <c r="AH21" i="16"/>
  <c r="AH262" i="4"/>
  <c r="AH250" i="2" s="1"/>
  <c r="AH252" i="2" s="1"/>
  <c r="AH262" i="2" s="1"/>
  <c r="AH264" i="2" s="1"/>
  <c r="AI221" i="7"/>
  <c r="AI223" i="7" s="1"/>
  <c r="AI111" i="7"/>
  <c r="AI239" i="7"/>
  <c r="Q474" i="7"/>
  <c r="Q497" i="7"/>
  <c r="AH497" i="7"/>
  <c r="AH474" i="7"/>
  <c r="AR259" i="7"/>
  <c r="K122" i="2"/>
  <c r="I117" i="2"/>
  <c r="I66" i="2"/>
  <c r="I56" i="2"/>
  <c r="I78" i="7"/>
  <c r="P82" i="7"/>
  <c r="P84" i="7" s="1"/>
  <c r="P99" i="7" s="1"/>
  <c r="P103" i="7" s="1"/>
  <c r="P57" i="2"/>
  <c r="P70" i="2" s="1"/>
  <c r="P75" i="2" s="1"/>
  <c r="P79" i="2" s="1"/>
  <c r="P470" i="2" s="1"/>
  <c r="AK70" i="2"/>
  <c r="AK75" i="2" s="1"/>
  <c r="AK79" i="2" s="1"/>
  <c r="AK470" i="2" s="1"/>
  <c r="AD160" i="2"/>
  <c r="AD161" i="2" s="1"/>
  <c r="AD226" i="2"/>
  <c r="AD227" i="2" s="1"/>
  <c r="AD169" i="2"/>
  <c r="AD174" i="2" s="1"/>
  <c r="AD153" i="2"/>
  <c r="AD154" i="2" s="1"/>
  <c r="AD179" i="2" s="1"/>
  <c r="AD21" i="16"/>
  <c r="AD1043" i="2"/>
  <c r="O239" i="7"/>
  <c r="O221" i="7"/>
  <c r="O223" i="7" s="1"/>
  <c r="O111" i="7"/>
  <c r="AN234" i="7"/>
  <c r="AN110" i="7"/>
  <c r="AN112" i="7" s="1"/>
  <c r="AN217" i="7"/>
  <c r="AN219" i="7" s="1"/>
  <c r="Q82" i="7"/>
  <c r="Q84" i="7" s="1"/>
  <c r="Q99" i="7" s="1"/>
  <c r="Q103" i="7" s="1"/>
  <c r="Q57" i="2"/>
  <c r="Q70" i="2" s="1"/>
  <c r="Q75" i="2" s="1"/>
  <c r="Q79" i="2" s="1"/>
  <c r="Q470" i="2" s="1"/>
  <c r="K221" i="7"/>
  <c r="K223" i="7" s="1"/>
  <c r="K111" i="7"/>
  <c r="I108" i="7"/>
  <c r="K239" i="7"/>
  <c r="AG497" i="7"/>
  <c r="AG474" i="7"/>
  <c r="AG21" i="16"/>
  <c r="AG1043" i="2"/>
  <c r="AK258" i="7"/>
  <c r="AK57" i="7"/>
  <c r="AL103" i="7"/>
  <c r="AR1043" i="2"/>
  <c r="AR21" i="16"/>
  <c r="R497" i="7"/>
  <c r="R474" i="7"/>
  <c r="P221" i="7"/>
  <c r="P223" i="7" s="1"/>
  <c r="P111" i="7"/>
  <c r="P239" i="7"/>
  <c r="AQ122" i="2"/>
  <c r="AE122" i="2"/>
  <c r="AE126" i="2" s="1"/>
  <c r="X340" i="2"/>
  <c r="AP21" i="16"/>
  <c r="AP1043" i="2"/>
  <c r="V70" i="2"/>
  <c r="V75" i="2" s="1"/>
  <c r="V79" i="2" s="1"/>
  <c r="V470" i="2" s="1"/>
  <c r="AS493" i="2"/>
  <c r="U1043" i="2"/>
  <c r="U21" i="16"/>
  <c r="AL70" i="2"/>
  <c r="AL75" i="2" s="1"/>
  <c r="AL79" i="2" s="1"/>
  <c r="AL470" i="2" s="1"/>
  <c r="S21" i="16"/>
  <c r="S1043" i="2"/>
  <c r="AD474" i="7"/>
  <c r="AD497" i="7"/>
  <c r="AD111" i="7"/>
  <c r="AD221" i="7"/>
  <c r="AD223" i="7" s="1"/>
  <c r="AD239" i="7"/>
  <c r="Z340" i="2"/>
  <c r="AM111" i="7"/>
  <c r="AM239" i="7"/>
  <c r="AM221" i="7"/>
  <c r="AM223" i="7" s="1"/>
  <c r="AL1043" i="2"/>
  <c r="AL21" i="16"/>
  <c r="W234" i="7"/>
  <c r="W217" i="7"/>
  <c r="W219" i="7" s="1"/>
  <c r="W110" i="7"/>
  <c r="AQ57" i="2"/>
  <c r="AQ70" i="2" s="1"/>
  <c r="AQ75" i="2" s="1"/>
  <c r="AQ79" i="2" s="1"/>
  <c r="AQ470" i="2" s="1"/>
  <c r="AQ82" i="7"/>
  <c r="AQ84" i="7" s="1"/>
  <c r="AQ99" i="7" s="1"/>
  <c r="AQ103" i="7" s="1"/>
  <c r="AQ55" i="7"/>
  <c r="L221" i="7"/>
  <c r="L223" i="7" s="1"/>
  <c r="L111" i="7"/>
  <c r="L239" i="7"/>
  <c r="I154" i="7"/>
  <c r="AD280" i="2"/>
  <c r="AD282" i="2" s="1"/>
  <c r="AD274" i="2"/>
  <c r="AD275" i="2" s="1"/>
  <c r="AD297" i="2"/>
  <c r="AD267" i="2"/>
  <c r="O122" i="2"/>
  <c r="O126" i="2" s="1"/>
  <c r="AQ21" i="16"/>
  <c r="AQ1043" i="2"/>
  <c r="AF57" i="2"/>
  <c r="AF70" i="2" s="1"/>
  <c r="AF75" i="2" s="1"/>
  <c r="AF79" i="2" s="1"/>
  <c r="AF470" i="2" s="1"/>
  <c r="AF82" i="7"/>
  <c r="AF84" i="7" s="1"/>
  <c r="AF99" i="7" s="1"/>
  <c r="AF103" i="7" s="1"/>
  <c r="AC21" i="16"/>
  <c r="AC1043" i="2"/>
  <c r="AM21" i="16"/>
  <c r="AM1043" i="2"/>
  <c r="N474" i="7"/>
  <c r="N497" i="7"/>
  <c r="T57" i="2"/>
  <c r="T70" i="2" s="1"/>
  <c r="T75" i="2" s="1"/>
  <c r="T79" i="2" s="1"/>
  <c r="T470" i="2" s="1"/>
  <c r="T82" i="7"/>
  <c r="T84" i="7" s="1"/>
  <c r="T99" i="7" s="1"/>
  <c r="T103" i="7" s="1"/>
  <c r="AS221" i="7"/>
  <c r="AS223" i="7" s="1"/>
  <c r="AS111" i="7"/>
  <c r="AS239" i="7"/>
  <c r="AD122" i="2"/>
  <c r="AD126" i="2" s="1"/>
  <c r="R1043" i="2"/>
  <c r="R21" i="16"/>
  <c r="K57" i="2"/>
  <c r="K70" i="2" s="1"/>
  <c r="K82" i="7"/>
  <c r="K84" i="7" s="1"/>
  <c r="I51" i="7"/>
  <c r="I82" i="2" s="1"/>
  <c r="S258" i="7"/>
  <c r="S57" i="7"/>
  <c r="S122" i="2"/>
  <c r="S126" i="2" s="1"/>
  <c r="P21" i="16"/>
  <c r="P1043" i="2"/>
  <c r="I140" i="7"/>
  <c r="I493" i="2" s="1"/>
  <c r="U368" i="2"/>
  <c r="L122" i="2"/>
  <c r="L126" i="2" s="1"/>
  <c r="V239" i="7"/>
  <c r="V221" i="7"/>
  <c r="V223" i="7" s="1"/>
  <c r="V111" i="7"/>
  <c r="AJ103" i="7"/>
  <c r="K21" i="16"/>
  <c r="K1043" i="2"/>
  <c r="U366" i="2"/>
  <c r="N111" i="7"/>
  <c r="N239" i="7"/>
  <c r="N221" i="7"/>
  <c r="N223" i="7" s="1"/>
  <c r="K101" i="7"/>
  <c r="I92" i="7"/>
  <c r="I101" i="7" s="1"/>
  <c r="I121" i="2"/>
  <c r="U367" i="2"/>
  <c r="W340" i="2"/>
  <c r="Q122" i="2"/>
  <c r="Q126" i="2" s="1"/>
  <c r="W258" i="7"/>
  <c r="W57" i="7"/>
  <c r="I68" i="2"/>
  <c r="AC340" i="2"/>
  <c r="AF226" i="2"/>
  <c r="AF227" i="2" s="1"/>
  <c r="AF153" i="2"/>
  <c r="AF154" i="2" s="1"/>
  <c r="AF179" i="2" s="1"/>
  <c r="AF160" i="2"/>
  <c r="AF161" i="2" s="1"/>
  <c r="AF169" i="2"/>
  <c r="AF174" i="2" s="1"/>
  <c r="AG226" i="2"/>
  <c r="AG227" i="2" s="1"/>
  <c r="AG153" i="2"/>
  <c r="AG154" i="2" s="1"/>
  <c r="AG179" i="2" s="1"/>
  <c r="AG169" i="2"/>
  <c r="AG174" i="2" s="1"/>
  <c r="AG160" i="2"/>
  <c r="AG161" i="2" s="1"/>
  <c r="Q111" i="7"/>
  <c r="Q221" i="7"/>
  <c r="Q223" i="7" s="1"/>
  <c r="Q239" i="7"/>
  <c r="N1043" i="2"/>
  <c r="N21" i="16"/>
  <c r="AP70" i="2"/>
  <c r="AP75" i="2" s="1"/>
  <c r="W122" i="2"/>
  <c r="W126" i="2" s="1"/>
  <c r="O57" i="2"/>
  <c r="O70" i="2" s="1"/>
  <c r="O75" i="2" s="1"/>
  <c r="O79" i="2" s="1"/>
  <c r="O470" i="2" s="1"/>
  <c r="O82" i="7"/>
  <c r="O84" i="7" s="1"/>
  <c r="O99" i="7" s="1"/>
  <c r="O103" i="7" s="1"/>
  <c r="U497" i="7"/>
  <c r="U474" i="7"/>
  <c r="I41" i="2"/>
  <c r="AS497" i="7"/>
  <c r="AS474" i="7"/>
  <c r="N57" i="2"/>
  <c r="N70" i="2" s="1"/>
  <c r="N75" i="2" s="1"/>
  <c r="N79" i="2" s="1"/>
  <c r="N470" i="2" s="1"/>
  <c r="N82" i="7"/>
  <c r="N84" i="7" s="1"/>
  <c r="N99" i="7" s="1"/>
  <c r="N103" i="7" s="1"/>
  <c r="T474" i="7"/>
  <c r="T497" i="7"/>
  <c r="R122" i="2"/>
  <c r="R126" i="2" s="1"/>
  <c r="AN1043" i="2"/>
  <c r="AN21" i="16"/>
  <c r="AI1043" i="2"/>
  <c r="AI21" i="16"/>
  <c r="AO226" i="7"/>
  <c r="AO240" i="7"/>
  <c r="AO241" i="7" s="1"/>
  <c r="W70" i="2"/>
  <c r="W75" i="2" s="1"/>
  <c r="W79" i="2" s="1"/>
  <c r="W470" i="2" s="1"/>
  <c r="AL226" i="7"/>
  <c r="AL240" i="7"/>
  <c r="AL241" i="7" s="1"/>
  <c r="S111" i="7"/>
  <c r="S221" i="7"/>
  <c r="S223" i="7" s="1"/>
  <c r="S239" i="7"/>
  <c r="U221" i="7"/>
  <c r="U223" i="7" s="1"/>
  <c r="U111" i="7"/>
  <c r="U239" i="7"/>
  <c r="V122" i="2"/>
  <c r="AJ70" i="2"/>
  <c r="AJ75" i="2" s="1"/>
  <c r="AJ79" i="2" s="1"/>
  <c r="AJ470" i="2" s="1"/>
  <c r="I58" i="2"/>
  <c r="I86" i="7"/>
  <c r="S82" i="7"/>
  <c r="S84" i="7" s="1"/>
  <c r="S99" i="7" s="1"/>
  <c r="S103" i="7" s="1"/>
  <c r="S57" i="2"/>
  <c r="S70" i="2" s="1"/>
  <c r="S75" i="2" s="1"/>
  <c r="S79" i="2" s="1"/>
  <c r="S470" i="2" s="1"/>
  <c r="N122" i="2"/>
  <c r="N126" i="2" s="1"/>
  <c r="I59" i="2"/>
  <c r="I90" i="7"/>
  <c r="AC57" i="2"/>
  <c r="AC70" i="2" s="1"/>
  <c r="AC75" i="2" s="1"/>
  <c r="AC79" i="2" s="1"/>
  <c r="AC470" i="2" s="1"/>
  <c r="AC472" i="2" s="1"/>
  <c r="AC82" i="7"/>
  <c r="AC84" i="7" s="1"/>
  <c r="AC99" i="7" s="1"/>
  <c r="AC103" i="7" s="1"/>
  <c r="V217" i="7"/>
  <c r="V219" i="7" s="1"/>
  <c r="V234" i="7"/>
  <c r="V110" i="7"/>
  <c r="AO217" i="7"/>
  <c r="AO219" i="7" s="1"/>
  <c r="AO234" i="7"/>
  <c r="AO110" i="7"/>
  <c r="AO112" i="7" s="1"/>
  <c r="AG274" i="2"/>
  <c r="AG275" i="2" s="1"/>
  <c r="AG267" i="2"/>
  <c r="AG297" i="2"/>
  <c r="AG280" i="2"/>
  <c r="AG282" i="2" s="1"/>
  <c r="AE258" i="7"/>
  <c r="AE57" i="7"/>
  <c r="K497" i="7"/>
  <c r="I464" i="7"/>
  <c r="K474" i="7"/>
  <c r="AQ497" i="7"/>
  <c r="AQ474" i="7"/>
  <c r="AS82" i="7"/>
  <c r="AS84" i="7" s="1"/>
  <c r="AS99" i="7" s="1"/>
  <c r="AS103" i="7" s="1"/>
  <c r="AS57" i="2"/>
  <c r="AS70" i="2" s="1"/>
  <c r="AS75" i="2" s="1"/>
  <c r="AS79" i="2" s="1"/>
  <c r="AS470" i="2" s="1"/>
  <c r="AH207" i="4"/>
  <c r="AH136" i="2" s="1"/>
  <c r="AH138" i="2" s="1"/>
  <c r="AA340" i="2"/>
  <c r="M57" i="2"/>
  <c r="M70" i="2" s="1"/>
  <c r="M75" i="2" s="1"/>
  <c r="M79" i="2" s="1"/>
  <c r="M470" i="2" s="1"/>
  <c r="M82" i="7"/>
  <c r="M84" i="7" s="1"/>
  <c r="M99" i="7" s="1"/>
  <c r="M103" i="7" s="1"/>
  <c r="AH122" i="2"/>
  <c r="AH126" i="2" s="1"/>
  <c r="M239" i="7"/>
  <c r="M111" i="7"/>
  <c r="M221" i="7"/>
  <c r="M223" i="7" s="1"/>
  <c r="V340" i="2"/>
  <c r="AP239" i="7"/>
  <c r="AP111" i="7"/>
  <c r="AP221" i="7"/>
  <c r="AP223" i="7" s="1"/>
  <c r="AE474" i="7"/>
  <c r="AE497" i="7"/>
  <c r="AJ258" i="7"/>
  <c r="AJ57" i="7"/>
  <c r="AN226" i="7"/>
  <c r="AN240" i="7"/>
  <c r="AN241" i="7" s="1"/>
  <c r="K100" i="7"/>
  <c r="I88" i="7"/>
  <c r="I100" i="7" s="1"/>
  <c r="S474" i="7"/>
  <c r="S497" i="7"/>
  <c r="AC367" i="2"/>
  <c r="O21" i="16"/>
  <c r="O1043" i="2"/>
  <c r="AC474" i="7"/>
  <c r="AC497" i="7"/>
  <c r="AE153" i="2"/>
  <c r="AE154" i="2" s="1"/>
  <c r="AE179" i="2" s="1"/>
  <c r="AE160" i="2"/>
  <c r="AE161" i="2" s="1"/>
  <c r="AE169" i="2"/>
  <c r="AE174" i="2" s="1"/>
  <c r="AE226" i="2"/>
  <c r="AE227" i="2" s="1"/>
  <c r="AM497" i="7"/>
  <c r="AM474" i="7"/>
  <c r="R82" i="7"/>
  <c r="R84" i="7" s="1"/>
  <c r="R99" i="7" s="1"/>
  <c r="R103" i="7" s="1"/>
  <c r="R57" i="2"/>
  <c r="R70" i="2" s="1"/>
  <c r="R75" i="2" s="1"/>
  <c r="R79" i="2" s="1"/>
  <c r="R470" i="2" s="1"/>
  <c r="AF497" i="7"/>
  <c r="AF474" i="7"/>
  <c r="W111" i="7"/>
  <c r="W221" i="7"/>
  <c r="W223" i="7" s="1"/>
  <c r="W239" i="7"/>
  <c r="AQ239" i="7"/>
  <c r="AQ111" i="7"/>
  <c r="AQ221" i="7"/>
  <c r="AQ223" i="7" s="1"/>
  <c r="AD57" i="2"/>
  <c r="AD70" i="2" s="1"/>
  <c r="AD75" i="2" s="1"/>
  <c r="AD79" i="2" s="1"/>
  <c r="AD470" i="2" s="1"/>
  <c r="AD82" i="7"/>
  <c r="AD84" i="7" s="1"/>
  <c r="AD99" i="7" s="1"/>
  <c r="AD103" i="7" s="1"/>
  <c r="AM122" i="2"/>
  <c r="AM126" i="2" s="1"/>
  <c r="AI258" i="7"/>
  <c r="AI57" i="7"/>
  <c r="Q21" i="16"/>
  <c r="Q1043" i="2"/>
  <c r="AO259" i="7"/>
  <c r="AF274" i="2"/>
  <c r="AF275" i="2" s="1"/>
  <c r="AF267" i="2"/>
  <c r="AF297" i="2"/>
  <c r="AF280" i="2"/>
  <c r="AF282" i="2" s="1"/>
  <c r="AF111" i="7"/>
  <c r="AF221" i="7"/>
  <c r="AF223" i="7" s="1"/>
  <c r="AF239" i="7"/>
  <c r="I60" i="2"/>
  <c r="I94" i="7"/>
  <c r="O497" i="7"/>
  <c r="O474" i="7"/>
  <c r="U57" i="2"/>
  <c r="U70" i="2" s="1"/>
  <c r="U75" i="2" s="1"/>
  <c r="U79" i="2" s="1"/>
  <c r="U470" i="2" s="1"/>
  <c r="U82" i="7"/>
  <c r="U84" i="7" s="1"/>
  <c r="U99" i="7" s="1"/>
  <c r="U103" i="7" s="1"/>
  <c r="L299" i="7"/>
  <c r="L302" i="7" s="1"/>
  <c r="M294" i="7"/>
  <c r="M297" i="7" s="1"/>
  <c r="AG111" i="7"/>
  <c r="AG239" i="7"/>
  <c r="AG221" i="7"/>
  <c r="AG223" i="7" s="1"/>
  <c r="Y340" i="2"/>
  <c r="AR226" i="7"/>
  <c r="AR240" i="7"/>
  <c r="AR241" i="7" s="1"/>
  <c r="T55" i="7"/>
  <c r="AF122" i="2"/>
  <c r="AF126" i="2" s="1"/>
  <c r="K102" i="7"/>
  <c r="I96" i="7"/>
  <c r="I102" i="7" s="1"/>
  <c r="AM57" i="2"/>
  <c r="AM70" i="2" s="1"/>
  <c r="AM75" i="2" s="1"/>
  <c r="AM79" i="2" s="1"/>
  <c r="AM470" i="2" s="1"/>
  <c r="AM82" i="7"/>
  <c r="AM84" i="7" s="1"/>
  <c r="AM99" i="7" s="1"/>
  <c r="AM103" i="7" s="1"/>
  <c r="K302" i="7"/>
  <c r="AG122" i="2"/>
  <c r="AG126" i="2" s="1"/>
  <c r="M1043" i="2"/>
  <c r="M21" i="16"/>
  <c r="L57" i="2"/>
  <c r="L70" i="2" s="1"/>
  <c r="L75" i="2" s="1"/>
  <c r="L79" i="2" s="1"/>
  <c r="L470" i="2" s="1"/>
  <c r="L82" i="7"/>
  <c r="L84" i="7" s="1"/>
  <c r="L99" i="7" s="1"/>
  <c r="L103" i="7" s="1"/>
  <c r="R111" i="7"/>
  <c r="R221" i="7"/>
  <c r="R223" i="7" s="1"/>
  <c r="R239" i="7"/>
  <c r="M474" i="7"/>
  <c r="M497" i="7"/>
  <c r="T122" i="2"/>
  <c r="T126" i="2" s="1"/>
  <c r="AE21" i="16"/>
  <c r="AE1043" i="2"/>
  <c r="I109" i="2"/>
  <c r="I115" i="2"/>
  <c r="I106" i="7"/>
  <c r="AH221" i="7"/>
  <c r="AH223" i="7" s="1"/>
  <c r="AH239" i="7"/>
  <c r="AH111" i="7"/>
  <c r="K55" i="7"/>
  <c r="AG57" i="2"/>
  <c r="AG70" i="2" s="1"/>
  <c r="AG75" i="2" s="1"/>
  <c r="AG79" i="2" s="1"/>
  <c r="AG470" i="2" s="1"/>
  <c r="AG82" i="7"/>
  <c r="AG84" i="7" s="1"/>
  <c r="AG99" i="7" s="1"/>
  <c r="AG103" i="7" s="1"/>
  <c r="U122" i="2"/>
  <c r="U126" i="2" s="1"/>
  <c r="AP122" i="2"/>
  <c r="L21" i="16"/>
  <c r="L1043" i="2"/>
  <c r="AE57" i="2"/>
  <c r="AE70" i="2" s="1"/>
  <c r="AE75" i="2" s="1"/>
  <c r="AE79" i="2" s="1"/>
  <c r="AE470" i="2" s="1"/>
  <c r="AE82" i="7"/>
  <c r="AE84" i="7" s="1"/>
  <c r="AE99" i="7" s="1"/>
  <c r="AE103" i="7" s="1"/>
  <c r="U55" i="7"/>
  <c r="AH55" i="7"/>
  <c r="AK103" i="7"/>
  <c r="AC111" i="7"/>
  <c r="AC221" i="7"/>
  <c r="AC223" i="7" s="1"/>
  <c r="AC239" i="7"/>
  <c r="AE267" i="2"/>
  <c r="AE280" i="2"/>
  <c r="AE282" i="2" s="1"/>
  <c r="AE297" i="2"/>
  <c r="AE274" i="2"/>
  <c r="AE275" i="2" s="1"/>
  <c r="I74" i="2" l="1"/>
  <c r="AO1043" i="2"/>
  <c r="AF21" i="16"/>
  <c r="AF1043" i="2"/>
  <c r="AO21" i="16"/>
  <c r="AI234" i="7"/>
  <c r="P258" i="7"/>
  <c r="AE582" i="2"/>
  <c r="AE591" i="2" s="1"/>
  <c r="AE592" i="2" s="1"/>
  <c r="AO582" i="2"/>
  <c r="AO591" i="2" s="1"/>
  <c r="AO592" i="2" s="1"/>
  <c r="AN582" i="2"/>
  <c r="AN591" i="2" s="1"/>
  <c r="AN592" i="2" s="1"/>
  <c r="AL582" i="2"/>
  <c r="AL591" i="2" s="1"/>
  <c r="AL592" i="2" s="1"/>
  <c r="AK582" i="2"/>
  <c r="AK591" i="2" s="1"/>
  <c r="AK592" i="2" s="1"/>
  <c r="AH582" i="2"/>
  <c r="AH591" i="2" s="1"/>
  <c r="AH592" i="2" s="1"/>
  <c r="AJ582" i="2"/>
  <c r="AJ591" i="2" s="1"/>
  <c r="AJ592" i="2" s="1"/>
  <c r="AI582" i="2"/>
  <c r="AI591" i="2" s="1"/>
  <c r="AI592" i="2" s="1"/>
  <c r="AP582" i="2"/>
  <c r="AP591" i="2" s="1"/>
  <c r="AP592" i="2" s="1"/>
  <c r="AM582" i="2"/>
  <c r="AM591" i="2" s="1"/>
  <c r="AM592" i="2" s="1"/>
  <c r="AF582" i="2"/>
  <c r="AF591" i="2" s="1"/>
  <c r="AF592" i="2" s="1"/>
  <c r="AQ582" i="2"/>
  <c r="AQ591" i="2" s="1"/>
  <c r="AQ592" i="2" s="1"/>
  <c r="AG582" i="2"/>
  <c r="AG591" i="2" s="1"/>
  <c r="AG592" i="2" s="1"/>
  <c r="AK472" i="2"/>
  <c r="AK571" i="2" s="1"/>
  <c r="AK572" i="2" s="1"/>
  <c r="U378" i="2"/>
  <c r="U471" i="2"/>
  <c r="U472" i="2" s="1"/>
  <c r="U571" i="2" s="1"/>
  <c r="U572" i="2" s="1"/>
  <c r="Q378" i="2"/>
  <c r="Q471" i="2"/>
  <c r="Q472" i="2" s="1"/>
  <c r="R378" i="2"/>
  <c r="R471" i="2"/>
  <c r="R472" i="2" s="1"/>
  <c r="N378" i="2"/>
  <c r="N471" i="2"/>
  <c r="N472" i="2" s="1"/>
  <c r="L378" i="2"/>
  <c r="L471" i="2"/>
  <c r="L472" i="2" s="1"/>
  <c r="P378" i="2"/>
  <c r="P471" i="2"/>
  <c r="P472" i="2" s="1"/>
  <c r="AE378" i="2"/>
  <c r="AE471" i="2"/>
  <c r="AE472" i="2" s="1"/>
  <c r="AS378" i="2"/>
  <c r="AS471" i="2"/>
  <c r="AS472" i="2" s="1"/>
  <c r="T378" i="2"/>
  <c r="T471" i="2"/>
  <c r="T472" i="2" s="1"/>
  <c r="T479" i="2" s="1"/>
  <c r="T480" i="2" s="1"/>
  <c r="AF378" i="2"/>
  <c r="AF471" i="2"/>
  <c r="AF472" i="2" s="1"/>
  <c r="AM378" i="2"/>
  <c r="AM471" i="2"/>
  <c r="AM472" i="2" s="1"/>
  <c r="AI378" i="2"/>
  <c r="AI471" i="2"/>
  <c r="AI472" i="2" s="1"/>
  <c r="AI571" i="2" s="1"/>
  <c r="AI572" i="2" s="1"/>
  <c r="AH378" i="2"/>
  <c r="AH471" i="2"/>
  <c r="W378" i="2"/>
  <c r="W380" i="2" s="1"/>
  <c r="W384" i="2" s="1"/>
  <c r="W471" i="2"/>
  <c r="W472" i="2" s="1"/>
  <c r="AG378" i="2"/>
  <c r="AG471" i="2"/>
  <c r="AC479" i="2"/>
  <c r="AC480" i="2" s="1"/>
  <c r="AC571" i="2"/>
  <c r="AC572" i="2" s="1"/>
  <c r="AB574" i="2" s="1"/>
  <c r="S378" i="2"/>
  <c r="S471" i="2"/>
  <c r="S472" i="2" s="1"/>
  <c r="AD378" i="2"/>
  <c r="AD471" i="2"/>
  <c r="AD472" i="2" s="1"/>
  <c r="O378" i="2"/>
  <c r="O471" i="2"/>
  <c r="O472" i="2" s="1"/>
  <c r="I38" i="2"/>
  <c r="I47" i="2" s="1"/>
  <c r="AO472" i="2"/>
  <c r="AO479" i="2" s="1"/>
  <c r="AO480" i="2" s="1"/>
  <c r="AN472" i="2"/>
  <c r="AN571" i="2" s="1"/>
  <c r="AN572" i="2" s="1"/>
  <c r="K126" i="2"/>
  <c r="M126" i="2"/>
  <c r="AL472" i="2"/>
  <c r="AL571" i="2" s="1"/>
  <c r="AL572" i="2" s="1"/>
  <c r="V126" i="2"/>
  <c r="AP79" i="2"/>
  <c r="AP470" i="2" s="1"/>
  <c r="AP126" i="2"/>
  <c r="AH79" i="2"/>
  <c r="AQ126" i="2"/>
  <c r="AR472" i="2"/>
  <c r="AR13" i="17"/>
  <c r="AR9" i="16"/>
  <c r="AR1035" i="2"/>
  <c r="AL378" i="2"/>
  <c r="AL14" i="17"/>
  <c r="AL10" i="16"/>
  <c r="AL1036" i="2"/>
  <c r="AR378" i="2"/>
  <c r="AR10" i="16"/>
  <c r="AR14" i="17"/>
  <c r="AR1036" i="2"/>
  <c r="AN378" i="2"/>
  <c r="AN1036" i="2"/>
  <c r="AN14" i="17"/>
  <c r="AN10" i="16"/>
  <c r="AO378" i="2"/>
  <c r="AO10" i="16"/>
  <c r="AO1036" i="2"/>
  <c r="AO14" i="17"/>
  <c r="L47" i="2"/>
  <c r="L52" i="2" s="1"/>
  <c r="L329" i="2" s="1"/>
  <c r="L331" i="2" s="1"/>
  <c r="L340" i="2" s="1"/>
  <c r="L42" i="2"/>
  <c r="L43" i="2" s="1"/>
  <c r="L48" i="2" s="1"/>
  <c r="L53" i="2" s="1"/>
  <c r="L334" i="2" s="1"/>
  <c r="L336" i="2" s="1"/>
  <c r="L339" i="2" s="1"/>
  <c r="AJ472" i="2"/>
  <c r="AL47" i="2"/>
  <c r="AL52" i="2" s="1"/>
  <c r="AL329" i="2" s="1"/>
  <c r="AL42" i="2"/>
  <c r="AL43" i="2" s="1"/>
  <c r="AL48" i="2" s="1"/>
  <c r="AL53" i="2" s="1"/>
  <c r="AL334" i="2" s="1"/>
  <c r="AK378" i="2"/>
  <c r="AK1036" i="2"/>
  <c r="AK14" i="17"/>
  <c r="AK10" i="16"/>
  <c r="AJ378" i="2"/>
  <c r="AJ1036" i="2"/>
  <c r="AJ14" i="17"/>
  <c r="AJ10" i="16"/>
  <c r="R47" i="2"/>
  <c r="R52" i="2" s="1"/>
  <c r="R329" i="2" s="1"/>
  <c r="R331" i="2" s="1"/>
  <c r="R340" i="2" s="1"/>
  <c r="R42" i="2"/>
  <c r="R43" i="2" s="1"/>
  <c r="R48" i="2" s="1"/>
  <c r="R53" i="2" s="1"/>
  <c r="R334" i="2" s="1"/>
  <c r="R336" i="2" s="1"/>
  <c r="R339" i="2" s="1"/>
  <c r="AE47" i="2"/>
  <c r="AE52" i="2" s="1"/>
  <c r="AE329" i="2" s="1"/>
  <c r="AE42" i="2"/>
  <c r="AE43" i="2" s="1"/>
  <c r="AE48" i="2" s="1"/>
  <c r="AE53" i="2" s="1"/>
  <c r="AE334" i="2" s="1"/>
  <c r="O47" i="2"/>
  <c r="O52" i="2" s="1"/>
  <c r="O329" i="2" s="1"/>
  <c r="O331" i="2" s="1"/>
  <c r="O340" i="2" s="1"/>
  <c r="O42" i="2"/>
  <c r="O43" i="2" s="1"/>
  <c r="O48" i="2" s="1"/>
  <c r="O53" i="2" s="1"/>
  <c r="O334" i="2" s="1"/>
  <c r="O336" i="2" s="1"/>
  <c r="O339" i="2" s="1"/>
  <c r="AM47" i="2"/>
  <c r="AM52" i="2" s="1"/>
  <c r="AM329" i="2" s="1"/>
  <c r="AM42" i="2"/>
  <c r="AM43" i="2" s="1"/>
  <c r="AM48" i="2" s="1"/>
  <c r="AM53" i="2" s="1"/>
  <c r="AM334" i="2" s="1"/>
  <c r="M47" i="2"/>
  <c r="M52" i="2" s="1"/>
  <c r="M329" i="2" s="1"/>
  <c r="M331" i="2" s="1"/>
  <c r="M340" i="2" s="1"/>
  <c r="M42" i="2"/>
  <c r="M43" i="2" s="1"/>
  <c r="M48" i="2" s="1"/>
  <c r="M53" i="2" s="1"/>
  <c r="M334" i="2" s="1"/>
  <c r="M336" i="2" s="1"/>
  <c r="M339" i="2" s="1"/>
  <c r="AI47" i="2"/>
  <c r="AI52" i="2" s="1"/>
  <c r="AI329" i="2" s="1"/>
  <c r="AI42" i="2"/>
  <c r="AI43" i="2" s="1"/>
  <c r="AI48" i="2" s="1"/>
  <c r="AI53" i="2" s="1"/>
  <c r="AI334" i="2" s="1"/>
  <c r="T47" i="2"/>
  <c r="T52" i="2" s="1"/>
  <c r="T329" i="2" s="1"/>
  <c r="T331" i="2" s="1"/>
  <c r="T340" i="2" s="1"/>
  <c r="T42" i="2"/>
  <c r="T43" i="2" s="1"/>
  <c r="T48" i="2" s="1"/>
  <c r="T53" i="2" s="1"/>
  <c r="T334" i="2" s="1"/>
  <c r="T336" i="2" s="1"/>
  <c r="T339" i="2" s="1"/>
  <c r="AR47" i="2"/>
  <c r="AR52" i="2" s="1"/>
  <c r="AR329" i="2" s="1"/>
  <c r="AR42" i="2"/>
  <c r="AR43" i="2" s="1"/>
  <c r="AR48" i="2" s="1"/>
  <c r="AR53" i="2" s="1"/>
  <c r="AR334" i="2" s="1"/>
  <c r="U47" i="2"/>
  <c r="U52" i="2" s="1"/>
  <c r="U329" i="2" s="1"/>
  <c r="U331" i="2" s="1"/>
  <c r="U340" i="2" s="1"/>
  <c r="U42" i="2"/>
  <c r="U43" i="2" s="1"/>
  <c r="U48" i="2" s="1"/>
  <c r="U53" i="2" s="1"/>
  <c r="U334" i="2" s="1"/>
  <c r="U336" i="2" s="1"/>
  <c r="U339" i="2" s="1"/>
  <c r="S47" i="2"/>
  <c r="S52" i="2" s="1"/>
  <c r="S329" i="2" s="1"/>
  <c r="S331" i="2" s="1"/>
  <c r="S340" i="2" s="1"/>
  <c r="S42" i="2"/>
  <c r="S43" i="2" s="1"/>
  <c r="S48" i="2" s="1"/>
  <c r="S53" i="2" s="1"/>
  <c r="S334" i="2" s="1"/>
  <c r="S336" i="2" s="1"/>
  <c r="S339" i="2" s="1"/>
  <c r="AQ42" i="2"/>
  <c r="AQ43" i="2" s="1"/>
  <c r="AQ48" i="2" s="1"/>
  <c r="AQ53" i="2" s="1"/>
  <c r="AQ334" i="2" s="1"/>
  <c r="AQ47" i="2"/>
  <c r="AQ52" i="2" s="1"/>
  <c r="AQ329" i="2" s="1"/>
  <c r="AG47" i="2"/>
  <c r="AG52" i="2" s="1"/>
  <c r="AG329" i="2" s="1"/>
  <c r="AG42" i="2"/>
  <c r="AG43" i="2" s="1"/>
  <c r="AG48" i="2" s="1"/>
  <c r="AG53" i="2" s="1"/>
  <c r="AG334" i="2" s="1"/>
  <c r="Q47" i="2"/>
  <c r="Q52" i="2" s="1"/>
  <c r="Q329" i="2" s="1"/>
  <c r="Q331" i="2" s="1"/>
  <c r="Q340" i="2" s="1"/>
  <c r="Q42" i="2"/>
  <c r="Q43" i="2" s="1"/>
  <c r="Q48" i="2" s="1"/>
  <c r="Q53" i="2" s="1"/>
  <c r="Q334" i="2" s="1"/>
  <c r="Q336" i="2" s="1"/>
  <c r="Q339" i="2" s="1"/>
  <c r="P47" i="2"/>
  <c r="P52" i="2" s="1"/>
  <c r="P329" i="2" s="1"/>
  <c r="P331" i="2" s="1"/>
  <c r="P340" i="2" s="1"/>
  <c r="P42" i="2"/>
  <c r="P43" i="2" s="1"/>
  <c r="P48" i="2" s="1"/>
  <c r="P53" i="2" s="1"/>
  <c r="P334" i="2" s="1"/>
  <c r="P336" i="2" s="1"/>
  <c r="P339" i="2" s="1"/>
  <c r="AN47" i="2"/>
  <c r="AN52" i="2" s="1"/>
  <c r="AN329" i="2" s="1"/>
  <c r="AN42" i="2"/>
  <c r="AN43" i="2" s="1"/>
  <c r="AN48" i="2" s="1"/>
  <c r="AN53" i="2" s="1"/>
  <c r="AN334" i="2" s="1"/>
  <c r="AG472" i="2"/>
  <c r="AP47" i="2"/>
  <c r="AP52" i="2" s="1"/>
  <c r="AP329" i="2" s="1"/>
  <c r="AP42" i="2"/>
  <c r="AP43" i="2" s="1"/>
  <c r="AP48" i="2" s="1"/>
  <c r="AP53" i="2" s="1"/>
  <c r="AP334" i="2" s="1"/>
  <c r="N47" i="2"/>
  <c r="N52" i="2" s="1"/>
  <c r="N329" i="2" s="1"/>
  <c r="N331" i="2" s="1"/>
  <c r="N340" i="2" s="1"/>
  <c r="N42" i="2"/>
  <c r="N43" i="2" s="1"/>
  <c r="N48" i="2" s="1"/>
  <c r="N53" i="2" s="1"/>
  <c r="N334" i="2" s="1"/>
  <c r="N336" i="2" s="1"/>
  <c r="N339" i="2" s="1"/>
  <c r="AJ47" i="2"/>
  <c r="AJ52" i="2" s="1"/>
  <c r="AJ329" i="2" s="1"/>
  <c r="AJ42" i="2"/>
  <c r="AJ43" i="2" s="1"/>
  <c r="AJ48" i="2" s="1"/>
  <c r="AJ53" i="2" s="1"/>
  <c r="AJ334" i="2" s="1"/>
  <c r="K47" i="2"/>
  <c r="K52" i="2" s="1"/>
  <c r="K42" i="2"/>
  <c r="K43" i="2" s="1"/>
  <c r="K48" i="2" s="1"/>
  <c r="K53" i="2" s="1"/>
  <c r="K334" i="2" s="1"/>
  <c r="K336" i="2" s="1"/>
  <c r="K339" i="2" s="1"/>
  <c r="AK47" i="2"/>
  <c r="AK52" i="2" s="1"/>
  <c r="AK329" i="2" s="1"/>
  <c r="AK42" i="2"/>
  <c r="AK43" i="2" s="1"/>
  <c r="AK48" i="2" s="1"/>
  <c r="AK53" i="2" s="1"/>
  <c r="AK334" i="2" s="1"/>
  <c r="AH47" i="2"/>
  <c r="AH52" i="2" s="1"/>
  <c r="AH329" i="2" s="1"/>
  <c r="AH42" i="2"/>
  <c r="AH43" i="2" s="1"/>
  <c r="AH48" i="2" s="1"/>
  <c r="AH53" i="2" s="1"/>
  <c r="AH334" i="2" s="1"/>
  <c r="AO47" i="2"/>
  <c r="AO52" i="2" s="1"/>
  <c r="AO329" i="2" s="1"/>
  <c r="AO42" i="2"/>
  <c r="AO43" i="2" s="1"/>
  <c r="AO48" i="2" s="1"/>
  <c r="AO53" i="2" s="1"/>
  <c r="AO334" i="2" s="1"/>
  <c r="AF47" i="2"/>
  <c r="AF52" i="2" s="1"/>
  <c r="AF329" i="2" s="1"/>
  <c r="AF42" i="2"/>
  <c r="AF43" i="2" s="1"/>
  <c r="AF48" i="2" s="1"/>
  <c r="AF53" i="2" s="1"/>
  <c r="AF334" i="2" s="1"/>
  <c r="AD47" i="2"/>
  <c r="AD52" i="2" s="1"/>
  <c r="AD329" i="2" s="1"/>
  <c r="AD42" i="2"/>
  <c r="AD43" i="2" s="1"/>
  <c r="AD48" i="2" s="1"/>
  <c r="AD53" i="2" s="1"/>
  <c r="AD334" i="2" s="1"/>
  <c r="AC932" i="2"/>
  <c r="AC1021" i="2" s="1"/>
  <c r="AC1134" i="2" s="1"/>
  <c r="AC79" i="16" s="1"/>
  <c r="AD58" i="16"/>
  <c r="AE911" i="2"/>
  <c r="AG258" i="7"/>
  <c r="AF258" i="7"/>
  <c r="AS57" i="7"/>
  <c r="N258" i="7"/>
  <c r="AI110" i="7"/>
  <c r="AI112" i="7" s="1"/>
  <c r="AI163" i="7" s="1"/>
  <c r="AM57" i="7"/>
  <c r="R258" i="7"/>
  <c r="M57" i="7"/>
  <c r="M259" i="7" s="1"/>
  <c r="O258" i="7"/>
  <c r="AD57" i="7"/>
  <c r="AD259" i="7" s="1"/>
  <c r="AE420" i="7"/>
  <c r="AE425" i="7" s="1"/>
  <c r="AD761" i="2"/>
  <c r="AD918" i="2"/>
  <c r="AC46" i="16"/>
  <c r="AC148" i="17"/>
  <c r="I88" i="2"/>
  <c r="I348" i="2" s="1"/>
  <c r="I555" i="2"/>
  <c r="AS829" i="2"/>
  <c r="AS841" i="2" s="1"/>
  <c r="AS847" i="2" s="1"/>
  <c r="I847" i="2" s="1"/>
  <c r="AS29" i="16"/>
  <c r="AS85" i="14"/>
  <c r="AS91" i="14" s="1"/>
  <c r="AS807" i="2"/>
  <c r="AS96" i="17"/>
  <c r="AS101" i="17" s="1"/>
  <c r="J101" i="17" s="1"/>
  <c r="AS654" i="2"/>
  <c r="AS1051" i="2"/>
  <c r="AS817" i="2"/>
  <c r="AS660" i="2"/>
  <c r="F647" i="2"/>
  <c r="I566" i="2"/>
  <c r="I581" i="2" s="1"/>
  <c r="AS48" i="2"/>
  <c r="AS53" i="2" s="1"/>
  <c r="X341" i="2"/>
  <c r="X372" i="2" s="1"/>
  <c r="X375" i="2" s="1"/>
  <c r="X383" i="2" s="1"/>
  <c r="Z341" i="2"/>
  <c r="Z372" i="2" s="1"/>
  <c r="Z375" i="2" s="1"/>
  <c r="Z383" i="2" s="1"/>
  <c r="W341" i="2"/>
  <c r="W372" i="2" s="1"/>
  <c r="AC341" i="2"/>
  <c r="AC372" i="2" s="1"/>
  <c r="Y341" i="2"/>
  <c r="Y372" i="2" s="1"/>
  <c r="Y375" i="2" s="1"/>
  <c r="Y383" i="2" s="1"/>
  <c r="AA341" i="2"/>
  <c r="AA372" i="2" s="1"/>
  <c r="AA375" i="2" s="1"/>
  <c r="AA383" i="2" s="1"/>
  <c r="AB341" i="2"/>
  <c r="AB372" i="2" s="1"/>
  <c r="V341" i="2"/>
  <c r="V372" i="2" s="1"/>
  <c r="AB365" i="2"/>
  <c r="AB368" i="2"/>
  <c r="U364" i="2"/>
  <c r="L364" i="2"/>
  <c r="L369" i="2" s="1"/>
  <c r="L373" i="2" s="1"/>
  <c r="AC366" i="2"/>
  <c r="S364" i="2"/>
  <c r="S369" i="2" s="1"/>
  <c r="S373" i="2" s="1"/>
  <c r="R364" i="2"/>
  <c r="R369" i="2" s="1"/>
  <c r="R373" i="2" s="1"/>
  <c r="N364" i="2"/>
  <c r="N369" i="2" s="1"/>
  <c r="N373" i="2" s="1"/>
  <c r="I87" i="2"/>
  <c r="I344" i="2" s="1"/>
  <c r="I81" i="2"/>
  <c r="AI9" i="16"/>
  <c r="AN1035" i="2"/>
  <c r="AO9" i="16"/>
  <c r="F585" i="2"/>
  <c r="AS394" i="2"/>
  <c r="AS1043" i="2" s="1"/>
  <c r="K1165" i="2" s="1"/>
  <c r="AE288" i="2"/>
  <c r="AE295" i="2" s="1"/>
  <c r="AG288" i="2"/>
  <c r="AG295" i="2" s="1"/>
  <c r="AF288" i="2"/>
  <c r="AF295" i="2" s="1"/>
  <c r="AD288" i="2"/>
  <c r="AD295" i="2" s="1"/>
  <c r="AG180" i="2"/>
  <c r="AG162" i="2"/>
  <c r="AD180" i="2"/>
  <c r="AD162" i="2"/>
  <c r="AE180" i="2"/>
  <c r="AE162" i="2"/>
  <c r="AF180" i="2"/>
  <c r="AF162" i="2"/>
  <c r="X616" i="2"/>
  <c r="X595" i="2"/>
  <c r="Y590" i="2" s="1"/>
  <c r="Y593" i="2" s="1"/>
  <c r="Y594" i="2" s="1"/>
  <c r="Y602" i="2" s="1"/>
  <c r="Y603" i="2" s="1"/>
  <c r="Y609" i="2" s="1"/>
  <c r="AG1035" i="2"/>
  <c r="AG13" i="17"/>
  <c r="AG9" i="16"/>
  <c r="AF234" i="7"/>
  <c r="AF217" i="7"/>
  <c r="AF219" i="7" s="1"/>
  <c r="AF110" i="7"/>
  <c r="AF112" i="7" s="1"/>
  <c r="M217" i="7"/>
  <c r="M219" i="7" s="1"/>
  <c r="M110" i="7"/>
  <c r="M112" i="7" s="1"/>
  <c r="M234" i="7"/>
  <c r="U110" i="7"/>
  <c r="U112" i="7" s="1"/>
  <c r="U217" i="7"/>
  <c r="U219" i="7" s="1"/>
  <c r="U234" i="7"/>
  <c r="AN244" i="7"/>
  <c r="AS234" i="7"/>
  <c r="AS110" i="7"/>
  <c r="AS112" i="7" s="1"/>
  <c r="AS217" i="7"/>
  <c r="AS219" i="7" s="1"/>
  <c r="P110" i="7"/>
  <c r="P112" i="7" s="1"/>
  <c r="P234" i="7"/>
  <c r="P217" i="7"/>
  <c r="P219" i="7" s="1"/>
  <c r="AD217" i="7"/>
  <c r="AD219" i="7" s="1"/>
  <c r="AD234" i="7"/>
  <c r="AD110" i="7"/>
  <c r="AD112" i="7" s="1"/>
  <c r="S217" i="7"/>
  <c r="S219" i="7" s="1"/>
  <c r="S234" i="7"/>
  <c r="S110" i="7"/>
  <c r="S112" i="7" s="1"/>
  <c r="R217" i="7"/>
  <c r="R219" i="7" s="1"/>
  <c r="R110" i="7"/>
  <c r="R112" i="7" s="1"/>
  <c r="R234" i="7"/>
  <c r="AG217" i="7"/>
  <c r="AG219" i="7" s="1"/>
  <c r="AG234" i="7"/>
  <c r="AG110" i="7"/>
  <c r="AG112" i="7" s="1"/>
  <c r="AL244" i="7"/>
  <c r="AS601" i="2"/>
  <c r="AR244" i="7"/>
  <c r="AM217" i="7"/>
  <c r="AM219" i="7" s="1"/>
  <c r="AM110" i="7"/>
  <c r="AM112" i="7" s="1"/>
  <c r="AM234" i="7"/>
  <c r="L217" i="7"/>
  <c r="L219" i="7" s="1"/>
  <c r="L110" i="7"/>
  <c r="L112" i="7" s="1"/>
  <c r="L234" i="7"/>
  <c r="N217" i="7"/>
  <c r="N219" i="7" s="1"/>
  <c r="N234" i="7"/>
  <c r="N110" i="7"/>
  <c r="N112" i="7" s="1"/>
  <c r="AQ226" i="7"/>
  <c r="AQ240" i="7"/>
  <c r="AQ241" i="7" s="1"/>
  <c r="AO244" i="7"/>
  <c r="AK110" i="7"/>
  <c r="AK112" i="7" s="1"/>
  <c r="AK217" i="7"/>
  <c r="AK219" i="7" s="1"/>
  <c r="AK234" i="7"/>
  <c r="I55" i="7"/>
  <c r="I258" i="7" s="1"/>
  <c r="K258" i="7"/>
  <c r="K57" i="7"/>
  <c r="N259" i="7"/>
  <c r="AG240" i="7"/>
  <c r="AG241" i="7" s="1"/>
  <c r="AG226" i="7"/>
  <c r="N294" i="7"/>
  <c r="N297" i="7" s="1"/>
  <c r="M299" i="7"/>
  <c r="M302" i="7" s="1"/>
  <c r="AE259" i="7"/>
  <c r="U226" i="7"/>
  <c r="U240" i="7"/>
  <c r="U241" i="7" s="1"/>
  <c r="O9" i="16"/>
  <c r="O13" i="17"/>
  <c r="O1035" i="2"/>
  <c r="AG709" i="2"/>
  <c r="L14" i="17"/>
  <c r="L10" i="16"/>
  <c r="L1036" i="2"/>
  <c r="S14" i="17"/>
  <c r="S1036" i="2"/>
  <c r="S10" i="16"/>
  <c r="AS226" i="7"/>
  <c r="AS240" i="7"/>
  <c r="AS241" i="7" s="1"/>
  <c r="I801" i="2"/>
  <c r="I392" i="2"/>
  <c r="AQ110" i="7"/>
  <c r="AQ112" i="7" s="1"/>
  <c r="AQ217" i="7"/>
  <c r="AQ219" i="7" s="1"/>
  <c r="AQ234" i="7"/>
  <c r="V9" i="16"/>
  <c r="V1035" i="2"/>
  <c r="V13" i="17"/>
  <c r="AN225" i="7"/>
  <c r="AN227" i="7" s="1"/>
  <c r="AN235" i="7"/>
  <c r="AN236" i="7" s="1"/>
  <c r="AK13" i="17"/>
  <c r="AK9" i="16"/>
  <c r="AK1035" i="2"/>
  <c r="I122" i="2"/>
  <c r="T226" i="7"/>
  <c r="T240" i="7"/>
  <c r="T241" i="7" s="1"/>
  <c r="AP225" i="7"/>
  <c r="AP235" i="7"/>
  <c r="AP236" i="7" s="1"/>
  <c r="AM13" i="17"/>
  <c r="AM1035" i="2"/>
  <c r="AM9" i="16"/>
  <c r="AO225" i="7"/>
  <c r="AO227" i="7" s="1"/>
  <c r="AO235" i="7"/>
  <c r="AO236" i="7" s="1"/>
  <c r="AC365" i="2"/>
  <c r="AJ13" i="17"/>
  <c r="AJ9" i="16"/>
  <c r="AJ1035" i="2"/>
  <c r="AE234" i="7"/>
  <c r="AE110" i="7"/>
  <c r="AE112" i="7" s="1"/>
  <c r="AE217" i="7"/>
  <c r="AE219" i="7" s="1"/>
  <c r="L240" i="7"/>
  <c r="L241" i="7" s="1"/>
  <c r="L226" i="7"/>
  <c r="AQ1035" i="2"/>
  <c r="AQ9" i="16"/>
  <c r="AQ13" i="17"/>
  <c r="V364" i="2"/>
  <c r="V369" i="2" s="1"/>
  <c r="V373" i="2" s="1"/>
  <c r="AN343" i="7"/>
  <c r="AN163" i="7"/>
  <c r="AN317" i="7"/>
  <c r="P9" i="16"/>
  <c r="P13" i="17"/>
  <c r="P1035" i="2"/>
  <c r="AE240" i="7"/>
  <c r="AE241" i="7" s="1"/>
  <c r="AE226" i="7"/>
  <c r="AI1036" i="2"/>
  <c r="AI10" i="16"/>
  <c r="AI14" i="17"/>
  <c r="AF259" i="7"/>
  <c r="AH57" i="7"/>
  <c r="AH258" i="7"/>
  <c r="AF303" i="2"/>
  <c r="AF276" i="2"/>
  <c r="AE181" i="2"/>
  <c r="AE186" i="2" s="1"/>
  <c r="AE175" i="2"/>
  <c r="Q1036" i="2"/>
  <c r="Q14" i="17"/>
  <c r="Q10" i="16"/>
  <c r="AJ110" i="7"/>
  <c r="AJ112" i="7" s="1"/>
  <c r="AJ234" i="7"/>
  <c r="AJ217" i="7"/>
  <c r="AJ219" i="7" s="1"/>
  <c r="U258" i="7"/>
  <c r="U57" i="7"/>
  <c r="Q110" i="7"/>
  <c r="Q112" i="7" s="1"/>
  <c r="Q234" i="7"/>
  <c r="Q217" i="7"/>
  <c r="Q219" i="7" s="1"/>
  <c r="U365" i="2"/>
  <c r="P259" i="7"/>
  <c r="AD1035" i="2"/>
  <c r="AD9" i="16"/>
  <c r="AD13" i="17"/>
  <c r="S1035" i="2"/>
  <c r="S9" i="16"/>
  <c r="S13" i="17"/>
  <c r="W364" i="2"/>
  <c r="W369" i="2" s="1"/>
  <c r="W373" i="2" s="1"/>
  <c r="S259" i="7"/>
  <c r="AE10" i="16"/>
  <c r="AE1036" i="2"/>
  <c r="AE14" i="17"/>
  <c r="Q1035" i="2"/>
  <c r="Q9" i="16"/>
  <c r="Q13" i="17"/>
  <c r="AL259" i="7"/>
  <c r="Q259" i="7"/>
  <c r="R259" i="7"/>
  <c r="AE9" i="16"/>
  <c r="AE13" i="17"/>
  <c r="AE1035" i="2"/>
  <c r="L9" i="16"/>
  <c r="L1035" i="2"/>
  <c r="L13" i="17"/>
  <c r="M240" i="7"/>
  <c r="M241" i="7" s="1"/>
  <c r="M226" i="7"/>
  <c r="AC217" i="7"/>
  <c r="AC219" i="7" s="1"/>
  <c r="AC110" i="7"/>
  <c r="AC112" i="7" s="1"/>
  <c r="AC234" i="7"/>
  <c r="AP226" i="7"/>
  <c r="AP240" i="7"/>
  <c r="AP241" i="7" s="1"/>
  <c r="AI207" i="4"/>
  <c r="AI136" i="2" s="1"/>
  <c r="AI138" i="2" s="1"/>
  <c r="AC1035" i="2"/>
  <c r="AC13" i="17"/>
  <c r="AC9" i="16"/>
  <c r="S240" i="7"/>
  <c r="S241" i="7" s="1"/>
  <c r="S226" i="7"/>
  <c r="W13" i="17"/>
  <c r="W9" i="16"/>
  <c r="W1035" i="2"/>
  <c r="W10" i="16"/>
  <c r="W14" i="17"/>
  <c r="W1036" i="2"/>
  <c r="AF181" i="2"/>
  <c r="AF186" i="2" s="1"/>
  <c r="AF175" i="2"/>
  <c r="AG259" i="7"/>
  <c r="AD240" i="7"/>
  <c r="AD241" i="7" s="1"/>
  <c r="AD226" i="7"/>
  <c r="AL9" i="16"/>
  <c r="AL1035" i="2"/>
  <c r="AL13" i="17"/>
  <c r="AD709" i="2"/>
  <c r="V259" i="7"/>
  <c r="P10" i="16"/>
  <c r="P1036" i="2"/>
  <c r="P14" i="17"/>
  <c r="AM259" i="7"/>
  <c r="AG14" i="17"/>
  <c r="AG10" i="16"/>
  <c r="AG1036" i="2"/>
  <c r="W226" i="7"/>
  <c r="W240" i="7"/>
  <c r="W241" i="7" s="1"/>
  <c r="U1036" i="2"/>
  <c r="U10" i="16"/>
  <c r="U14" i="17"/>
  <c r="T258" i="7"/>
  <c r="T57" i="7"/>
  <c r="U9" i="16"/>
  <c r="U1035" i="2"/>
  <c r="U13" i="17"/>
  <c r="AF226" i="7"/>
  <c r="AF240" i="7"/>
  <c r="AF241" i="7" s="1"/>
  <c r="AI259" i="7"/>
  <c r="AE709" i="2"/>
  <c r="AH169" i="2"/>
  <c r="AH174" i="2" s="1"/>
  <c r="AH226" i="2"/>
  <c r="AH227" i="2" s="1"/>
  <c r="AH153" i="2"/>
  <c r="AH154" i="2" s="1"/>
  <c r="AH179" i="2" s="1"/>
  <c r="AH160" i="2"/>
  <c r="AH161" i="2" s="1"/>
  <c r="I474" i="7"/>
  <c r="I497" i="7"/>
  <c r="V112" i="7"/>
  <c r="O217" i="7"/>
  <c r="O219" i="7" s="1"/>
  <c r="O110" i="7"/>
  <c r="O112" i="7" s="1"/>
  <c r="O234" i="7"/>
  <c r="N1035" i="2"/>
  <c r="N9" i="16"/>
  <c r="N13" i="17"/>
  <c r="Q226" i="7"/>
  <c r="Q240" i="7"/>
  <c r="Q241" i="7" s="1"/>
  <c r="K364" i="2"/>
  <c r="K369" i="2" s="1"/>
  <c r="N240" i="7"/>
  <c r="N241" i="7" s="1"/>
  <c r="N226" i="7"/>
  <c r="AS591" i="2"/>
  <c r="AS592" i="2" s="1"/>
  <c r="I57" i="2"/>
  <c r="I82" i="7"/>
  <c r="AD10" i="16"/>
  <c r="AD1036" i="2"/>
  <c r="AD14" i="17"/>
  <c r="T1035" i="2"/>
  <c r="T13" i="17"/>
  <c r="T9" i="16"/>
  <c r="AF9" i="16"/>
  <c r="AF13" i="17"/>
  <c r="AF1035" i="2"/>
  <c r="AD303" i="2"/>
  <c r="AD276" i="2"/>
  <c r="O226" i="7"/>
  <c r="O240" i="7"/>
  <c r="O241" i="7" s="1"/>
  <c r="AD175" i="2"/>
  <c r="AD181" i="2"/>
  <c r="AD186" i="2" s="1"/>
  <c r="AI226" i="7"/>
  <c r="AI240" i="7"/>
  <c r="AI241" i="7" s="1"/>
  <c r="AI225" i="7"/>
  <c r="AI235" i="7"/>
  <c r="AI236" i="7" s="1"/>
  <c r="AM226" i="7"/>
  <c r="AM240" i="7"/>
  <c r="AM241" i="7" s="1"/>
  <c r="AK259" i="7"/>
  <c r="I111" i="7"/>
  <c r="I221" i="7"/>
  <c r="I239" i="7"/>
  <c r="AI262" i="4"/>
  <c r="AI250" i="2" s="1"/>
  <c r="AI252" i="2" s="1"/>
  <c r="AI262" i="2" s="1"/>
  <c r="AI264" i="2" s="1"/>
  <c r="L259" i="7"/>
  <c r="AP259" i="7"/>
  <c r="O259" i="7"/>
  <c r="AR163" i="7"/>
  <c r="AR317" i="7"/>
  <c r="AR343" i="7"/>
  <c r="AJ259" i="7"/>
  <c r="W259" i="7"/>
  <c r="K99" i="7"/>
  <c r="K103" i="7" s="1"/>
  <c r="I84" i="7"/>
  <c r="I99" i="7" s="1"/>
  <c r="R240" i="7"/>
  <c r="R241" i="7" s="1"/>
  <c r="R226" i="7"/>
  <c r="AF10" i="16"/>
  <c r="AF1036" i="2"/>
  <c r="AF14" i="17"/>
  <c r="AM14" i="17"/>
  <c r="AM10" i="16"/>
  <c r="AM1036" i="2"/>
  <c r="R9" i="16"/>
  <c r="R13" i="17"/>
  <c r="R1035" i="2"/>
  <c r="AG303" i="2"/>
  <c r="AG276" i="2"/>
  <c r="V225" i="7"/>
  <c r="V235" i="7"/>
  <c r="V236" i="7" s="1"/>
  <c r="AF709" i="2"/>
  <c r="V226" i="7"/>
  <c r="V240" i="7"/>
  <c r="V241" i="7" s="1"/>
  <c r="K75" i="2"/>
  <c r="K79" i="2" s="1"/>
  <c r="K470" i="2" s="1"/>
  <c r="I70" i="2"/>
  <c r="I75" i="2" s="1"/>
  <c r="AS259" i="7"/>
  <c r="W112" i="7"/>
  <c r="AL234" i="7"/>
  <c r="AL110" i="7"/>
  <c r="AL112" i="7" s="1"/>
  <c r="AL217" i="7"/>
  <c r="AL219" i="7" s="1"/>
  <c r="AH280" i="2"/>
  <c r="AH282" i="2" s="1"/>
  <c r="AH267" i="2"/>
  <c r="AH297" i="2"/>
  <c r="AH274" i="2"/>
  <c r="AH275" i="2" s="1"/>
  <c r="AC226" i="7"/>
  <c r="AC240" i="7"/>
  <c r="AC241" i="7" s="1"/>
  <c r="AE303" i="2"/>
  <c r="AE276" i="2"/>
  <c r="AH226" i="7"/>
  <c r="AH240" i="7"/>
  <c r="AH241" i="7" s="1"/>
  <c r="T10" i="16"/>
  <c r="T14" i="17"/>
  <c r="T1036" i="2"/>
  <c r="T217" i="7"/>
  <c r="T219" i="7" s="1"/>
  <c r="T110" i="7"/>
  <c r="T112" i="7" s="1"/>
  <c r="T234" i="7"/>
  <c r="AH1036" i="2"/>
  <c r="AH14" i="17"/>
  <c r="AH10" i="16"/>
  <c r="M1035" i="2"/>
  <c r="M13" i="17"/>
  <c r="M9" i="16"/>
  <c r="AS13" i="17"/>
  <c r="AS9" i="16"/>
  <c r="AS1035" i="2"/>
  <c r="AO163" i="7"/>
  <c r="AO317" i="7"/>
  <c r="AO343" i="7"/>
  <c r="N1036" i="2"/>
  <c r="N10" i="16"/>
  <c r="N14" i="17"/>
  <c r="R10" i="16"/>
  <c r="R1036" i="2"/>
  <c r="R14" i="17"/>
  <c r="AG175" i="2"/>
  <c r="AG181" i="2"/>
  <c r="AG186" i="2" s="1"/>
  <c r="O1036" i="2"/>
  <c r="O14" i="17"/>
  <c r="O10" i="16"/>
  <c r="AQ57" i="7"/>
  <c r="AQ258" i="7"/>
  <c r="W235" i="7"/>
  <c r="W236" i="7" s="1"/>
  <c r="W225" i="7"/>
  <c r="P226" i="7"/>
  <c r="P240" i="7"/>
  <c r="P241" i="7" s="1"/>
  <c r="AH217" i="7"/>
  <c r="AH219" i="7" s="1"/>
  <c r="AH234" i="7"/>
  <c r="AH110" i="7"/>
  <c r="AH112" i="7" s="1"/>
  <c r="K226" i="7"/>
  <c r="I223" i="7"/>
  <c r="K240" i="7"/>
  <c r="K241" i="7" s="1"/>
  <c r="AC259" i="7"/>
  <c r="AP112" i="7"/>
  <c r="AR225" i="7"/>
  <c r="AR227" i="7" s="1"/>
  <c r="AR235" i="7"/>
  <c r="AR236" i="7" s="1"/>
  <c r="AS14" i="17"/>
  <c r="AS1036" i="2"/>
  <c r="AS10" i="16"/>
  <c r="AK479" i="2" l="1"/>
  <c r="AK480" i="2" s="1"/>
  <c r="AH583" i="2"/>
  <c r="AH601" i="2" s="1"/>
  <c r="AO583" i="2"/>
  <c r="AO601" i="2" s="1"/>
  <c r="I592" i="2"/>
  <c r="AM583" i="2"/>
  <c r="AM601" i="2" s="1"/>
  <c r="I582" i="2"/>
  <c r="I591" i="2" s="1"/>
  <c r="AF583" i="2"/>
  <c r="AF601" i="2" s="1"/>
  <c r="AJ583" i="2"/>
  <c r="AJ601" i="2" s="1"/>
  <c r="AN583" i="2"/>
  <c r="AN601" i="2" s="1"/>
  <c r="AG583" i="2"/>
  <c r="AG601" i="2" s="1"/>
  <c r="AP583" i="2"/>
  <c r="AP601" i="2" s="1"/>
  <c r="AK583" i="2"/>
  <c r="AK601" i="2" s="1"/>
  <c r="AE583" i="2"/>
  <c r="AN479" i="2"/>
  <c r="AN480" i="2" s="1"/>
  <c r="AQ583" i="2"/>
  <c r="AQ601" i="2" s="1"/>
  <c r="AI583" i="2"/>
  <c r="AI601" i="2" s="1"/>
  <c r="AL583" i="2"/>
  <c r="AL601" i="2" s="1"/>
  <c r="I42" i="2"/>
  <c r="AE479" i="2"/>
  <c r="AE480" i="2" s="1"/>
  <c r="AE571" i="2"/>
  <c r="AE572" i="2" s="1"/>
  <c r="AD571" i="2"/>
  <c r="AD572" i="2" s="1"/>
  <c r="AD479" i="2"/>
  <c r="AD480" i="2" s="1"/>
  <c r="Q571" i="2"/>
  <c r="Q572" i="2" s="1"/>
  <c r="Q479" i="2"/>
  <c r="Q480" i="2" s="1"/>
  <c r="AO571" i="2"/>
  <c r="AO572" i="2" s="1"/>
  <c r="AN574" i="2" s="1"/>
  <c r="AM479" i="2"/>
  <c r="AM480" i="2" s="1"/>
  <c r="AM571" i="2"/>
  <c r="AM572" i="2" s="1"/>
  <c r="AM574" i="2" s="1"/>
  <c r="W571" i="2"/>
  <c r="W572" i="2" s="1"/>
  <c r="W574" i="2" s="1"/>
  <c r="W479" i="2"/>
  <c r="W480" i="2" s="1"/>
  <c r="R571" i="2"/>
  <c r="R572" i="2" s="1"/>
  <c r="R479" i="2"/>
  <c r="R480" i="2" s="1"/>
  <c r="AS479" i="2"/>
  <c r="AS480" i="2" s="1"/>
  <c r="AS571" i="2"/>
  <c r="AS572" i="2" s="1"/>
  <c r="AS574" i="2" s="1"/>
  <c r="AP9" i="16"/>
  <c r="V378" i="2"/>
  <c r="V380" i="2" s="1"/>
  <c r="V384" i="2" s="1"/>
  <c r="V471" i="2"/>
  <c r="V472" i="2" s="1"/>
  <c r="AP13" i="17"/>
  <c r="T571" i="2"/>
  <c r="T572" i="2" s="1"/>
  <c r="T574" i="2" s="1"/>
  <c r="AP1035" i="2"/>
  <c r="AQ378" i="2"/>
  <c r="AQ471" i="2"/>
  <c r="AQ472" i="2" s="1"/>
  <c r="AQ571" i="2" s="1"/>
  <c r="AQ572" i="2" s="1"/>
  <c r="M378" i="2"/>
  <c r="M471" i="2"/>
  <c r="M472" i="2" s="1"/>
  <c r="M479" i="2" s="1"/>
  <c r="M480" i="2" s="1"/>
  <c r="AH13" i="17"/>
  <c r="AH470" i="2"/>
  <c r="AH472" i="2" s="1"/>
  <c r="K378" i="2"/>
  <c r="K471" i="2"/>
  <c r="K472" i="2" s="1"/>
  <c r="AP378" i="2"/>
  <c r="AP471" i="2"/>
  <c r="AP472" i="2" s="1"/>
  <c r="AP571" i="2" s="1"/>
  <c r="AP572" i="2" s="1"/>
  <c r="AH9" i="16"/>
  <c r="AP1036" i="2"/>
  <c r="N341" i="2"/>
  <c r="N372" i="2" s="1"/>
  <c r="N375" i="2" s="1"/>
  <c r="N383" i="2" s="1"/>
  <c r="AP10" i="16"/>
  <c r="AP14" i="17"/>
  <c r="AQ14" i="17"/>
  <c r="M10" i="16"/>
  <c r="M14" i="17"/>
  <c r="M1036" i="2"/>
  <c r="L341" i="2"/>
  <c r="L372" i="2" s="1"/>
  <c r="L375" i="2" s="1"/>
  <c r="L383" i="2" s="1"/>
  <c r="K1036" i="2"/>
  <c r="AH1035" i="2"/>
  <c r="K14" i="17"/>
  <c r="K10" i="16"/>
  <c r="S341" i="2"/>
  <c r="S372" i="2" s="1"/>
  <c r="S375" i="2" s="1"/>
  <c r="AQ10" i="16"/>
  <c r="AQ1036" i="2"/>
  <c r="AI479" i="2"/>
  <c r="AI480" i="2" s="1"/>
  <c r="AL479" i="2"/>
  <c r="AL480" i="2" s="1"/>
  <c r="U341" i="2"/>
  <c r="U372" i="2" s="1"/>
  <c r="Q341" i="2"/>
  <c r="Q372" i="2" s="1"/>
  <c r="T341" i="2"/>
  <c r="T372" i="2" s="1"/>
  <c r="O341" i="2"/>
  <c r="O372" i="2" s="1"/>
  <c r="R341" i="2"/>
  <c r="R372" i="2" s="1"/>
  <c r="R375" i="2" s="1"/>
  <c r="P341" i="2"/>
  <c r="P372" i="2" s="1"/>
  <c r="V14" i="17"/>
  <c r="V1036" i="2"/>
  <c r="M341" i="2"/>
  <c r="M372" i="2" s="1"/>
  <c r="V10" i="16"/>
  <c r="I43" i="2"/>
  <c r="I48" i="2" s="1"/>
  <c r="AR571" i="2"/>
  <c r="AR572" i="2" s="1"/>
  <c r="AR479" i="2"/>
  <c r="AR480" i="2" s="1"/>
  <c r="I126" i="2"/>
  <c r="U479" i="2"/>
  <c r="U480" i="2" s="1"/>
  <c r="AJ479" i="2"/>
  <c r="AJ480" i="2" s="1"/>
  <c r="AJ571" i="2"/>
  <c r="AJ572" i="2" s="1"/>
  <c r="L571" i="2"/>
  <c r="L572" i="2" s="1"/>
  <c r="L479" i="2"/>
  <c r="L480" i="2" s="1"/>
  <c r="K329" i="2"/>
  <c r="K331" i="2" s="1"/>
  <c r="K340" i="2" s="1"/>
  <c r="K341" i="2" s="1"/>
  <c r="K372" i="2" s="1"/>
  <c r="I52" i="2"/>
  <c r="I329" i="2" s="1"/>
  <c r="AF571" i="2"/>
  <c r="AF572" i="2" s="1"/>
  <c r="AF479" i="2"/>
  <c r="AF480" i="2" s="1"/>
  <c r="S479" i="2"/>
  <c r="S480" i="2" s="1"/>
  <c r="S571" i="2"/>
  <c r="S572" i="2" s="1"/>
  <c r="AG479" i="2"/>
  <c r="AG480" i="2" s="1"/>
  <c r="AG571" i="2"/>
  <c r="AG572" i="2" s="1"/>
  <c r="AK574" i="2"/>
  <c r="P571" i="2"/>
  <c r="P572" i="2" s="1"/>
  <c r="P479" i="2"/>
  <c r="P480" i="2" s="1"/>
  <c r="N479" i="2"/>
  <c r="N480" i="2" s="1"/>
  <c r="N571" i="2"/>
  <c r="N572" i="2" s="1"/>
  <c r="AC574" i="2"/>
  <c r="O479" i="2"/>
  <c r="O480" i="2" s="1"/>
  <c r="O571" i="2"/>
  <c r="O572" i="2" s="1"/>
  <c r="AE924" i="2"/>
  <c r="AE925" i="2" s="1"/>
  <c r="AE937" i="2" s="1"/>
  <c r="AE929" i="2"/>
  <c r="AE912" i="2"/>
  <c r="AF907" i="2" s="1"/>
  <c r="AF908" i="2" s="1"/>
  <c r="AD1096" i="2"/>
  <c r="AD931" i="2"/>
  <c r="AD1006" i="2"/>
  <c r="AI343" i="7"/>
  <c r="AI317" i="7"/>
  <c r="K1172" i="2"/>
  <c r="L1172" i="2" a="1"/>
  <c r="L1172" i="2" s="1"/>
  <c r="M1172" i="2" a="1"/>
  <c r="M1172" i="2" s="1"/>
  <c r="N1172" i="2" a="1"/>
  <c r="N1172" i="2" s="1"/>
  <c r="D27" i="11" s="1"/>
  <c r="F33" i="15" s="1"/>
  <c r="J33" i="15" s="1"/>
  <c r="I33" i="15" s="1"/>
  <c r="G1081" i="2"/>
  <c r="D143" i="18" s="1"/>
  <c r="I829" i="2"/>
  <c r="I817" i="2"/>
  <c r="I85" i="14"/>
  <c r="I660" i="2"/>
  <c r="I29" i="16"/>
  <c r="I807" i="2"/>
  <c r="I1051" i="2"/>
  <c r="I96" i="17"/>
  <c r="I654" i="2"/>
  <c r="I53" i="2"/>
  <c r="I334" i="2" s="1"/>
  <c r="AS334" i="2"/>
  <c r="W375" i="2"/>
  <c r="W383" i="2" s="1"/>
  <c r="V375" i="2"/>
  <c r="K373" i="2"/>
  <c r="AB369" i="2"/>
  <c r="AB373" i="2" s="1"/>
  <c r="AB375" i="2" s="1"/>
  <c r="AC369" i="2"/>
  <c r="AC373" i="2" s="1"/>
  <c r="AC375" i="2" s="1"/>
  <c r="T364" i="2"/>
  <c r="T369" i="2" s="1"/>
  <c r="T373" i="2" s="1"/>
  <c r="P364" i="2"/>
  <c r="P369" i="2" s="1"/>
  <c r="P373" i="2" s="1"/>
  <c r="O364" i="2"/>
  <c r="O369" i="2" s="1"/>
  <c r="O373" i="2" s="1"/>
  <c r="Q364" i="2"/>
  <c r="Q369" i="2" s="1"/>
  <c r="Q373" i="2" s="1"/>
  <c r="M364" i="2"/>
  <c r="M369" i="2" s="1"/>
  <c r="M373" i="2" s="1"/>
  <c r="U369" i="2"/>
  <c r="U373" i="2" s="1"/>
  <c r="AS21" i="16"/>
  <c r="AN13" i="17"/>
  <c r="AI1035" i="2"/>
  <c r="AI13" i="17"/>
  <c r="AO13" i="17"/>
  <c r="AO1035" i="2"/>
  <c r="AN9" i="16"/>
  <c r="Y92" i="17"/>
  <c r="Y396" i="2"/>
  <c r="Y1039" i="2" s="1"/>
  <c r="Y435" i="2"/>
  <c r="Y437" i="2" s="1"/>
  <c r="Y440" i="2" s="1"/>
  <c r="Y454" i="2" s="1"/>
  <c r="Y138" i="17"/>
  <c r="Y17" i="16"/>
  <c r="AA92" i="17"/>
  <c r="AA17" i="16"/>
  <c r="AA138" i="17"/>
  <c r="AA435" i="2"/>
  <c r="AA437" i="2" s="1"/>
  <c r="AA440" i="2" s="1"/>
  <c r="AA448" i="2" s="1"/>
  <c r="AA396" i="2"/>
  <c r="AA1039" i="2" s="1"/>
  <c r="F1069" i="2" s="1" a="1"/>
  <c r="F1069" i="2" s="1"/>
  <c r="C131" i="18" s="1"/>
  <c r="X396" i="2"/>
  <c r="X1039" i="2" s="1"/>
  <c r="X92" i="17"/>
  <c r="X138" i="17"/>
  <c r="X17" i="16"/>
  <c r="X435" i="2"/>
  <c r="X437" i="2" s="1"/>
  <c r="X440" i="2" s="1"/>
  <c r="X454" i="2" s="1"/>
  <c r="Z17" i="16"/>
  <c r="Z396" i="2"/>
  <c r="Z1039" i="2" s="1"/>
  <c r="Z138" i="17"/>
  <c r="Z435" i="2"/>
  <c r="Z437" i="2" s="1"/>
  <c r="Z440" i="2" s="1"/>
  <c r="Z454" i="2" s="1"/>
  <c r="Z92" i="17"/>
  <c r="I394" i="2"/>
  <c r="I767" i="2" s="1"/>
  <c r="AS767" i="2"/>
  <c r="AD298" i="2"/>
  <c r="AD304" i="2"/>
  <c r="AD309" i="2" s="1"/>
  <c r="AF304" i="2"/>
  <c r="AF309" i="2" s="1"/>
  <c r="AF298" i="2"/>
  <c r="AG298" i="2"/>
  <c r="AG304" i="2"/>
  <c r="AG309" i="2" s="1"/>
  <c r="AE304" i="2"/>
  <c r="AE309" i="2" s="1"/>
  <c r="AE298" i="2"/>
  <c r="AH288" i="2"/>
  <c r="AH295" i="2" s="1"/>
  <c r="AH180" i="2"/>
  <c r="AH162" i="2"/>
  <c r="Y595" i="2"/>
  <c r="Z590" i="2" s="1"/>
  <c r="Z593" i="2" s="1"/>
  <c r="Z597" i="2" s="1"/>
  <c r="Z624" i="2" s="1"/>
  <c r="Y597" i="2"/>
  <c r="Y624" i="2" s="1"/>
  <c r="Y616" i="2"/>
  <c r="AE726" i="2"/>
  <c r="AE731" i="2" s="1"/>
  <c r="AE739" i="2" s="1"/>
  <c r="AE744" i="2" s="1"/>
  <c r="AE751" i="2" s="1"/>
  <c r="AD726" i="2"/>
  <c r="AD731" i="2" s="1"/>
  <c r="AD739" i="2" s="1"/>
  <c r="AD744" i="2" s="1"/>
  <c r="AD751" i="2" s="1"/>
  <c r="AF726" i="2"/>
  <c r="AF731" i="2" s="1"/>
  <c r="AF739" i="2" s="1"/>
  <c r="AF744" i="2" s="1"/>
  <c r="AF751" i="2" s="1"/>
  <c r="AG726" i="2"/>
  <c r="AG731" i="2" s="1"/>
  <c r="AG739" i="2" s="1"/>
  <c r="AG744" i="2" s="1"/>
  <c r="AG751" i="2" s="1"/>
  <c r="W227" i="7"/>
  <c r="W177" i="7" s="1"/>
  <c r="V227" i="7"/>
  <c r="V327" i="7" s="1"/>
  <c r="AI227" i="7"/>
  <c r="AI351" i="7" s="1"/>
  <c r="M1165" i="2" a="1"/>
  <c r="M1165" i="2" s="1"/>
  <c r="R244" i="7"/>
  <c r="AH244" i="7"/>
  <c r="S244" i="7"/>
  <c r="O244" i="7"/>
  <c r="AP244" i="7"/>
  <c r="W244" i="7"/>
  <c r="AN243" i="7"/>
  <c r="AN245" i="7" s="1"/>
  <c r="AN248" i="7" s="1"/>
  <c r="AN698" i="2" s="1"/>
  <c r="AN701" i="2" s="1"/>
  <c r="AF244" i="7"/>
  <c r="AD244" i="7"/>
  <c r="K217" i="7"/>
  <c r="K219" i="7" s="1"/>
  <c r="K110" i="7"/>
  <c r="K112" i="7" s="1"/>
  <c r="K234" i="7"/>
  <c r="I103" i="7"/>
  <c r="AC244" i="7"/>
  <c r="I241" i="7"/>
  <c r="I244" i="7" s="1"/>
  <c r="K244" i="7"/>
  <c r="AI244" i="7"/>
  <c r="AR243" i="7"/>
  <c r="AR245" i="7" s="1"/>
  <c r="AR248" i="7" s="1"/>
  <c r="AR698" i="2" s="1"/>
  <c r="AR701" i="2" s="1"/>
  <c r="AI243" i="7"/>
  <c r="AI280" i="2"/>
  <c r="AI282" i="2" s="1"/>
  <c r="AI274" i="2"/>
  <c r="AI275" i="2" s="1"/>
  <c r="AI267" i="2"/>
  <c r="AI297" i="2"/>
  <c r="W397" i="2"/>
  <c r="W1040" i="2" s="1"/>
  <c r="W444" i="2"/>
  <c r="W446" i="2" s="1"/>
  <c r="W139" i="17"/>
  <c r="W93" i="17"/>
  <c r="W18" i="16"/>
  <c r="AO148" i="7"/>
  <c r="AO149" i="7" s="1"/>
  <c r="AO152" i="7" s="1"/>
  <c r="AO155" i="7" s="1"/>
  <c r="AO493" i="7"/>
  <c r="AO327" i="7"/>
  <c r="AO351" i="7"/>
  <c r="AO177" i="7"/>
  <c r="O294" i="7"/>
  <c r="O297" i="7" s="1"/>
  <c r="N299" i="7"/>
  <c r="AM317" i="7"/>
  <c r="AM163" i="7"/>
  <c r="AM343" i="7"/>
  <c r="AG163" i="7"/>
  <c r="AG317" i="7"/>
  <c r="AG343" i="7"/>
  <c r="S225" i="7"/>
  <c r="S227" i="7" s="1"/>
  <c r="S235" i="7"/>
  <c r="S236" i="7" s="1"/>
  <c r="AS163" i="7"/>
  <c r="AS343" i="7"/>
  <c r="AS317" i="7"/>
  <c r="M163" i="7"/>
  <c r="M317" i="7"/>
  <c r="M343" i="7"/>
  <c r="AH317" i="7"/>
  <c r="AH163" i="7"/>
  <c r="AH343" i="7"/>
  <c r="AQ244" i="7"/>
  <c r="W163" i="7"/>
  <c r="W317" i="7"/>
  <c r="W343" i="7"/>
  <c r="AQ259" i="7"/>
  <c r="AO243" i="7"/>
  <c r="AO245" i="7" s="1"/>
  <c r="AO248" i="7" s="1"/>
  <c r="AO698" i="2" s="1"/>
  <c r="AO701" i="2" s="1"/>
  <c r="N343" i="7"/>
  <c r="N317" i="7"/>
  <c r="N163" i="7"/>
  <c r="AM225" i="7"/>
  <c r="AM227" i="7" s="1"/>
  <c r="AM235" i="7"/>
  <c r="AM236" i="7" s="1"/>
  <c r="AD163" i="7"/>
  <c r="AD317" i="7"/>
  <c r="AD343" i="7"/>
  <c r="M235" i="7"/>
  <c r="M236" i="7" s="1"/>
  <c r="M225" i="7"/>
  <c r="M227" i="7" s="1"/>
  <c r="AP343" i="7"/>
  <c r="AP317" i="7"/>
  <c r="AP163" i="7"/>
  <c r="AH225" i="7"/>
  <c r="AH227" i="7" s="1"/>
  <c r="AH235" i="7"/>
  <c r="AH236" i="7" s="1"/>
  <c r="L244" i="7"/>
  <c r="N1165" i="2" a="1"/>
  <c r="N1165" i="2" s="1"/>
  <c r="AN351" i="7"/>
  <c r="AN148" i="7"/>
  <c r="AN149" i="7" s="1"/>
  <c r="AN152" i="7" s="1"/>
  <c r="AN155" i="7" s="1"/>
  <c r="AN327" i="7"/>
  <c r="AN177" i="7"/>
  <c r="AN493" i="7"/>
  <c r="AG225" i="7"/>
  <c r="AG227" i="7" s="1"/>
  <c r="AG235" i="7"/>
  <c r="AG236" i="7" s="1"/>
  <c r="AF317" i="7"/>
  <c r="AF343" i="7"/>
  <c r="AF163" i="7"/>
  <c r="K9" i="16"/>
  <c r="K1035" i="2"/>
  <c r="K13" i="17"/>
  <c r="I79" i="2"/>
  <c r="I470" i="2" s="1"/>
  <c r="AR493" i="7"/>
  <c r="AR177" i="7"/>
  <c r="AR327" i="7"/>
  <c r="AR351" i="7"/>
  <c r="AR148" i="7"/>
  <c r="AR149" i="7" s="1"/>
  <c r="AR152" i="7" s="1"/>
  <c r="AR155" i="7" s="1"/>
  <c r="AH709" i="2"/>
  <c r="Q225" i="7"/>
  <c r="Q227" i="7" s="1"/>
  <c r="Q235" i="7"/>
  <c r="Q236" i="7" s="1"/>
  <c r="W243" i="7"/>
  <c r="AH276" i="2"/>
  <c r="AH303" i="2"/>
  <c r="AF232" i="2"/>
  <c r="AF199" i="2"/>
  <c r="AF201" i="2" s="1"/>
  <c r="AF204" i="2" s="1"/>
  <c r="AF205" i="2" s="1"/>
  <c r="AF330" i="2" s="1"/>
  <c r="AF331" i="2" s="1"/>
  <c r="AF13" i="16"/>
  <c r="AF190" i="2"/>
  <c r="AF192" i="2" s="1"/>
  <c r="AF195" i="2" s="1"/>
  <c r="AF196" i="2" s="1"/>
  <c r="AF335" i="2" s="1"/>
  <c r="AF336" i="2" s="1"/>
  <c r="AF54" i="17"/>
  <c r="V243" i="7"/>
  <c r="L1165" i="2" a="1"/>
  <c r="L1165" i="2" s="1"/>
  <c r="O343" i="7"/>
  <c r="O317" i="7"/>
  <c r="O163" i="7"/>
  <c r="T259" i="7"/>
  <c r="Q343" i="7"/>
  <c r="Q317" i="7"/>
  <c r="Q163" i="7"/>
  <c r="AJ343" i="7"/>
  <c r="AJ317" i="7"/>
  <c r="AJ163" i="7"/>
  <c r="G1073" i="2"/>
  <c r="D135" i="18" s="1"/>
  <c r="AQ225" i="7"/>
  <c r="AQ227" i="7" s="1"/>
  <c r="AQ235" i="7"/>
  <c r="AQ236" i="7" s="1"/>
  <c r="AK235" i="7"/>
  <c r="AK236" i="7" s="1"/>
  <c r="AK225" i="7"/>
  <c r="AK227" i="7" s="1"/>
  <c r="N225" i="7"/>
  <c r="N227" i="7" s="1"/>
  <c r="N235" i="7"/>
  <c r="N236" i="7" s="1"/>
  <c r="AD235" i="7"/>
  <c r="AD236" i="7" s="1"/>
  <c r="AD225" i="7"/>
  <c r="AD227" i="7" s="1"/>
  <c r="AF225" i="7"/>
  <c r="AF227" i="7" s="1"/>
  <c r="AF235" i="7"/>
  <c r="AF236" i="7" s="1"/>
  <c r="V351" i="7"/>
  <c r="AE232" i="2"/>
  <c r="AE13" i="16"/>
  <c r="AE190" i="2"/>
  <c r="AE192" i="2" s="1"/>
  <c r="AE195" i="2" s="1"/>
  <c r="AE196" i="2" s="1"/>
  <c r="AE335" i="2" s="1"/>
  <c r="AE336" i="2" s="1"/>
  <c r="AE54" i="17"/>
  <c r="AE199" i="2"/>
  <c r="AE201" i="2" s="1"/>
  <c r="AE204" i="2" s="1"/>
  <c r="AE205" i="2" s="1"/>
  <c r="AE330" i="2" s="1"/>
  <c r="AE331" i="2" s="1"/>
  <c r="Q244" i="7"/>
  <c r="AJ225" i="7"/>
  <c r="AJ227" i="7" s="1"/>
  <c r="AJ235" i="7"/>
  <c r="AJ236" i="7" s="1"/>
  <c r="O225" i="7"/>
  <c r="O227" i="7" s="1"/>
  <c r="O235" i="7"/>
  <c r="O236" i="7" s="1"/>
  <c r="AH181" i="2"/>
  <c r="AH186" i="2" s="1"/>
  <c r="AH175" i="2"/>
  <c r="AC163" i="7"/>
  <c r="AC317" i="7"/>
  <c r="AC343" i="7"/>
  <c r="U259" i="7"/>
  <c r="AQ317" i="7"/>
  <c r="AQ163" i="7"/>
  <c r="AQ343" i="7"/>
  <c r="AK317" i="7"/>
  <c r="AK163" i="7"/>
  <c r="AK343" i="7"/>
  <c r="R343" i="7"/>
  <c r="R163" i="7"/>
  <c r="R317" i="7"/>
  <c r="P225" i="7"/>
  <c r="P227" i="7" s="1"/>
  <c r="P235" i="7"/>
  <c r="P236" i="7" s="1"/>
  <c r="V244" i="7"/>
  <c r="N244" i="7"/>
  <c r="V317" i="7"/>
  <c r="V343" i="7"/>
  <c r="V163" i="7"/>
  <c r="AJ207" i="4"/>
  <c r="AJ136" i="2" s="1"/>
  <c r="AJ138" i="2" s="1"/>
  <c r="AC225" i="7"/>
  <c r="AC227" i="7" s="1"/>
  <c r="AC235" i="7"/>
  <c r="AC236" i="7" s="1"/>
  <c r="AH259" i="7"/>
  <c r="L317" i="7"/>
  <c r="L163" i="7"/>
  <c r="L343" i="7"/>
  <c r="R225" i="7"/>
  <c r="R227" i="7" s="1"/>
  <c r="R235" i="7"/>
  <c r="R236" i="7" s="1"/>
  <c r="U235" i="7"/>
  <c r="U236" i="7" s="1"/>
  <c r="U225" i="7"/>
  <c r="U227" i="7" s="1"/>
  <c r="AL163" i="7"/>
  <c r="AL317" i="7"/>
  <c r="AL343" i="7"/>
  <c r="P244" i="7"/>
  <c r="AP243" i="7"/>
  <c r="T244" i="7"/>
  <c r="AS244" i="7"/>
  <c r="U244" i="7"/>
  <c r="AI226" i="2"/>
  <c r="AI227" i="2" s="1"/>
  <c r="AI153" i="2"/>
  <c r="AI154" i="2" s="1"/>
  <c r="AI179" i="2" s="1"/>
  <c r="AI160" i="2"/>
  <c r="AI161" i="2" s="1"/>
  <c r="AI169" i="2"/>
  <c r="AI174" i="2" s="1"/>
  <c r="AE244" i="7"/>
  <c r="AE235" i="7"/>
  <c r="AE236" i="7" s="1"/>
  <c r="AE225" i="7"/>
  <c r="AE227" i="7" s="1"/>
  <c r="AP227" i="7"/>
  <c r="L225" i="7"/>
  <c r="L227" i="7" s="1"/>
  <c r="L235" i="7"/>
  <c r="L236" i="7" s="1"/>
  <c r="S343" i="7"/>
  <c r="S163" i="7"/>
  <c r="S317" i="7"/>
  <c r="P317" i="7"/>
  <c r="P163" i="7"/>
  <c r="P343" i="7"/>
  <c r="U317" i="7"/>
  <c r="U343" i="7"/>
  <c r="U163" i="7"/>
  <c r="I226" i="7"/>
  <c r="I240" i="7"/>
  <c r="T317" i="7"/>
  <c r="T163" i="7"/>
  <c r="T343" i="7"/>
  <c r="T225" i="7"/>
  <c r="T227" i="7" s="1"/>
  <c r="T235" i="7"/>
  <c r="T236" i="7" s="1"/>
  <c r="AL225" i="7"/>
  <c r="AL227" i="7" s="1"/>
  <c r="AL235" i="7"/>
  <c r="AL236" i="7" s="1"/>
  <c r="AM244" i="7"/>
  <c r="AJ262" i="4"/>
  <c r="AJ250" i="2" s="1"/>
  <c r="AJ252" i="2" s="1"/>
  <c r="AJ262" i="2" s="1"/>
  <c r="AJ264" i="2" s="1"/>
  <c r="AG244" i="7"/>
  <c r="AD54" i="17"/>
  <c r="AD199" i="2"/>
  <c r="AD201" i="2" s="1"/>
  <c r="AD204" i="2" s="1"/>
  <c r="AD205" i="2" s="1"/>
  <c r="AD330" i="2" s="1"/>
  <c r="AD331" i="2" s="1"/>
  <c r="AD13" i="16"/>
  <c r="AD232" i="2"/>
  <c r="AD190" i="2"/>
  <c r="AD192" i="2" s="1"/>
  <c r="AD195" i="2" s="1"/>
  <c r="AD196" i="2" s="1"/>
  <c r="AD335" i="2" s="1"/>
  <c r="AD336" i="2" s="1"/>
  <c r="M244" i="7"/>
  <c r="AE317" i="7"/>
  <c r="AE343" i="7"/>
  <c r="AE163" i="7"/>
  <c r="AG190" i="2"/>
  <c r="AG192" i="2" s="1"/>
  <c r="AG195" i="2" s="1"/>
  <c r="AG196" i="2" s="1"/>
  <c r="AG335" i="2" s="1"/>
  <c r="AG336" i="2" s="1"/>
  <c r="AG13" i="16"/>
  <c r="AG199" i="2"/>
  <c r="AG201" i="2" s="1"/>
  <c r="AG204" i="2" s="1"/>
  <c r="AG205" i="2" s="1"/>
  <c r="AG330" i="2" s="1"/>
  <c r="AG331" i="2" s="1"/>
  <c r="AG54" i="17"/>
  <c r="AG232" i="2"/>
  <c r="K58" i="7"/>
  <c r="K259" i="7"/>
  <c r="AS235" i="7"/>
  <c r="AS236" i="7" s="1"/>
  <c r="AS225" i="7"/>
  <c r="AS227" i="7" s="1"/>
  <c r="V93" i="17" l="1"/>
  <c r="V18" i="16"/>
  <c r="V397" i="2"/>
  <c r="V1040" i="2" s="1"/>
  <c r="V139" i="17"/>
  <c r="P375" i="2"/>
  <c r="P383" i="2" s="1"/>
  <c r="AD574" i="2"/>
  <c r="V444" i="2"/>
  <c r="V446" i="2" s="1"/>
  <c r="V449" i="2" s="1"/>
  <c r="AE574" i="2"/>
  <c r="AQ574" i="2"/>
  <c r="M571" i="2"/>
  <c r="M572" i="2" s="1"/>
  <c r="M574" i="2" s="1"/>
  <c r="AL574" i="2"/>
  <c r="AE601" i="2"/>
  <c r="I583" i="2"/>
  <c r="I601" i="2" s="1"/>
  <c r="V177" i="7"/>
  <c r="W245" i="7"/>
  <c r="W247" i="7" s="1"/>
  <c r="W697" i="2" s="1"/>
  <c r="W700" i="2" s="1"/>
  <c r="AQ479" i="2"/>
  <c r="AQ480" i="2" s="1"/>
  <c r="Q574" i="2"/>
  <c r="S574" i="2"/>
  <c r="AO574" i="2"/>
  <c r="P574" i="2"/>
  <c r="K571" i="2"/>
  <c r="K572" i="2" s="1"/>
  <c r="K573" i="2" s="1"/>
  <c r="L573" i="2" s="1"/>
  <c r="I472" i="2"/>
  <c r="K479" i="2"/>
  <c r="AH479" i="2"/>
  <c r="AH480" i="2" s="1"/>
  <c r="AH571" i="2"/>
  <c r="AH572" i="2" s="1"/>
  <c r="AH574" i="2" s="1"/>
  <c r="I378" i="2"/>
  <c r="I471" i="2"/>
  <c r="V571" i="2"/>
  <c r="V572" i="2" s="1"/>
  <c r="V479" i="2"/>
  <c r="V480" i="2" s="1"/>
  <c r="AP479" i="2"/>
  <c r="AP480" i="2" s="1"/>
  <c r="Q375" i="2"/>
  <c r="Q383" i="2" s="1"/>
  <c r="I10" i="16"/>
  <c r="I1036" i="2"/>
  <c r="M1158" i="2" a="1"/>
  <c r="M1158" i="2" s="1"/>
  <c r="G1067" i="2"/>
  <c r="D129" i="18" s="1"/>
  <c r="L1158" i="2" a="1"/>
  <c r="L1158" i="2" s="1"/>
  <c r="U375" i="2"/>
  <c r="U383" i="2" s="1"/>
  <c r="T375" i="2"/>
  <c r="T383" i="2" s="1"/>
  <c r="AR574" i="2"/>
  <c r="O375" i="2"/>
  <c r="O383" i="2" s="1"/>
  <c r="M375" i="2"/>
  <c r="M383" i="2" s="1"/>
  <c r="N1158" i="2" a="1"/>
  <c r="N1158" i="2" s="1"/>
  <c r="D21" i="11" s="1"/>
  <c r="F27" i="15" s="1"/>
  <c r="J27" i="15" s="1"/>
  <c r="I27" i="15" s="1"/>
  <c r="I14" i="17"/>
  <c r="K1158" i="2"/>
  <c r="K375" i="2"/>
  <c r="K383" i="2" s="1"/>
  <c r="R574" i="2"/>
  <c r="N574" i="2"/>
  <c r="O574" i="2"/>
  <c r="AP574" i="2"/>
  <c r="AF574" i="2"/>
  <c r="AI574" i="2"/>
  <c r="AJ574" i="2"/>
  <c r="AI148" i="7"/>
  <c r="AI149" i="7" s="1"/>
  <c r="AI152" i="7" s="1"/>
  <c r="AI155" i="7" s="1"/>
  <c r="AI327" i="7"/>
  <c r="AD932" i="2"/>
  <c r="AD1021" i="2" s="1"/>
  <c r="AD1134" i="2" s="1"/>
  <c r="AD79" i="16" s="1"/>
  <c r="AE58" i="16"/>
  <c r="AF911" i="2"/>
  <c r="AF420" i="7"/>
  <c r="AF425" i="7" s="1"/>
  <c r="AE761" i="2"/>
  <c r="AE918" i="2"/>
  <c r="AD148" i="17"/>
  <c r="AD46" i="16"/>
  <c r="AI493" i="7"/>
  <c r="AI177" i="7"/>
  <c r="W396" i="2"/>
  <c r="W1039" i="2" s="1"/>
  <c r="L17" i="16"/>
  <c r="N17" i="16"/>
  <c r="AB435" i="2"/>
  <c r="AB437" i="2" s="1"/>
  <c r="AB440" i="2" s="1"/>
  <c r="AB448" i="2" s="1"/>
  <c r="AB383" i="2"/>
  <c r="S435" i="2"/>
  <c r="S383" i="2"/>
  <c r="R435" i="2"/>
  <c r="R383" i="2"/>
  <c r="V17" i="16"/>
  <c r="V383" i="2"/>
  <c r="V385" i="2" s="1"/>
  <c r="V800" i="2" s="1"/>
  <c r="AC396" i="2"/>
  <c r="AC1039" i="2" s="1"/>
  <c r="AC383" i="2"/>
  <c r="W385" i="2"/>
  <c r="X385" i="2"/>
  <c r="X800" i="2" s="1"/>
  <c r="Z385" i="2"/>
  <c r="Y385" i="2"/>
  <c r="W17" i="16"/>
  <c r="W435" i="2"/>
  <c r="W437" i="2" s="1"/>
  <c r="W440" i="2" s="1"/>
  <c r="W454" i="2" s="1"/>
  <c r="W92" i="17"/>
  <c r="W138" i="17"/>
  <c r="R138" i="17"/>
  <c r="S396" i="2"/>
  <c r="S1039" i="2" s="1"/>
  <c r="S138" i="17"/>
  <c r="S17" i="16"/>
  <c r="S92" i="17"/>
  <c r="R92" i="17"/>
  <c r="R396" i="2"/>
  <c r="R1039" i="2" s="1"/>
  <c r="R17" i="16"/>
  <c r="N435" i="2"/>
  <c r="N138" i="17"/>
  <c r="L396" i="2"/>
  <c r="L1039" i="2" s="1"/>
  <c r="N396" i="2"/>
  <c r="N1039" i="2" s="1"/>
  <c r="N92" i="17"/>
  <c r="L92" i="17"/>
  <c r="L435" i="2"/>
  <c r="L138" i="17"/>
  <c r="G1066" i="2"/>
  <c r="D128" i="18" s="1"/>
  <c r="M1157" i="2" a="1"/>
  <c r="M1157" i="2" s="1"/>
  <c r="L1157" i="2" a="1"/>
  <c r="L1157" i="2" s="1"/>
  <c r="K1157" i="2"/>
  <c r="N1157" i="2" a="1"/>
  <c r="N1157" i="2" s="1"/>
  <c r="D20" i="11" s="1"/>
  <c r="F26" i="15" s="1"/>
  <c r="J26" i="15" s="1"/>
  <c r="I26" i="15" s="1"/>
  <c r="AB396" i="2"/>
  <c r="AB1039" i="2" s="1"/>
  <c r="AB138" i="17"/>
  <c r="AB92" i="17"/>
  <c r="AB17" i="16"/>
  <c r="V396" i="2"/>
  <c r="V1039" i="2" s="1"/>
  <c r="V138" i="17"/>
  <c r="V92" i="17"/>
  <c r="AE236" i="2"/>
  <c r="AE345" i="2" s="1"/>
  <c r="AE346" i="2" s="1"/>
  <c r="AE238" i="2"/>
  <c r="AE353" i="2" s="1"/>
  <c r="AE354" i="2" s="1"/>
  <c r="AE239" i="2"/>
  <c r="AE357" i="2" s="1"/>
  <c r="AE358" i="2" s="1"/>
  <c r="AE237" i="2"/>
  <c r="AE349" i="2" s="1"/>
  <c r="AE350" i="2" s="1"/>
  <c r="AE240" i="2"/>
  <c r="AE361" i="2" s="1"/>
  <c r="AE362" i="2" s="1"/>
  <c r="AG236" i="2"/>
  <c r="AG345" i="2" s="1"/>
  <c r="AG346" i="2" s="1"/>
  <c r="AG238" i="2"/>
  <c r="AG353" i="2" s="1"/>
  <c r="AG354" i="2" s="1"/>
  <c r="AG237" i="2"/>
  <c r="AG349" i="2" s="1"/>
  <c r="AG350" i="2" s="1"/>
  <c r="AG240" i="2"/>
  <c r="AG361" i="2" s="1"/>
  <c r="AG362" i="2" s="1"/>
  <c r="AG239" i="2"/>
  <c r="AG357" i="2" s="1"/>
  <c r="AG358" i="2" s="1"/>
  <c r="AD236" i="2"/>
  <c r="AD345" i="2" s="1"/>
  <c r="AD346" i="2" s="1"/>
  <c r="AD237" i="2"/>
  <c r="AD349" i="2" s="1"/>
  <c r="AD350" i="2" s="1"/>
  <c r="AD238" i="2"/>
  <c r="AD353" i="2" s="1"/>
  <c r="AD354" i="2" s="1"/>
  <c r="AD240" i="2"/>
  <c r="AD361" i="2" s="1"/>
  <c r="AD362" i="2" s="1"/>
  <c r="AD239" i="2"/>
  <c r="AD357" i="2" s="1"/>
  <c r="AD358" i="2" s="1"/>
  <c r="AF240" i="2"/>
  <c r="AF361" i="2" s="1"/>
  <c r="AF362" i="2" s="1"/>
  <c r="AF238" i="2"/>
  <c r="AF353" i="2" s="1"/>
  <c r="AF354" i="2" s="1"/>
  <c r="AF236" i="2"/>
  <c r="AF345" i="2" s="1"/>
  <c r="AF346" i="2" s="1"/>
  <c r="AF237" i="2"/>
  <c r="AF349" i="2" s="1"/>
  <c r="AF350" i="2" s="1"/>
  <c r="AF239" i="2"/>
  <c r="AF357" i="2" s="1"/>
  <c r="AF358" i="2" s="1"/>
  <c r="AA454" i="2"/>
  <c r="I1043" i="2"/>
  <c r="I21" i="16"/>
  <c r="V435" i="2"/>
  <c r="X448" i="2"/>
  <c r="X450" i="2" s="1"/>
  <c r="AC92" i="17"/>
  <c r="Y448" i="2"/>
  <c r="Y450" i="2" s="1"/>
  <c r="AC435" i="2"/>
  <c r="AC437" i="2" s="1"/>
  <c r="AC440" i="2" s="1"/>
  <c r="AC448" i="2" s="1"/>
  <c r="AC138" i="17"/>
  <c r="AC17" i="16"/>
  <c r="Z448" i="2"/>
  <c r="Z450" i="2" s="1"/>
  <c r="W351" i="7"/>
  <c r="V493" i="7"/>
  <c r="AP245" i="7"/>
  <c r="AP248" i="7" s="1"/>
  <c r="AP698" i="2" s="1"/>
  <c r="AP701" i="2" s="1"/>
  <c r="AP705" i="2" s="1"/>
  <c r="AP736" i="2" s="1"/>
  <c r="V148" i="7"/>
  <c r="V149" i="7" s="1"/>
  <c r="V152" i="7" s="1"/>
  <c r="V155" i="7" s="1"/>
  <c r="V164" i="7" s="1"/>
  <c r="V166" i="7" s="1"/>
  <c r="W327" i="7"/>
  <c r="W148" i="7"/>
  <c r="W149" i="7" s="1"/>
  <c r="W152" i="7" s="1"/>
  <c r="W155" i="7" s="1"/>
  <c r="W352" i="7" s="1"/>
  <c r="AA228" i="7"/>
  <c r="W493" i="7"/>
  <c r="AH304" i="2"/>
  <c r="AH309" i="2" s="1"/>
  <c r="AH298" i="2"/>
  <c r="AI288" i="2"/>
  <c r="AI295" i="2" s="1"/>
  <c r="AI180" i="2"/>
  <c r="AI162" i="2"/>
  <c r="AH726" i="2"/>
  <c r="AH731" i="2" s="1"/>
  <c r="AH739" i="2" s="1"/>
  <c r="AH744" i="2" s="1"/>
  <c r="AH751" i="2" s="1"/>
  <c r="AN705" i="2"/>
  <c r="AN736" i="2" s="1"/>
  <c r="AO705" i="2"/>
  <c r="AO736" i="2" s="1"/>
  <c r="W704" i="2"/>
  <c r="W735" i="2" s="1"/>
  <c r="AR705" i="2"/>
  <c r="AR736" i="2" s="1"/>
  <c r="Z594" i="2"/>
  <c r="Z602" i="2" s="1"/>
  <c r="Z603" i="2" s="1"/>
  <c r="Z616" i="2" s="1"/>
  <c r="AN247" i="7"/>
  <c r="AN697" i="2" s="1"/>
  <c r="AN700" i="2" s="1"/>
  <c r="AI245" i="7"/>
  <c r="AI248" i="7" s="1"/>
  <c r="AI698" i="2" s="1"/>
  <c r="AI701" i="2" s="1"/>
  <c r="AI705" i="2" s="1"/>
  <c r="W248" i="7"/>
  <c r="W698" i="2" s="1"/>
  <c r="W701" i="2" s="1"/>
  <c r="AG243" i="7"/>
  <c r="AG245" i="7" s="1"/>
  <c r="AG248" i="7" s="1"/>
  <c r="AG698" i="2" s="1"/>
  <c r="AG701" i="2" s="1"/>
  <c r="T243" i="7"/>
  <c r="T245" i="7" s="1"/>
  <c r="T248" i="7" s="1"/>
  <c r="T698" i="2" s="1"/>
  <c r="T701" i="2" s="1"/>
  <c r="AF243" i="7"/>
  <c r="AF245" i="7" s="1"/>
  <c r="AF248" i="7" s="1"/>
  <c r="AF698" i="2" s="1"/>
  <c r="AF701" i="2" s="1"/>
  <c r="AK243" i="7"/>
  <c r="AK245" i="7" s="1"/>
  <c r="AK248" i="7" s="1"/>
  <c r="AK698" i="2" s="1"/>
  <c r="AK701" i="2" s="1"/>
  <c r="AK705" i="2" s="1"/>
  <c r="P243" i="7"/>
  <c r="P245" i="7" s="1"/>
  <c r="P248" i="7" s="1"/>
  <c r="P698" i="2" s="1"/>
  <c r="P701" i="2" s="1"/>
  <c r="N243" i="7"/>
  <c r="N245" i="7" s="1"/>
  <c r="N248" i="7" s="1"/>
  <c r="N698" i="2" s="1"/>
  <c r="N701" i="2" s="1"/>
  <c r="L243" i="7"/>
  <c r="L245" i="7" s="1"/>
  <c r="L248" i="7" s="1"/>
  <c r="L698" i="2" s="1"/>
  <c r="L701" i="2" s="1"/>
  <c r="O243" i="7"/>
  <c r="O245" i="7" s="1"/>
  <c r="O248" i="7" s="1"/>
  <c r="O698" i="2" s="1"/>
  <c r="O701" i="2" s="1"/>
  <c r="AJ243" i="7"/>
  <c r="AJ245" i="7" s="1"/>
  <c r="AJ248" i="7" s="1"/>
  <c r="AJ698" i="2" s="1"/>
  <c r="AJ701" i="2" s="1"/>
  <c r="AJ705" i="2" s="1"/>
  <c r="AD243" i="7"/>
  <c r="AD245" i="7" s="1"/>
  <c r="AD248" i="7" s="1"/>
  <c r="AD698" i="2" s="1"/>
  <c r="AD701" i="2" s="1"/>
  <c r="Q243" i="7"/>
  <c r="Q245" i="7" s="1"/>
  <c r="Q248" i="7" s="1"/>
  <c r="Q698" i="2" s="1"/>
  <c r="Q701" i="2" s="1"/>
  <c r="AS243" i="7"/>
  <c r="AS245" i="7" s="1"/>
  <c r="AS248" i="7" s="1"/>
  <c r="AS698" i="2" s="1"/>
  <c r="AS701" i="2" s="1"/>
  <c r="AL243" i="7"/>
  <c r="AL245" i="7" s="1"/>
  <c r="AL248" i="7" s="1"/>
  <c r="AL698" i="2" s="1"/>
  <c r="AL701" i="2" s="1"/>
  <c r="U243" i="7"/>
  <c r="U245" i="7" s="1"/>
  <c r="U248" i="7" s="1"/>
  <c r="U698" i="2" s="1"/>
  <c r="U701" i="2" s="1"/>
  <c r="AQ243" i="7"/>
  <c r="AQ245" i="7" s="1"/>
  <c r="AQ248" i="7" s="1"/>
  <c r="AQ698" i="2" s="1"/>
  <c r="AQ701" i="2" s="1"/>
  <c r="M243" i="7"/>
  <c r="M245" i="7" s="1"/>
  <c r="M248" i="7" s="1"/>
  <c r="M698" i="2" s="1"/>
  <c r="M701" i="2" s="1"/>
  <c r="AC243" i="7"/>
  <c r="AC245" i="7" s="1"/>
  <c r="AC248" i="7" s="1"/>
  <c r="AC698" i="2" s="1"/>
  <c r="AC701" i="2" s="1"/>
  <c r="S243" i="7"/>
  <c r="S245" i="7" s="1"/>
  <c r="S248" i="7" s="1"/>
  <c r="S698" i="2" s="1"/>
  <c r="S701" i="2" s="1"/>
  <c r="K519" i="7"/>
  <c r="K184" i="7"/>
  <c r="K260" i="7"/>
  <c r="K268" i="7" s="1"/>
  <c r="L58" i="7"/>
  <c r="AR164" i="7"/>
  <c r="AR166" i="7" s="1"/>
  <c r="AR328" i="7"/>
  <c r="AR331" i="7" s="1"/>
  <c r="AR334" i="7" s="1"/>
  <c r="AR352" i="7"/>
  <c r="S327" i="7"/>
  <c r="S177" i="7"/>
  <c r="S148" i="7"/>
  <c r="S149" i="7" s="1"/>
  <c r="S152" i="7" s="1"/>
  <c r="S155" i="7" s="1"/>
  <c r="S351" i="7"/>
  <c r="S493" i="7"/>
  <c r="U177" i="7"/>
  <c r="U327" i="7"/>
  <c r="U351" i="7"/>
  <c r="U493" i="7"/>
  <c r="U148" i="7"/>
  <c r="U149" i="7" s="1"/>
  <c r="U152" i="7" s="1"/>
  <c r="U155" i="7" s="1"/>
  <c r="AJ226" i="2"/>
  <c r="AJ227" i="2" s="1"/>
  <c r="AJ153" i="2"/>
  <c r="AJ154" i="2" s="1"/>
  <c r="AJ179" i="2" s="1"/>
  <c r="AJ160" i="2"/>
  <c r="AJ161" i="2" s="1"/>
  <c r="AJ169" i="2"/>
  <c r="AJ174" i="2" s="1"/>
  <c r="N177" i="7"/>
  <c r="N493" i="7"/>
  <c r="N327" i="7"/>
  <c r="N351" i="7"/>
  <c r="N148" i="7"/>
  <c r="N149" i="7" s="1"/>
  <c r="N152" i="7" s="1"/>
  <c r="N155" i="7" s="1"/>
  <c r="AE243" i="7"/>
  <c r="AE245" i="7" s="1"/>
  <c r="AE248" i="7" s="1"/>
  <c r="AE698" i="2" s="1"/>
  <c r="AE701" i="2" s="1"/>
  <c r="AG340" i="2"/>
  <c r="AS327" i="7"/>
  <c r="AS493" i="7"/>
  <c r="AS351" i="7"/>
  <c r="AS177" i="7"/>
  <c r="AS148" i="7"/>
  <c r="AS149" i="7" s="1"/>
  <c r="AS152" i="7" s="1"/>
  <c r="AS155" i="7" s="1"/>
  <c r="AK262" i="4"/>
  <c r="AK250" i="2" s="1"/>
  <c r="AK252" i="2" s="1"/>
  <c r="AK262" i="2" s="1"/>
  <c r="AK264" i="2" s="1"/>
  <c r="T327" i="7"/>
  <c r="T351" i="7"/>
  <c r="T177" i="7"/>
  <c r="T493" i="7"/>
  <c r="T148" i="7"/>
  <c r="T149" i="7" s="1"/>
  <c r="T152" i="7" s="1"/>
  <c r="T155" i="7" s="1"/>
  <c r="AP148" i="7"/>
  <c r="AP149" i="7" s="1"/>
  <c r="AP152" i="7" s="1"/>
  <c r="AP155" i="7" s="1"/>
  <c r="AP493" i="7"/>
  <c r="AP177" i="7"/>
  <c r="AP327" i="7"/>
  <c r="AP351" i="7"/>
  <c r="AE340" i="2"/>
  <c r="AK493" i="7"/>
  <c r="AK351" i="7"/>
  <c r="AK327" i="7"/>
  <c r="AK177" i="7"/>
  <c r="AK148" i="7"/>
  <c r="AK149" i="7" s="1"/>
  <c r="AK152" i="7" s="1"/>
  <c r="AK155" i="7" s="1"/>
  <c r="AQ351" i="7"/>
  <c r="AQ327" i="7"/>
  <c r="AQ148" i="7"/>
  <c r="AQ149" i="7" s="1"/>
  <c r="AQ152" i="7" s="1"/>
  <c r="AQ155" i="7" s="1"/>
  <c r="AQ493" i="7"/>
  <c r="AQ177" i="7"/>
  <c r="AN164" i="7"/>
  <c r="AN166" i="7" s="1"/>
  <c r="AN352" i="7"/>
  <c r="AN328" i="7"/>
  <c r="AN331" i="7" s="1"/>
  <c r="AN334" i="7" s="1"/>
  <c r="K225" i="7"/>
  <c r="K227" i="7" s="1"/>
  <c r="K235" i="7"/>
  <c r="K236" i="7" s="1"/>
  <c r="I219" i="7"/>
  <c r="AD339" i="2"/>
  <c r="AL327" i="7"/>
  <c r="AL493" i="7"/>
  <c r="AL351" i="7"/>
  <c r="AL148" i="7"/>
  <c r="AL149" i="7" s="1"/>
  <c r="AL152" i="7" s="1"/>
  <c r="AL155" i="7" s="1"/>
  <c r="AL177" i="7"/>
  <c r="L327" i="7"/>
  <c r="L148" i="7"/>
  <c r="L149" i="7" s="1"/>
  <c r="L152" i="7" s="1"/>
  <c r="L155" i="7" s="1"/>
  <c r="L351" i="7"/>
  <c r="L493" i="7"/>
  <c r="L177" i="7"/>
  <c r="P493" i="7"/>
  <c r="P327" i="7"/>
  <c r="P177" i="7"/>
  <c r="P148" i="7"/>
  <c r="P149" i="7" s="1"/>
  <c r="P152" i="7" s="1"/>
  <c r="P155" i="7" s="1"/>
  <c r="P351" i="7"/>
  <c r="AI164" i="7"/>
  <c r="AI166" i="7" s="1"/>
  <c r="AI352" i="7"/>
  <c r="AI328" i="7"/>
  <c r="V245" i="7"/>
  <c r="AG351" i="7"/>
  <c r="AG327" i="7"/>
  <c r="AG493" i="7"/>
  <c r="AG177" i="7"/>
  <c r="AG148" i="7"/>
  <c r="AG149" i="7" s="1"/>
  <c r="AG152" i="7" s="1"/>
  <c r="AG155" i="7" s="1"/>
  <c r="AC493" i="7"/>
  <c r="AC148" i="7"/>
  <c r="AC149" i="7" s="1"/>
  <c r="AC152" i="7" s="1"/>
  <c r="AC155" i="7" s="1"/>
  <c r="AC177" i="7"/>
  <c r="AC351" i="7"/>
  <c r="AC327" i="7"/>
  <c r="R243" i="7"/>
  <c r="R245" i="7" s="1"/>
  <c r="R248" i="7" s="1"/>
  <c r="R698" i="2" s="1"/>
  <c r="R701" i="2" s="1"/>
  <c r="AF340" i="2"/>
  <c r="AO164" i="7"/>
  <c r="AO166" i="7" s="1"/>
  <c r="AO328" i="7"/>
  <c r="AO331" i="7" s="1"/>
  <c r="AO334" i="7" s="1"/>
  <c r="AO352" i="7"/>
  <c r="AE327" i="7"/>
  <c r="AE148" i="7"/>
  <c r="AE149" i="7" s="1"/>
  <c r="AE152" i="7" s="1"/>
  <c r="AE155" i="7" s="1"/>
  <c r="AE177" i="7"/>
  <c r="AE493" i="7"/>
  <c r="AE351" i="7"/>
  <c r="AD340" i="2"/>
  <c r="AH243" i="7"/>
  <c r="AH245" i="7" s="1"/>
  <c r="AH248" i="7" s="1"/>
  <c r="AH698" i="2" s="1"/>
  <c r="AH701" i="2" s="1"/>
  <c r="AH705" i="2" s="1"/>
  <c r="O493" i="7"/>
  <c r="O148" i="7"/>
  <c r="O149" i="7" s="1"/>
  <c r="O152" i="7" s="1"/>
  <c r="O155" i="7" s="1"/>
  <c r="O327" i="7"/>
  <c r="O177" i="7"/>
  <c r="O351" i="7"/>
  <c r="AE339" i="2"/>
  <c r="AF493" i="7"/>
  <c r="AF148" i="7"/>
  <c r="AF149" i="7" s="1"/>
  <c r="AF152" i="7" s="1"/>
  <c r="AF155" i="7" s="1"/>
  <c r="AF327" i="7"/>
  <c r="AF177" i="7"/>
  <c r="AF351" i="7"/>
  <c r="Q327" i="7"/>
  <c r="Q177" i="7"/>
  <c r="Q148" i="7"/>
  <c r="Q149" i="7" s="1"/>
  <c r="Q152" i="7" s="1"/>
  <c r="Q155" i="7" s="1"/>
  <c r="Q493" i="7"/>
  <c r="Q351" i="7"/>
  <c r="AO247" i="7"/>
  <c r="AO697" i="2" s="1"/>
  <c r="AO700" i="2" s="1"/>
  <c r="N302" i="7"/>
  <c r="AR247" i="7"/>
  <c r="AR697" i="2" s="1"/>
  <c r="AR700" i="2" s="1"/>
  <c r="I234" i="7"/>
  <c r="I110" i="7"/>
  <c r="I217" i="7"/>
  <c r="AH493" i="7"/>
  <c r="AH351" i="7"/>
  <c r="AH327" i="7"/>
  <c r="AH148" i="7"/>
  <c r="AH149" i="7" s="1"/>
  <c r="AH152" i="7" s="1"/>
  <c r="AH155" i="7" s="1"/>
  <c r="AH177" i="7"/>
  <c r="M327" i="7"/>
  <c r="M351" i="7"/>
  <c r="M148" i="7"/>
  <c r="M149" i="7" s="1"/>
  <c r="M152" i="7" s="1"/>
  <c r="M155" i="7" s="1"/>
  <c r="M177" i="7"/>
  <c r="M493" i="7"/>
  <c r="AM148" i="7"/>
  <c r="AM149" i="7" s="1"/>
  <c r="AM152" i="7" s="1"/>
  <c r="AM155" i="7" s="1"/>
  <c r="AM327" i="7"/>
  <c r="AM177" i="7"/>
  <c r="AM493" i="7"/>
  <c r="AM351" i="7"/>
  <c r="AI709" i="2"/>
  <c r="AJ267" i="2"/>
  <c r="AJ274" i="2"/>
  <c r="AJ275" i="2" s="1"/>
  <c r="AJ280" i="2"/>
  <c r="AJ282" i="2" s="1"/>
  <c r="AJ297" i="2"/>
  <c r="R493" i="7"/>
  <c r="R177" i="7"/>
  <c r="R327" i="7"/>
  <c r="R351" i="7"/>
  <c r="R148" i="7"/>
  <c r="R149" i="7" s="1"/>
  <c r="R152" i="7" s="1"/>
  <c r="R155" i="7" s="1"/>
  <c r="AJ177" i="7"/>
  <c r="AJ148" i="7"/>
  <c r="AJ149" i="7" s="1"/>
  <c r="AJ152" i="7" s="1"/>
  <c r="AJ155" i="7" s="1"/>
  <c r="AJ327" i="7"/>
  <c r="AJ351" i="7"/>
  <c r="AJ493" i="7"/>
  <c r="AD148" i="7"/>
  <c r="AD149" i="7" s="1"/>
  <c r="AD152" i="7" s="1"/>
  <c r="AD155" i="7" s="1"/>
  <c r="AD351" i="7"/>
  <c r="AD177" i="7"/>
  <c r="AD493" i="7"/>
  <c r="AD327" i="7"/>
  <c r="AF339" i="2"/>
  <c r="I13" i="17"/>
  <c r="I1035" i="2"/>
  <c r="I9" i="16"/>
  <c r="O299" i="7"/>
  <c r="O302" i="7" s="1"/>
  <c r="P294" i="7"/>
  <c r="P297" i="7" s="1"/>
  <c r="W458" i="2"/>
  <c r="W449" i="2"/>
  <c r="AK207" i="4"/>
  <c r="AK136" i="2" s="1"/>
  <c r="AK138" i="2" s="1"/>
  <c r="AG339" i="2"/>
  <c r="AM243" i="7"/>
  <c r="AM245" i="7" s="1"/>
  <c r="AM248" i="7" s="1"/>
  <c r="AM698" i="2" s="1"/>
  <c r="AM701" i="2" s="1"/>
  <c r="AI181" i="2"/>
  <c r="AI186" i="2" s="1"/>
  <c r="AI175" i="2"/>
  <c r="AH190" i="2"/>
  <c r="AH192" i="2" s="1"/>
  <c r="AH195" i="2" s="1"/>
  <c r="AH196" i="2" s="1"/>
  <c r="AH335" i="2" s="1"/>
  <c r="AH336" i="2" s="1"/>
  <c r="AH13" i="16"/>
  <c r="AH199" i="2"/>
  <c r="AH201" i="2" s="1"/>
  <c r="AH204" i="2" s="1"/>
  <c r="AH205" i="2" s="1"/>
  <c r="AH330" i="2" s="1"/>
  <c r="AH331" i="2" s="1"/>
  <c r="AH232" i="2"/>
  <c r="AH54" i="17"/>
  <c r="AI276" i="2"/>
  <c r="AI303" i="2"/>
  <c r="K343" i="7"/>
  <c r="I112" i="7"/>
  <c r="K163" i="7"/>
  <c r="K317" i="7"/>
  <c r="P17" i="16" l="1"/>
  <c r="V458" i="2"/>
  <c r="L574" i="2"/>
  <c r="M573" i="2"/>
  <c r="N573" i="2" s="1"/>
  <c r="O573" i="2" s="1"/>
  <c r="P573" i="2" s="1"/>
  <c r="Q573" i="2" s="1"/>
  <c r="R573" i="2" s="1"/>
  <c r="S573" i="2" s="1"/>
  <c r="T573" i="2" s="1"/>
  <c r="U573" i="2" s="1"/>
  <c r="V573" i="2" s="1"/>
  <c r="W573" i="2" s="1"/>
  <c r="X573" i="2" s="1"/>
  <c r="Y573" i="2" s="1"/>
  <c r="Z573" i="2" s="1"/>
  <c r="AA573" i="2" s="1"/>
  <c r="AB573" i="2" s="1"/>
  <c r="AC573" i="2" s="1"/>
  <c r="AD573" i="2" s="1"/>
  <c r="AE573" i="2" s="1"/>
  <c r="AF573" i="2" s="1"/>
  <c r="AG573" i="2" s="1"/>
  <c r="AH573" i="2" s="1"/>
  <c r="AI573" i="2" s="1"/>
  <c r="AJ573" i="2" s="1"/>
  <c r="AK573" i="2" s="1"/>
  <c r="AL573" i="2" s="1"/>
  <c r="AM573" i="2" s="1"/>
  <c r="AN573" i="2" s="1"/>
  <c r="AO573" i="2" s="1"/>
  <c r="AP573" i="2" s="1"/>
  <c r="AQ573" i="2" s="1"/>
  <c r="AR573" i="2" s="1"/>
  <c r="AS573" i="2" s="1"/>
  <c r="K574" i="2"/>
  <c r="AI247" i="7"/>
  <c r="AI697" i="2" s="1"/>
  <c r="AI700" i="2" s="1"/>
  <c r="AI704" i="2" s="1"/>
  <c r="AI331" i="7"/>
  <c r="AI334" i="7" s="1"/>
  <c r="K480" i="2"/>
  <c r="K488" i="2" s="1"/>
  <c r="AG574" i="2"/>
  <c r="Q138" i="17"/>
  <c r="U574" i="2"/>
  <c r="V574" i="2"/>
  <c r="I571" i="2"/>
  <c r="I479" i="2"/>
  <c r="L1159" i="2"/>
  <c r="M1159" i="2"/>
  <c r="T138" i="17"/>
  <c r="O92" i="17"/>
  <c r="M435" i="2"/>
  <c r="K1159" i="2"/>
  <c r="K396" i="2"/>
  <c r="K1039" i="2" s="1"/>
  <c r="W164" i="7"/>
  <c r="W166" i="7" s="1"/>
  <c r="W328" i="7"/>
  <c r="W331" i="7" s="1"/>
  <c r="W334" i="7" s="1"/>
  <c r="AF924" i="2"/>
  <c r="AF925" i="2" s="1"/>
  <c r="AF58" i="16" s="1"/>
  <c r="AF929" i="2"/>
  <c r="AF912" i="2"/>
  <c r="AG907" i="2" s="1"/>
  <c r="AG908" i="2" s="1"/>
  <c r="AP247" i="7"/>
  <c r="AP697" i="2" s="1"/>
  <c r="AP700" i="2" s="1"/>
  <c r="AP704" i="2" s="1"/>
  <c r="AP735" i="2" s="1"/>
  <c r="V328" i="7"/>
  <c r="V331" i="7" s="1"/>
  <c r="V334" i="7" s="1"/>
  <c r="V352" i="7"/>
  <c r="AE1006" i="2"/>
  <c r="AE1096" i="2"/>
  <c r="AE931" i="2"/>
  <c r="Z804" i="2"/>
  <c r="Z45" i="14"/>
  <c r="Z46" i="14" s="1"/>
  <c r="Z50" i="14" s="1"/>
  <c r="Z61" i="14" s="1"/>
  <c r="Y773" i="2"/>
  <c r="Y45" i="14"/>
  <c r="Y46" i="14" s="1"/>
  <c r="Y50" i="14" s="1"/>
  <c r="Y61" i="14" s="1"/>
  <c r="X38" i="14"/>
  <c r="X39" i="14" s="1"/>
  <c r="X45" i="14"/>
  <c r="X46" i="14" s="1"/>
  <c r="X50" i="14" s="1"/>
  <c r="X61" i="14" s="1"/>
  <c r="AB454" i="2"/>
  <c r="W19" i="16"/>
  <c r="V766" i="2"/>
  <c r="X766" i="2"/>
  <c r="X1041" i="2"/>
  <c r="X398" i="2"/>
  <c r="X19" i="16"/>
  <c r="Y1041" i="2"/>
  <c r="Y800" i="2"/>
  <c r="Y19" i="16"/>
  <c r="Y766" i="2"/>
  <c r="Y398" i="2"/>
  <c r="Z800" i="2"/>
  <c r="Z1041" i="2"/>
  <c r="Z19" i="16"/>
  <c r="Z398" i="2"/>
  <c r="Z766" i="2"/>
  <c r="V1041" i="2"/>
  <c r="AG341" i="2"/>
  <c r="AG372" i="2" s="1"/>
  <c r="AD341" i="2"/>
  <c r="AD372" i="2" s="1"/>
  <c r="V398" i="2"/>
  <c r="V19" i="16"/>
  <c r="AF341" i="2"/>
  <c r="AF372" i="2" s="1"/>
  <c r="AE341" i="2"/>
  <c r="AE372" i="2" s="1"/>
  <c r="W766" i="2"/>
  <c r="W800" i="2"/>
  <c r="W398" i="2"/>
  <c r="W1041" i="2"/>
  <c r="W448" i="2"/>
  <c r="W450" i="2" s="1"/>
  <c r="W45" i="14" s="1"/>
  <c r="W46" i="14" s="1"/>
  <c r="W50" i="14" s="1"/>
  <c r="W61" i="14" s="1"/>
  <c r="M138" i="17"/>
  <c r="O396" i="2"/>
  <c r="O1039" i="2" s="1"/>
  <c r="Q435" i="2"/>
  <c r="Q17" i="16"/>
  <c r="Q92" i="17"/>
  <c r="Q396" i="2"/>
  <c r="Q1039" i="2" s="1"/>
  <c r="O17" i="16"/>
  <c r="O138" i="17"/>
  <c r="O435" i="2"/>
  <c r="M396" i="2"/>
  <c r="M1039" i="2" s="1"/>
  <c r="P92" i="17"/>
  <c r="T92" i="17"/>
  <c r="P435" i="2"/>
  <c r="T17" i="16"/>
  <c r="P138" i="17"/>
  <c r="P396" i="2"/>
  <c r="P1039" i="2" s="1"/>
  <c r="T396" i="2"/>
  <c r="T1039" i="2" s="1"/>
  <c r="M17" i="16"/>
  <c r="U17" i="16"/>
  <c r="U138" i="17"/>
  <c r="U396" i="2"/>
  <c r="U1039" i="2" s="1"/>
  <c r="U435" i="2"/>
  <c r="U92" i="17"/>
  <c r="T435" i="2"/>
  <c r="M92" i="17"/>
  <c r="N1159" i="2"/>
  <c r="D22" i="11" s="1"/>
  <c r="F28" i="15" s="1"/>
  <c r="J28" i="15" s="1"/>
  <c r="I28" i="15" s="1"/>
  <c r="AH237" i="2"/>
  <c r="AH349" i="2" s="1"/>
  <c r="AH350" i="2" s="1"/>
  <c r="AH239" i="2"/>
  <c r="AH357" i="2" s="1"/>
  <c r="AH358" i="2" s="1"/>
  <c r="AH236" i="2"/>
  <c r="AH345" i="2" s="1"/>
  <c r="AH346" i="2" s="1"/>
  <c r="AH240" i="2"/>
  <c r="AH361" i="2" s="1"/>
  <c r="AH362" i="2" s="1"/>
  <c r="AH238" i="2"/>
  <c r="AH353" i="2" s="1"/>
  <c r="AH354" i="2" s="1"/>
  <c r="X494" i="2"/>
  <c r="X495" i="2" s="1"/>
  <c r="X498" i="2" s="1"/>
  <c r="X500" i="2" s="1"/>
  <c r="X506" i="2" s="1"/>
  <c r="X509" i="2" s="1"/>
  <c r="X999" i="2"/>
  <c r="X39" i="16" s="1"/>
  <c r="Y804" i="2"/>
  <c r="X1089" i="2"/>
  <c r="K17" i="16"/>
  <c r="X804" i="2"/>
  <c r="X773" i="2"/>
  <c r="Y999" i="2"/>
  <c r="Y39" i="16" s="1"/>
  <c r="AC454" i="2"/>
  <c r="Y38" i="14"/>
  <c r="Y39" i="14" s="1"/>
  <c r="Y494" i="2"/>
  <c r="Y495" i="2" s="1"/>
  <c r="Y498" i="2" s="1"/>
  <c r="Y500" i="2" s="1"/>
  <c r="Y506" i="2" s="1"/>
  <c r="Y509" i="2" s="1"/>
  <c r="Y1089" i="2"/>
  <c r="K92" i="17"/>
  <c r="K435" i="2"/>
  <c r="K138" i="17"/>
  <c r="Z999" i="2"/>
  <c r="Z39" i="16" s="1"/>
  <c r="Z773" i="2"/>
  <c r="Z38" i="14"/>
  <c r="Z39" i="14" s="1"/>
  <c r="Z1089" i="2"/>
  <c r="F1112" i="2" s="1" a="1"/>
  <c r="F1112" i="2" s="1"/>
  <c r="C150" i="18" s="1"/>
  <c r="Z494" i="2"/>
  <c r="Z495" i="2" s="1"/>
  <c r="Z498" i="2" s="1"/>
  <c r="Z500" i="2" s="1"/>
  <c r="Z506" i="2" s="1"/>
  <c r="Z509" i="2" s="1"/>
  <c r="AI304" i="2"/>
  <c r="AI309" i="2" s="1"/>
  <c r="AI298" i="2"/>
  <c r="AJ288" i="2"/>
  <c r="AJ295" i="2" s="1"/>
  <c r="AJ180" i="2"/>
  <c r="AJ162" i="2"/>
  <c r="AI726" i="2"/>
  <c r="AI731" i="2" s="1"/>
  <c r="AR704" i="2"/>
  <c r="AR735" i="2" s="1"/>
  <c r="AC705" i="2"/>
  <c r="AG705" i="2"/>
  <c r="T705" i="2"/>
  <c r="T736" i="2" s="1"/>
  <c r="R705" i="2"/>
  <c r="R736" i="2" s="1"/>
  <c r="M705" i="2"/>
  <c r="M736" i="2" s="1"/>
  <c r="O705" i="2"/>
  <c r="O736" i="2" s="1"/>
  <c r="AO704" i="2"/>
  <c r="AO735" i="2" s="1"/>
  <c r="AE705" i="2"/>
  <c r="AQ705" i="2"/>
  <c r="AQ736" i="2" s="1"/>
  <c r="L705" i="2"/>
  <c r="U705" i="2"/>
  <c r="U736" i="2" s="1"/>
  <c r="N705" i="2"/>
  <c r="N736" i="2" s="1"/>
  <c r="AD705" i="2"/>
  <c r="AL705" i="2"/>
  <c r="AL736" i="2" s="1"/>
  <c r="P705" i="2"/>
  <c r="P736" i="2" s="1"/>
  <c r="W705" i="2"/>
  <c r="W736" i="2" s="1"/>
  <c r="AN704" i="2"/>
  <c r="AN735" i="2" s="1"/>
  <c r="S705" i="2"/>
  <c r="S736" i="2" s="1"/>
  <c r="AS705" i="2"/>
  <c r="AS736" i="2" s="1"/>
  <c r="AM705" i="2"/>
  <c r="AM736" i="2" s="1"/>
  <c r="Q705" i="2"/>
  <c r="Q736" i="2" s="1"/>
  <c r="AF705" i="2"/>
  <c r="Z609" i="2"/>
  <c r="Z595" i="2"/>
  <c r="AA590" i="2" s="1"/>
  <c r="AA593" i="2" s="1"/>
  <c r="AA597" i="2" s="1"/>
  <c r="AA624" i="2" s="1"/>
  <c r="AC247" i="7"/>
  <c r="AC697" i="2" s="1"/>
  <c r="AC700" i="2" s="1"/>
  <c r="U247" i="7"/>
  <c r="U697" i="2" s="1"/>
  <c r="U700" i="2" s="1"/>
  <c r="O247" i="7"/>
  <c r="O697" i="2" s="1"/>
  <c r="O700" i="2" s="1"/>
  <c r="AS247" i="7"/>
  <c r="AS697" i="2" s="1"/>
  <c r="AS700" i="2" s="1"/>
  <c r="AK247" i="7"/>
  <c r="AK697" i="2" s="1"/>
  <c r="AK700" i="2" s="1"/>
  <c r="AK704" i="2" s="1"/>
  <c r="AM247" i="7"/>
  <c r="AM697" i="2" s="1"/>
  <c r="AM700" i="2" s="1"/>
  <c r="R247" i="7"/>
  <c r="R697" i="2" s="1"/>
  <c r="R700" i="2" s="1"/>
  <c r="S247" i="7"/>
  <c r="S697" i="2" s="1"/>
  <c r="S700" i="2" s="1"/>
  <c r="AL247" i="7"/>
  <c r="AL697" i="2" s="1"/>
  <c r="AL700" i="2" s="1"/>
  <c r="AG247" i="7"/>
  <c r="AG697" i="2" s="1"/>
  <c r="AG700" i="2" s="1"/>
  <c r="AH247" i="7"/>
  <c r="AH697" i="2" s="1"/>
  <c r="AH700" i="2" s="1"/>
  <c r="AD247" i="7"/>
  <c r="AD697" i="2" s="1"/>
  <c r="AD700" i="2" s="1"/>
  <c r="AJ247" i="7"/>
  <c r="AJ697" i="2" s="1"/>
  <c r="AJ700" i="2" s="1"/>
  <c r="AJ704" i="2" s="1"/>
  <c r="W169" i="7"/>
  <c r="W178" i="7" s="1"/>
  <c r="W501" i="7"/>
  <c r="V169" i="7"/>
  <c r="V178" i="7" s="1"/>
  <c r="V501" i="7"/>
  <c r="AD164" i="7"/>
  <c r="AD166" i="7" s="1"/>
  <c r="AD352" i="7"/>
  <c r="AD328" i="7"/>
  <c r="AD331" i="7" s="1"/>
  <c r="AD334" i="7" s="1"/>
  <c r="V247" i="7"/>
  <c r="V697" i="2" s="1"/>
  <c r="V700" i="2" s="1"/>
  <c r="V248" i="7"/>
  <c r="V698" i="2" s="1"/>
  <c r="V701" i="2" s="1"/>
  <c r="K177" i="7"/>
  <c r="K148" i="7"/>
  <c r="K149" i="7" s="1"/>
  <c r="K327" i="7"/>
  <c r="K351" i="7"/>
  <c r="K493" i="7"/>
  <c r="I227" i="7"/>
  <c r="AG364" i="2"/>
  <c r="AS164" i="7"/>
  <c r="AS166" i="7" s="1"/>
  <c r="AS352" i="7"/>
  <c r="AS328" i="7"/>
  <c r="AS331" i="7" s="1"/>
  <c r="AS334" i="7" s="1"/>
  <c r="AD368" i="2"/>
  <c r="AJ175" i="2"/>
  <c r="AJ181" i="2"/>
  <c r="AJ186" i="2" s="1"/>
  <c r="AF364" i="2"/>
  <c r="AH339" i="2"/>
  <c r="AH352" i="7"/>
  <c r="AH164" i="7"/>
  <c r="AH166" i="7" s="1"/>
  <c r="AH328" i="7"/>
  <c r="AH331" i="7" s="1"/>
  <c r="AH334" i="7" s="1"/>
  <c r="AG328" i="7"/>
  <c r="AG331" i="7" s="1"/>
  <c r="AG334" i="7" s="1"/>
  <c r="AG352" i="7"/>
  <c r="AG164" i="7"/>
  <c r="AG166" i="7" s="1"/>
  <c r="AQ328" i="7"/>
  <c r="AQ331" i="7" s="1"/>
  <c r="AQ334" i="7" s="1"/>
  <c r="AQ164" i="7"/>
  <c r="AQ166" i="7" s="1"/>
  <c r="AQ352" i="7"/>
  <c r="T352" i="7"/>
  <c r="T328" i="7"/>
  <c r="T331" i="7" s="1"/>
  <c r="T334" i="7" s="1"/>
  <c r="T164" i="7"/>
  <c r="T166" i="7" s="1"/>
  <c r="AD364" i="2"/>
  <c r="AF365" i="2"/>
  <c r="AQ247" i="7"/>
  <c r="AQ697" i="2" s="1"/>
  <c r="AQ700" i="2" s="1"/>
  <c r="AE364" i="2"/>
  <c r="AI232" i="2"/>
  <c r="AI13" i="16"/>
  <c r="AI199" i="2"/>
  <c r="AI201" i="2" s="1"/>
  <c r="AI204" i="2" s="1"/>
  <c r="AI205" i="2" s="1"/>
  <c r="AI330" i="2" s="1"/>
  <c r="AI331" i="2" s="1"/>
  <c r="AI54" i="17"/>
  <c r="AI190" i="2"/>
  <c r="AI192" i="2" s="1"/>
  <c r="AI195" i="2" s="1"/>
  <c r="AI196" i="2" s="1"/>
  <c r="AI335" i="2" s="1"/>
  <c r="AI336" i="2" s="1"/>
  <c r="P164" i="7"/>
  <c r="P166" i="7" s="1"/>
  <c r="P352" i="7"/>
  <c r="P328" i="7"/>
  <c r="P331" i="7" s="1"/>
  <c r="P334" i="7" s="1"/>
  <c r="L352" i="7"/>
  <c r="L328" i="7"/>
  <c r="L331" i="7" s="1"/>
  <c r="L334" i="7" s="1"/>
  <c r="L164" i="7"/>
  <c r="L166" i="7" s="1"/>
  <c r="AN501" i="7"/>
  <c r="AN169" i="7"/>
  <c r="AN178" i="7" s="1"/>
  <c r="AD365" i="2"/>
  <c r="Q247" i="7"/>
  <c r="Q697" i="2" s="1"/>
  <c r="Q700" i="2" s="1"/>
  <c r="L247" i="7"/>
  <c r="L697" i="2" s="1"/>
  <c r="L700" i="2" s="1"/>
  <c r="AF247" i="7"/>
  <c r="AF697" i="2" s="1"/>
  <c r="AF700" i="2" s="1"/>
  <c r="AE368" i="2"/>
  <c r="AJ709" i="2"/>
  <c r="AM352" i="7"/>
  <c r="AM328" i="7"/>
  <c r="AM331" i="7" s="1"/>
  <c r="AM334" i="7" s="1"/>
  <c r="AM164" i="7"/>
  <c r="AM166" i="7" s="1"/>
  <c r="AE365" i="2"/>
  <c r="AJ164" i="7"/>
  <c r="AJ166" i="7" s="1"/>
  <c r="AJ328" i="7"/>
  <c r="AJ331" i="7" s="1"/>
  <c r="AJ334" i="7" s="1"/>
  <c r="AJ352" i="7"/>
  <c r="AJ303" i="2"/>
  <c r="AJ276" i="2"/>
  <c r="O164" i="7"/>
  <c r="O166" i="7" s="1"/>
  <c r="O352" i="7"/>
  <c r="O328" i="7"/>
  <c r="O331" i="7" s="1"/>
  <c r="O334" i="7" s="1"/>
  <c r="AE328" i="7"/>
  <c r="AE331" i="7" s="1"/>
  <c r="AE334" i="7" s="1"/>
  <c r="AE164" i="7"/>
  <c r="AE166" i="7" s="1"/>
  <c r="AE352" i="7"/>
  <c r="AG367" i="2"/>
  <c r="AK328" i="7"/>
  <c r="AK331" i="7" s="1"/>
  <c r="AK334" i="7" s="1"/>
  <c r="AK164" i="7"/>
  <c r="AK166" i="7" s="1"/>
  <c r="AK352" i="7"/>
  <c r="AR501" i="7"/>
  <c r="AR169" i="7"/>
  <c r="AR178" i="7" s="1"/>
  <c r="AE366" i="2"/>
  <c r="Q294" i="7"/>
  <c r="Q297" i="7" s="1"/>
  <c r="P299" i="7"/>
  <c r="M164" i="7"/>
  <c r="M166" i="7" s="1"/>
  <c r="M328" i="7"/>
  <c r="M331" i="7" s="1"/>
  <c r="M334" i="7" s="1"/>
  <c r="M352" i="7"/>
  <c r="AL352" i="7"/>
  <c r="AL328" i="7"/>
  <c r="AL331" i="7" s="1"/>
  <c r="AL334" i="7" s="1"/>
  <c r="AL164" i="7"/>
  <c r="AL166" i="7" s="1"/>
  <c r="AG365" i="2"/>
  <c r="N328" i="7"/>
  <c r="N331" i="7" s="1"/>
  <c r="N334" i="7" s="1"/>
  <c r="N164" i="7"/>
  <c r="N166" i="7" s="1"/>
  <c r="N352" i="7"/>
  <c r="S328" i="7"/>
  <c r="S331" i="7" s="1"/>
  <c r="S334" i="7" s="1"/>
  <c r="S352" i="7"/>
  <c r="S164" i="7"/>
  <c r="S166" i="7" s="1"/>
  <c r="AF368" i="2"/>
  <c r="N247" i="7"/>
  <c r="N697" i="2" s="1"/>
  <c r="N700" i="2" s="1"/>
  <c r="T247" i="7"/>
  <c r="T697" i="2" s="1"/>
  <c r="T700" i="2" s="1"/>
  <c r="I163" i="7"/>
  <c r="I317" i="7"/>
  <c r="I343" i="7"/>
  <c r="AE367" i="2"/>
  <c r="AL207" i="4"/>
  <c r="AL136" i="2" s="1"/>
  <c r="AL138" i="2" s="1"/>
  <c r="AO501" i="7"/>
  <c r="AO169" i="7"/>
  <c r="AO178" i="7" s="1"/>
  <c r="AI501" i="7"/>
  <c r="AI169" i="7"/>
  <c r="AI178" i="7" s="1"/>
  <c r="I235" i="7"/>
  <c r="I225" i="7"/>
  <c r="AG366" i="2"/>
  <c r="AP352" i="7"/>
  <c r="AP328" i="7"/>
  <c r="AP331" i="7" s="1"/>
  <c r="AP334" i="7" s="1"/>
  <c r="AP164" i="7"/>
  <c r="AP166" i="7" s="1"/>
  <c r="AL262" i="4"/>
  <c r="AL250" i="2" s="1"/>
  <c r="AL252" i="2" s="1"/>
  <c r="AL262" i="2" s="1"/>
  <c r="AL264" i="2" s="1"/>
  <c r="AD367" i="2"/>
  <c r="AF366" i="2"/>
  <c r="L260" i="7"/>
  <c r="L268" i="7" s="1"/>
  <c r="L184" i="7"/>
  <c r="L519" i="7"/>
  <c r="M58" i="7"/>
  <c r="AH340" i="2"/>
  <c r="AK160" i="2"/>
  <c r="AK161" i="2" s="1"/>
  <c r="AK169" i="2"/>
  <c r="AK174" i="2" s="1"/>
  <c r="AK153" i="2"/>
  <c r="AK154" i="2" s="1"/>
  <c r="AK179" i="2" s="1"/>
  <c r="AK226" i="2"/>
  <c r="AK227" i="2" s="1"/>
  <c r="I236" i="7"/>
  <c r="I243" i="7" s="1"/>
  <c r="K243" i="7"/>
  <c r="K245" i="7" s="1"/>
  <c r="K247" i="7" s="1"/>
  <c r="K697" i="2" s="1"/>
  <c r="K700" i="2" s="1"/>
  <c r="R352" i="7"/>
  <c r="R328" i="7"/>
  <c r="R331" i="7" s="1"/>
  <c r="R334" i="7" s="1"/>
  <c r="R164" i="7"/>
  <c r="R166" i="7" s="1"/>
  <c r="Q328" i="7"/>
  <c r="Q331" i="7" s="1"/>
  <c r="Q334" i="7" s="1"/>
  <c r="Q164" i="7"/>
  <c r="Q166" i="7" s="1"/>
  <c r="Q352" i="7"/>
  <c r="AF352" i="7"/>
  <c r="AF328" i="7"/>
  <c r="AF331" i="7" s="1"/>
  <c r="AF334" i="7" s="1"/>
  <c r="AF164" i="7"/>
  <c r="AF166" i="7" s="1"/>
  <c r="AC164" i="7"/>
  <c r="AC166" i="7" s="1"/>
  <c r="AC352" i="7"/>
  <c r="AC328" i="7"/>
  <c r="AC331" i="7" s="1"/>
  <c r="AC334" i="7" s="1"/>
  <c r="AG368" i="2"/>
  <c r="AK280" i="2"/>
  <c r="AK282" i="2" s="1"/>
  <c r="AK297" i="2"/>
  <c r="AK274" i="2"/>
  <c r="AK275" i="2" s="1"/>
  <c r="AK267" i="2"/>
  <c r="AD366" i="2"/>
  <c r="AE247" i="7"/>
  <c r="AE697" i="2" s="1"/>
  <c r="AE700" i="2" s="1"/>
  <c r="U352" i="7"/>
  <c r="U328" i="7"/>
  <c r="U331" i="7" s="1"/>
  <c r="U334" i="7" s="1"/>
  <c r="U164" i="7"/>
  <c r="U166" i="7" s="1"/>
  <c r="AF367" i="2"/>
  <c r="K269" i="7"/>
  <c r="K270" i="7"/>
  <c r="M247" i="7"/>
  <c r="M697" i="2" s="1"/>
  <c r="M700" i="2" s="1"/>
  <c r="P247" i="7"/>
  <c r="P697" i="2" s="1"/>
  <c r="P700" i="2" s="1"/>
  <c r="I480" i="2" l="1"/>
  <c r="F574" i="2"/>
  <c r="F604" i="2" s="1"/>
  <c r="AQ618" i="2" s="1"/>
  <c r="AF937" i="2"/>
  <c r="AE932" i="2"/>
  <c r="AE1021" i="2" s="1"/>
  <c r="AE1134" i="2" s="1"/>
  <c r="AE79" i="16" s="1"/>
  <c r="AG911" i="2"/>
  <c r="AF761" i="2"/>
  <c r="AF918" i="2"/>
  <c r="AG420" i="7"/>
  <c r="AG425" i="7" s="1"/>
  <c r="AE148" i="17"/>
  <c r="AE46" i="16"/>
  <c r="L736" i="2"/>
  <c r="AH341" i="2"/>
  <c r="AH372" i="2" s="1"/>
  <c r="AI236" i="2"/>
  <c r="AI345" i="2" s="1"/>
  <c r="AI346" i="2" s="1"/>
  <c r="AI238" i="2"/>
  <c r="AI353" i="2" s="1"/>
  <c r="AI354" i="2" s="1"/>
  <c r="AI240" i="2"/>
  <c r="AI361" i="2" s="1"/>
  <c r="AI362" i="2" s="1"/>
  <c r="AI237" i="2"/>
  <c r="AI349" i="2" s="1"/>
  <c r="AI350" i="2" s="1"/>
  <c r="AI239" i="2"/>
  <c r="AI357" i="2" s="1"/>
  <c r="AI358" i="2" s="1"/>
  <c r="X142" i="17"/>
  <c r="Y142" i="17"/>
  <c r="Z142" i="17"/>
  <c r="AJ298" i="2"/>
  <c r="AJ304" i="2"/>
  <c r="AJ309" i="2" s="1"/>
  <c r="AK288" i="2"/>
  <c r="AK295" i="2" s="1"/>
  <c r="AK180" i="2"/>
  <c r="AK162" i="2"/>
  <c r="AI739" i="2"/>
  <c r="AI744" i="2" s="1"/>
  <c r="AI751" i="2" s="1"/>
  <c r="AI735" i="2"/>
  <c r="AJ726" i="2"/>
  <c r="AJ731" i="2" s="1"/>
  <c r="AM704" i="2"/>
  <c r="AM735" i="2" s="1"/>
  <c r="V704" i="2"/>
  <c r="V735" i="2" s="1"/>
  <c r="M704" i="2"/>
  <c r="M735" i="2" s="1"/>
  <c r="T704" i="2"/>
  <c r="T735" i="2" s="1"/>
  <c r="AS704" i="2"/>
  <c r="AS735" i="2" s="1"/>
  <c r="N704" i="2"/>
  <c r="N735" i="2" s="1"/>
  <c r="O704" i="2"/>
  <c r="O735" i="2" s="1"/>
  <c r="K705" i="2"/>
  <c r="K736" i="2" s="1"/>
  <c r="K704" i="2"/>
  <c r="K735" i="2" s="1"/>
  <c r="AG704" i="2"/>
  <c r="AG735" i="2" s="1"/>
  <c r="U704" i="2"/>
  <c r="U735" i="2" s="1"/>
  <c r="Q704" i="2"/>
  <c r="Q735" i="2" s="1"/>
  <c r="AE704" i="2"/>
  <c r="AE735" i="2" s="1"/>
  <c r="AL704" i="2"/>
  <c r="AL735" i="2" s="1"/>
  <c r="AC704" i="2"/>
  <c r="AC735" i="2" s="1"/>
  <c r="AH704" i="2"/>
  <c r="AH735" i="2" s="1"/>
  <c r="P704" i="2"/>
  <c r="P735" i="2" s="1"/>
  <c r="AF704" i="2"/>
  <c r="AF735" i="2" s="1"/>
  <c r="AQ704" i="2"/>
  <c r="AQ735" i="2" s="1"/>
  <c r="S704" i="2"/>
  <c r="S735" i="2" s="1"/>
  <c r="L704" i="2"/>
  <c r="L735" i="2" s="1"/>
  <c r="V705" i="2"/>
  <c r="V736" i="2" s="1"/>
  <c r="AD704" i="2"/>
  <c r="AD735" i="2" s="1"/>
  <c r="R704" i="2"/>
  <c r="R735" i="2" s="1"/>
  <c r="AA594" i="2"/>
  <c r="AA602" i="2" s="1"/>
  <c r="AA603" i="2" s="1"/>
  <c r="AA609" i="2" s="1"/>
  <c r="U501" i="7"/>
  <c r="U169" i="7"/>
  <c r="U178" i="7" s="1"/>
  <c r="AF501" i="7"/>
  <c r="AF169" i="7"/>
  <c r="AF178" i="7" s="1"/>
  <c r="AM207" i="4"/>
  <c r="AM136" i="2" s="1"/>
  <c r="AM138" i="2" s="1"/>
  <c r="AH366" i="2"/>
  <c r="S169" i="7"/>
  <c r="S178" i="7" s="1"/>
  <c r="S501" i="7"/>
  <c r="F190" i="7"/>
  <c r="L501" i="7"/>
  <c r="L169" i="7"/>
  <c r="L178" i="7" s="1"/>
  <c r="AI339" i="2"/>
  <c r="K152" i="7"/>
  <c r="K155" i="7" s="1"/>
  <c r="I149" i="7"/>
  <c r="I152" i="7" s="1"/>
  <c r="AI340" i="2"/>
  <c r="AG501" i="7"/>
  <c r="AG169" i="7"/>
  <c r="AG178" i="7" s="1"/>
  <c r="AF369" i="2"/>
  <c r="AF373" i="2" s="1"/>
  <c r="AF375" i="2" s="1"/>
  <c r="AF383" i="2" s="1"/>
  <c r="AK709" i="2"/>
  <c r="AK303" i="2"/>
  <c r="AK276" i="2"/>
  <c r="AK181" i="2"/>
  <c r="AK186" i="2" s="1"/>
  <c r="AK175" i="2"/>
  <c r="P302" i="7"/>
  <c r="AH501" i="7"/>
  <c r="AH169" i="7"/>
  <c r="AH178" i="7" s="1"/>
  <c r="AL160" i="2"/>
  <c r="AL161" i="2" s="1"/>
  <c r="AL226" i="2"/>
  <c r="AL227" i="2" s="1"/>
  <c r="AL153" i="2"/>
  <c r="AL154" i="2" s="1"/>
  <c r="AL179" i="2" s="1"/>
  <c r="AL169" i="2"/>
  <c r="AL174" i="2" s="1"/>
  <c r="R169" i="7"/>
  <c r="R178" i="7" s="1"/>
  <c r="R501" i="7"/>
  <c r="M519" i="7"/>
  <c r="M260" i="7"/>
  <c r="M268" i="7" s="1"/>
  <c r="M184" i="7"/>
  <c r="N58" i="7"/>
  <c r="N501" i="7"/>
  <c r="N169" i="7"/>
  <c r="N178" i="7" s="1"/>
  <c r="K271" i="7"/>
  <c r="K276" i="7" s="1"/>
  <c r="K278" i="7" s="1"/>
  <c r="Q501" i="7"/>
  <c r="Q169" i="7"/>
  <c r="Q178" i="7" s="1"/>
  <c r="AH364" i="2"/>
  <c r="AL501" i="7"/>
  <c r="AL169" i="7"/>
  <c r="AL178" i="7" s="1"/>
  <c r="R294" i="7"/>
  <c r="R297" i="7" s="1"/>
  <c r="Q299" i="7"/>
  <c r="Q302" i="7" s="1"/>
  <c r="O169" i="7"/>
  <c r="O178" i="7" s="1"/>
  <c r="O501" i="7"/>
  <c r="AG369" i="2"/>
  <c r="AG373" i="2" s="1"/>
  <c r="AG375" i="2" s="1"/>
  <c r="AG383" i="2" s="1"/>
  <c r="AD501" i="7"/>
  <c r="AD169" i="7"/>
  <c r="AD178" i="7" s="1"/>
  <c r="AC501" i="7"/>
  <c r="AC169" i="7"/>
  <c r="AC178" i="7" s="1"/>
  <c r="I245" i="7"/>
  <c r="K248" i="7"/>
  <c r="K698" i="2" s="1"/>
  <c r="K701" i="2" s="1"/>
  <c r="L269" i="7"/>
  <c r="L270" i="7"/>
  <c r="AM262" i="4"/>
  <c r="AM250" i="2" s="1"/>
  <c r="AM252" i="2" s="1"/>
  <c r="AM262" i="2" s="1"/>
  <c r="AM264" i="2" s="1"/>
  <c r="AH367" i="2"/>
  <c r="AK169" i="7"/>
  <c r="AK178" i="7" s="1"/>
  <c r="AK501" i="7"/>
  <c r="AM169" i="7"/>
  <c r="AM178" i="7" s="1"/>
  <c r="AM501" i="7"/>
  <c r="P169" i="7"/>
  <c r="P178" i="7" s="1"/>
  <c r="P501" i="7"/>
  <c r="W38" i="14"/>
  <c r="W39" i="14" s="1"/>
  <c r="W1089" i="2"/>
  <c r="W494" i="2"/>
  <c r="W495" i="2" s="1"/>
  <c r="W498" i="2" s="1"/>
  <c r="W500" i="2" s="1"/>
  <c r="W506" i="2" s="1"/>
  <c r="W509" i="2" s="1"/>
  <c r="W804" i="2"/>
  <c r="W773" i="2"/>
  <c r="W999" i="2"/>
  <c r="AD369" i="2"/>
  <c r="AQ501" i="7"/>
  <c r="AQ169" i="7"/>
  <c r="AQ178" i="7" s="1"/>
  <c r="I177" i="7"/>
  <c r="I327" i="7"/>
  <c r="I351" i="7"/>
  <c r="I148" i="7"/>
  <c r="I493" i="7"/>
  <c r="AL274" i="2"/>
  <c r="AL275" i="2" s="1"/>
  <c r="AL280" i="2"/>
  <c r="AL282" i="2" s="1"/>
  <c r="AL297" i="2"/>
  <c r="AL267" i="2"/>
  <c r="AH365" i="2"/>
  <c r="M169" i="7"/>
  <c r="M178" i="7" s="1"/>
  <c r="M501" i="7"/>
  <c r="AJ169" i="7"/>
  <c r="AJ178" i="7" s="1"/>
  <c r="AJ501" i="7"/>
  <c r="AJ54" i="17"/>
  <c r="AJ13" i="16"/>
  <c r="AJ190" i="2"/>
  <c r="AJ192" i="2" s="1"/>
  <c r="AJ195" i="2" s="1"/>
  <c r="AJ196" i="2" s="1"/>
  <c r="AJ335" i="2" s="1"/>
  <c r="AJ336" i="2" s="1"/>
  <c r="AJ199" i="2"/>
  <c r="AJ201" i="2" s="1"/>
  <c r="AJ204" i="2" s="1"/>
  <c r="AJ205" i="2" s="1"/>
  <c r="AJ330" i="2" s="1"/>
  <c r="AJ331" i="2" s="1"/>
  <c r="AJ232" i="2"/>
  <c r="I700" i="2"/>
  <c r="AP169" i="7"/>
  <c r="AP178" i="7" s="1"/>
  <c r="AP501" i="7"/>
  <c r="AH368" i="2"/>
  <c r="AE501" i="7"/>
  <c r="AE169" i="7"/>
  <c r="AE178" i="7" s="1"/>
  <c r="AE369" i="2"/>
  <c r="AE373" i="2" s="1"/>
  <c r="AE375" i="2" s="1"/>
  <c r="AE383" i="2" s="1"/>
  <c r="T169" i="7"/>
  <c r="T178" i="7" s="1"/>
  <c r="T501" i="7"/>
  <c r="AS501" i="7"/>
  <c r="AS169" i="7"/>
  <c r="AS178" i="7" s="1"/>
  <c r="AH610" i="2" l="1"/>
  <c r="AE610" i="2"/>
  <c r="T618" i="2"/>
  <c r="AM613" i="2"/>
  <c r="AM617" i="2" s="1"/>
  <c r="M610" i="2"/>
  <c r="AB618" i="2"/>
  <c r="AJ618" i="2"/>
  <c r="AF618" i="2"/>
  <c r="AC618" i="2"/>
  <c r="Q618" i="2"/>
  <c r="R618" i="2"/>
  <c r="L610" i="2"/>
  <c r="K618" i="2"/>
  <c r="AE618" i="2"/>
  <c r="AB610" i="2"/>
  <c r="U618" i="2"/>
  <c r="AS618" i="2"/>
  <c r="AD610" i="2"/>
  <c r="V618" i="2"/>
  <c r="AP613" i="2"/>
  <c r="AP617" i="2" s="1"/>
  <c r="R610" i="2"/>
  <c r="AG610" i="2"/>
  <c r="AR618" i="2"/>
  <c r="U610" i="2"/>
  <c r="N610" i="2"/>
  <c r="AO618" i="2"/>
  <c r="N618" i="2"/>
  <c r="M618" i="2"/>
  <c r="Z618" i="2"/>
  <c r="AM618" i="2"/>
  <c r="W610" i="2"/>
  <c r="X610" i="2"/>
  <c r="AH618" i="2"/>
  <c r="AI618" i="2"/>
  <c r="O618" i="2"/>
  <c r="AN618" i="2"/>
  <c r="Q610" i="2"/>
  <c r="Y618" i="2"/>
  <c r="V610" i="2"/>
  <c r="T610" i="2"/>
  <c r="AA618" i="2"/>
  <c r="AS613" i="2"/>
  <c r="AS617" i="2" s="1"/>
  <c r="AC610" i="2"/>
  <c r="AQ613" i="2"/>
  <c r="AQ617" i="2" s="1"/>
  <c r="AN613" i="2"/>
  <c r="AN617" i="2" s="1"/>
  <c r="AR613" i="2"/>
  <c r="AR617" i="2" s="1"/>
  <c r="AG618" i="2"/>
  <c r="AF610" i="2"/>
  <c r="S618" i="2"/>
  <c r="Z610" i="2"/>
  <c r="AO613" i="2"/>
  <c r="X618" i="2"/>
  <c r="S610" i="2"/>
  <c r="W618" i="2"/>
  <c r="O610" i="2"/>
  <c r="L618" i="2"/>
  <c r="K610" i="2"/>
  <c r="K611" i="2" s="1"/>
  <c r="L608" i="2" s="1"/>
  <c r="AA610" i="2"/>
  <c r="AL613" i="2"/>
  <c r="AL617" i="2" s="1"/>
  <c r="P618" i="2"/>
  <c r="Y610" i="2"/>
  <c r="P610" i="2"/>
  <c r="AD618" i="2"/>
  <c r="AP618" i="2"/>
  <c r="AP621" i="2" s="1"/>
  <c r="AP625" i="2" s="1"/>
  <c r="AG924" i="2"/>
  <c r="AG925" i="2" s="1"/>
  <c r="AG937" i="2" s="1"/>
  <c r="AG929" i="2"/>
  <c r="AG912" i="2"/>
  <c r="AH907" i="2" s="1"/>
  <c r="AH908" i="2" s="1"/>
  <c r="AF1006" i="2"/>
  <c r="AF931" i="2"/>
  <c r="AF1096" i="2"/>
  <c r="I705" i="2"/>
  <c r="I704" i="2"/>
  <c r="AD373" i="2"/>
  <c r="AD375" i="2" s="1"/>
  <c r="AD383" i="2" s="1"/>
  <c r="AI341" i="2"/>
  <c r="AI372" i="2" s="1"/>
  <c r="AG138" i="17"/>
  <c r="AF138" i="17"/>
  <c r="AE138" i="17"/>
  <c r="AJ240" i="2"/>
  <c r="AJ361" i="2" s="1"/>
  <c r="AJ362" i="2" s="1"/>
  <c r="AJ236" i="2"/>
  <c r="AJ345" i="2" s="1"/>
  <c r="AJ346" i="2" s="1"/>
  <c r="AJ237" i="2"/>
  <c r="AJ349" i="2" s="1"/>
  <c r="AJ350" i="2" s="1"/>
  <c r="AJ238" i="2"/>
  <c r="AJ353" i="2" s="1"/>
  <c r="AJ354" i="2" s="1"/>
  <c r="AJ239" i="2"/>
  <c r="AJ357" i="2" s="1"/>
  <c r="AJ358" i="2" s="1"/>
  <c r="AK298" i="2"/>
  <c r="AK304" i="2"/>
  <c r="AK309" i="2" s="1"/>
  <c r="AL288" i="2"/>
  <c r="AL295" i="2" s="1"/>
  <c r="AL180" i="2"/>
  <c r="AL162" i="2"/>
  <c r="AJ739" i="2"/>
  <c r="AJ744" i="2" s="1"/>
  <c r="AJ751" i="2" s="1"/>
  <c r="AJ735" i="2"/>
  <c r="AK726" i="2"/>
  <c r="AK731" i="2" s="1"/>
  <c r="AA616" i="2"/>
  <c r="AA595" i="2"/>
  <c r="AB590" i="2" s="1"/>
  <c r="AB593" i="2" s="1"/>
  <c r="AB597" i="2" s="1"/>
  <c r="AB624" i="2" s="1"/>
  <c r="W142" i="17"/>
  <c r="W39" i="16"/>
  <c r="L271" i="7"/>
  <c r="L276" i="7" s="1"/>
  <c r="L278" i="7" s="1"/>
  <c r="L279" i="7" s="1"/>
  <c r="F511" i="7"/>
  <c r="AL303" i="2"/>
  <c r="AL276" i="2"/>
  <c r="I701" i="2"/>
  <c r="AI364" i="2"/>
  <c r="AH369" i="2"/>
  <c r="AH373" i="2" s="1"/>
  <c r="AH375" i="2" s="1"/>
  <c r="AH383" i="2" s="1"/>
  <c r="N519" i="7"/>
  <c r="N184" i="7"/>
  <c r="N260" i="7"/>
  <c r="N268" i="7" s="1"/>
  <c r="O58" i="7"/>
  <c r="K352" i="7"/>
  <c r="K328" i="7"/>
  <c r="K331" i="7" s="1"/>
  <c r="K164" i="7"/>
  <c r="K166" i="7" s="1"/>
  <c r="I155" i="7"/>
  <c r="AI368" i="2"/>
  <c r="AF92" i="17"/>
  <c r="AJ340" i="2"/>
  <c r="AI365" i="2"/>
  <c r="M269" i="7"/>
  <c r="M270" i="7"/>
  <c r="AL175" i="2"/>
  <c r="AL181" i="2"/>
  <c r="AL186" i="2" s="1"/>
  <c r="AN207" i="4"/>
  <c r="AN136" i="2" s="1"/>
  <c r="AN138" i="2" s="1"/>
  <c r="AJ339" i="2"/>
  <c r="AN262" i="4"/>
  <c r="AN250" i="2" s="1"/>
  <c r="AN252" i="2" s="1"/>
  <c r="AN262" i="2" s="1"/>
  <c r="AN264" i="2" s="1"/>
  <c r="AI367" i="2"/>
  <c r="AL709" i="2"/>
  <c r="AM169" i="2"/>
  <c r="AM174" i="2" s="1"/>
  <c r="AM160" i="2"/>
  <c r="AM161" i="2" s="1"/>
  <c r="AM226" i="2"/>
  <c r="AM227" i="2" s="1"/>
  <c r="AM153" i="2"/>
  <c r="AM154" i="2" s="1"/>
  <c r="AM179" i="2" s="1"/>
  <c r="AM274" i="2"/>
  <c r="AM275" i="2" s="1"/>
  <c r="AM297" i="2"/>
  <c r="AM280" i="2"/>
  <c r="AM282" i="2" s="1"/>
  <c r="AM267" i="2"/>
  <c r="AI366" i="2"/>
  <c r="R299" i="7"/>
  <c r="R302" i="7" s="1"/>
  <c r="S294" i="7"/>
  <c r="S297" i="7" s="1"/>
  <c r="K279" i="7"/>
  <c r="K283" i="7" s="1"/>
  <c r="AK199" i="2"/>
  <c r="AK201" i="2" s="1"/>
  <c r="AK204" i="2" s="1"/>
  <c r="AK205" i="2" s="1"/>
  <c r="AK330" i="2" s="1"/>
  <c r="AK331" i="2" s="1"/>
  <c r="AK232" i="2"/>
  <c r="AK54" i="17"/>
  <c r="AK13" i="16"/>
  <c r="AK190" i="2"/>
  <c r="AK192" i="2" s="1"/>
  <c r="AK195" i="2" s="1"/>
  <c r="AK196" i="2" s="1"/>
  <c r="AK335" i="2" s="1"/>
  <c r="AK336" i="2" s="1"/>
  <c r="AM621" i="2" l="1"/>
  <c r="AM625" i="2" s="1"/>
  <c r="L611" i="2"/>
  <c r="M608" i="2" s="1"/>
  <c r="M611" i="2" s="1"/>
  <c r="N608" i="2" s="1"/>
  <c r="N611" i="2" s="1"/>
  <c r="O608" i="2" s="1"/>
  <c r="O611" i="2" s="1"/>
  <c r="AS621" i="2"/>
  <c r="AS625" i="2" s="1"/>
  <c r="AN621" i="2"/>
  <c r="AN625" i="2" s="1"/>
  <c r="AR621" i="2"/>
  <c r="AR625" i="2" s="1"/>
  <c r="AO617" i="2"/>
  <c r="AO621" i="2"/>
  <c r="AO625" i="2" s="1"/>
  <c r="AQ621" i="2"/>
  <c r="AQ625" i="2" s="1"/>
  <c r="K613" i="2"/>
  <c r="K621" i="2" s="1"/>
  <c r="K625" i="2" s="1"/>
  <c r="K626" i="2" s="1"/>
  <c r="K640" i="2" s="1"/>
  <c r="AG58" i="16"/>
  <c r="AF932" i="2"/>
  <c r="AF1021" i="2" s="1"/>
  <c r="AF1134" i="2" s="1"/>
  <c r="AF79" i="16" s="1"/>
  <c r="AH911" i="2"/>
  <c r="AF148" i="17"/>
  <c r="AF46" i="16"/>
  <c r="AH420" i="7"/>
  <c r="AH425" i="7" s="1"/>
  <c r="AG761" i="2"/>
  <c r="AG918" i="2"/>
  <c r="AJ341" i="2"/>
  <c r="AJ372" i="2" s="1"/>
  <c r="AF435" i="2"/>
  <c r="AF437" i="2" s="1"/>
  <c r="AF440" i="2" s="1"/>
  <c r="AF448" i="2" s="1"/>
  <c r="AE92" i="17"/>
  <c r="AG92" i="17"/>
  <c r="AG17" i="16"/>
  <c r="AG435" i="2"/>
  <c r="AG437" i="2" s="1"/>
  <c r="AG440" i="2" s="1"/>
  <c r="AG454" i="2" s="1"/>
  <c r="AG396" i="2"/>
  <c r="AG1039" i="2" s="1"/>
  <c r="AE396" i="2"/>
  <c r="AE1039" i="2" s="1"/>
  <c r="AE435" i="2"/>
  <c r="AE437" i="2" s="1"/>
  <c r="AE440" i="2" s="1"/>
  <c r="AE448" i="2" s="1"/>
  <c r="AE17" i="16"/>
  <c r="AF17" i="16"/>
  <c r="AF396" i="2"/>
  <c r="AF1039" i="2" s="1"/>
  <c r="AK240" i="2"/>
  <c r="AK361" i="2" s="1"/>
  <c r="AK362" i="2" s="1"/>
  <c r="AK239" i="2"/>
  <c r="AK357" i="2" s="1"/>
  <c r="AK358" i="2" s="1"/>
  <c r="AK237" i="2"/>
  <c r="AK349" i="2" s="1"/>
  <c r="AK350" i="2" s="1"/>
  <c r="AK236" i="2"/>
  <c r="AK345" i="2" s="1"/>
  <c r="AK346" i="2" s="1"/>
  <c r="AK238" i="2"/>
  <c r="AK353" i="2" s="1"/>
  <c r="AK354" i="2" s="1"/>
  <c r="AH396" i="2"/>
  <c r="AH1039" i="2" s="1"/>
  <c r="AL304" i="2"/>
  <c r="AL309" i="2" s="1"/>
  <c r="AL298" i="2"/>
  <c r="AM288" i="2"/>
  <c r="AM295" i="2" s="1"/>
  <c r="AM180" i="2"/>
  <c r="AM162" i="2"/>
  <c r="AB594" i="2"/>
  <c r="AB602" i="2" s="1"/>
  <c r="AB603" i="2" s="1"/>
  <c r="AB616" i="2" s="1"/>
  <c r="AK735" i="2"/>
  <c r="AK739" i="2"/>
  <c r="AK744" i="2" s="1"/>
  <c r="AK751" i="2" s="1"/>
  <c r="J751" i="2" s="1"/>
  <c r="K281" i="7"/>
  <c r="L277" i="7" s="1"/>
  <c r="L280" i="7" s="1"/>
  <c r="L283" i="7" s="1"/>
  <c r="AJ368" i="2"/>
  <c r="I331" i="7"/>
  <c r="K334" i="7"/>
  <c r="AJ364" i="2"/>
  <c r="AK340" i="2"/>
  <c r="AJ365" i="2"/>
  <c r="AI369" i="2"/>
  <c r="AO207" i="4"/>
  <c r="AO136" i="2" s="1"/>
  <c r="AO138" i="2" s="1"/>
  <c r="AN160" i="2"/>
  <c r="AN161" i="2" s="1"/>
  <c r="AN153" i="2"/>
  <c r="AN154" i="2" s="1"/>
  <c r="AN179" i="2" s="1"/>
  <c r="AN169" i="2"/>
  <c r="AN174" i="2" s="1"/>
  <c r="AN226" i="2"/>
  <c r="AN227" i="2" s="1"/>
  <c r="M271" i="7"/>
  <c r="M276" i="7" s="1"/>
  <c r="M278" i="7" s="1"/>
  <c r="M279" i="7" s="1"/>
  <c r="AM175" i="2"/>
  <c r="AM181" i="2"/>
  <c r="AM186" i="2" s="1"/>
  <c r="AO262" i="4"/>
  <c r="AO250" i="2" s="1"/>
  <c r="AO252" i="2" s="1"/>
  <c r="AO262" i="2" s="1"/>
  <c r="AO264" i="2" s="1"/>
  <c r="AJ367" i="2"/>
  <c r="O184" i="7"/>
  <c r="O519" i="7"/>
  <c r="O260" i="7"/>
  <c r="O268" i="7" s="1"/>
  <c r="P58" i="7"/>
  <c r="K301" i="7"/>
  <c r="K303" i="7" s="1"/>
  <c r="AN297" i="2"/>
  <c r="AN280" i="2"/>
  <c r="AN282" i="2" s="1"/>
  <c r="AN274" i="2"/>
  <c r="AN275" i="2" s="1"/>
  <c r="AN267" i="2"/>
  <c r="N270" i="7"/>
  <c r="N269" i="7"/>
  <c r="AK339" i="2"/>
  <c r="S299" i="7"/>
  <c r="S302" i="7" s="1"/>
  <c r="T294" i="7"/>
  <c r="T297" i="7" s="1"/>
  <c r="AD396" i="2"/>
  <c r="AD1039" i="2" s="1"/>
  <c r="AD138" i="17"/>
  <c r="AD92" i="17"/>
  <c r="AD17" i="16"/>
  <c r="AD435" i="2"/>
  <c r="AD437" i="2" s="1"/>
  <c r="AD440" i="2" s="1"/>
  <c r="AL199" i="2"/>
  <c r="AL201" i="2" s="1"/>
  <c r="AL204" i="2" s="1"/>
  <c r="AL205" i="2" s="1"/>
  <c r="AL330" i="2" s="1"/>
  <c r="AL331" i="2" s="1"/>
  <c r="AL190" i="2"/>
  <c r="AL192" i="2" s="1"/>
  <c r="AL195" i="2" s="1"/>
  <c r="AL196" i="2" s="1"/>
  <c r="AL335" i="2" s="1"/>
  <c r="AL336" i="2" s="1"/>
  <c r="AL13" i="16"/>
  <c r="AL232" i="2"/>
  <c r="AL54" i="17"/>
  <c r="I352" i="7"/>
  <c r="I328" i="7"/>
  <c r="I164" i="7"/>
  <c r="AM276" i="2"/>
  <c r="AM303" i="2"/>
  <c r="AM709" i="2"/>
  <c r="AJ366" i="2"/>
  <c r="K169" i="7"/>
  <c r="K178" i="7" s="1"/>
  <c r="I178" i="7" s="1"/>
  <c r="K501" i="7"/>
  <c r="I166" i="7"/>
  <c r="L613" i="2" l="1"/>
  <c r="L617" i="2" s="1"/>
  <c r="N613" i="2"/>
  <c r="N621" i="2" s="1"/>
  <c r="N625" i="2" s="1"/>
  <c r="N626" i="2" s="1"/>
  <c r="N640" i="2" s="1"/>
  <c r="M613" i="2"/>
  <c r="M617" i="2" s="1"/>
  <c r="K644" i="2"/>
  <c r="K775" i="2" s="1"/>
  <c r="K617" i="2"/>
  <c r="K619" i="2" s="1"/>
  <c r="L615" i="2" s="1"/>
  <c r="O613" i="2"/>
  <c r="P608" i="2"/>
  <c r="P611" i="2" s="1"/>
  <c r="AH924" i="2"/>
  <c r="AH925" i="2" s="1"/>
  <c r="AH937" i="2" s="1"/>
  <c r="AH929" i="2"/>
  <c r="AH912" i="2"/>
  <c r="AI907" i="2" s="1"/>
  <c r="AI908" i="2" s="1"/>
  <c r="AG1006" i="2"/>
  <c r="AG1096" i="2"/>
  <c r="AG931" i="2"/>
  <c r="AI373" i="2"/>
  <c r="AI375" i="2" s="1"/>
  <c r="AI383" i="2" s="1"/>
  <c r="AF454" i="2"/>
  <c r="AK341" i="2"/>
  <c r="AK372" i="2" s="1"/>
  <c r="AG448" i="2"/>
  <c r="AE454" i="2"/>
  <c r="AH17" i="16"/>
  <c r="AL236" i="2"/>
  <c r="AL345" i="2" s="1"/>
  <c r="AL346" i="2" s="1"/>
  <c r="AL238" i="2"/>
  <c r="AL353" i="2" s="1"/>
  <c r="AL354" i="2" s="1"/>
  <c r="AL240" i="2"/>
  <c r="AL361" i="2" s="1"/>
  <c r="AL362" i="2" s="1"/>
  <c r="AL237" i="2"/>
  <c r="AL349" i="2" s="1"/>
  <c r="AL350" i="2" s="1"/>
  <c r="AL239" i="2"/>
  <c r="AL357" i="2" s="1"/>
  <c r="AL358" i="2" s="1"/>
  <c r="AH92" i="17"/>
  <c r="AH138" i="17"/>
  <c r="AH435" i="2"/>
  <c r="AH437" i="2" s="1"/>
  <c r="AH440" i="2" s="1"/>
  <c r="AH454" i="2" s="1"/>
  <c r="AM298" i="2"/>
  <c r="AM304" i="2"/>
  <c r="AM309" i="2" s="1"/>
  <c r="AN288" i="2"/>
  <c r="AN295" i="2" s="1"/>
  <c r="AN180" i="2"/>
  <c r="AN162" i="2"/>
  <c r="L281" i="7"/>
  <c r="M277" i="7" s="1"/>
  <c r="M280" i="7" s="1"/>
  <c r="M281" i="7" s="1"/>
  <c r="N277" i="7" s="1"/>
  <c r="AB595" i="2"/>
  <c r="AC590" i="2" s="1"/>
  <c r="AC593" i="2" s="1"/>
  <c r="AC594" i="2" s="1"/>
  <c r="AC602" i="2" s="1"/>
  <c r="AC603" i="2" s="1"/>
  <c r="AC609" i="2" s="1"/>
  <c r="AJ610" i="2" s="1"/>
  <c r="AB609" i="2"/>
  <c r="AI610" i="2" s="1"/>
  <c r="J744" i="2"/>
  <c r="J735" i="2"/>
  <c r="I735" i="2"/>
  <c r="N271" i="7"/>
  <c r="N276" i="7" s="1"/>
  <c r="N278" i="7" s="1"/>
  <c r="N279" i="7" s="1"/>
  <c r="L301" i="7"/>
  <c r="L303" i="7" s="1"/>
  <c r="I169" i="7"/>
  <c r="I501" i="7"/>
  <c r="AP262" i="4"/>
  <c r="AP250" i="2" s="1"/>
  <c r="AP252" i="2" s="1"/>
  <c r="AP262" i="2" s="1"/>
  <c r="AP264" i="2" s="1"/>
  <c r="AN709" i="2"/>
  <c r="I334" i="7"/>
  <c r="K336" i="7"/>
  <c r="P184" i="7"/>
  <c r="P519" i="7"/>
  <c r="P260" i="7"/>
  <c r="P268" i="7" s="1"/>
  <c r="Q58" i="7"/>
  <c r="AO280" i="2"/>
  <c r="AO282" i="2" s="1"/>
  <c r="AO274" i="2"/>
  <c r="AO275" i="2" s="1"/>
  <c r="AO267" i="2"/>
  <c r="AO297" i="2"/>
  <c r="AK368" i="2"/>
  <c r="AL339" i="2"/>
  <c r="U294" i="7"/>
  <c r="U297" i="7" s="1"/>
  <c r="T299" i="7"/>
  <c r="T302" i="7" s="1"/>
  <c r="O270" i="7"/>
  <c r="O269" i="7"/>
  <c r="AP207" i="4"/>
  <c r="AP136" i="2" s="1"/>
  <c r="AP138" i="2" s="1"/>
  <c r="AK365" i="2"/>
  <c r="AM13" i="16"/>
  <c r="AM232" i="2"/>
  <c r="AM190" i="2"/>
  <c r="AM192" i="2" s="1"/>
  <c r="AM195" i="2" s="1"/>
  <c r="AM196" i="2" s="1"/>
  <c r="AM335" i="2" s="1"/>
  <c r="AM336" i="2" s="1"/>
  <c r="AM54" i="17"/>
  <c r="AM199" i="2"/>
  <c r="AM201" i="2" s="1"/>
  <c r="AM204" i="2" s="1"/>
  <c r="AM205" i="2" s="1"/>
  <c r="AM330" i="2" s="1"/>
  <c r="AM331" i="2" s="1"/>
  <c r="AL340" i="2"/>
  <c r="AO160" i="2"/>
  <c r="AO161" i="2" s="1"/>
  <c r="AO153" i="2"/>
  <c r="AO154" i="2" s="1"/>
  <c r="AO179" i="2" s="1"/>
  <c r="AO226" i="2"/>
  <c r="AO227" i="2" s="1"/>
  <c r="AO169" i="2"/>
  <c r="AO174" i="2" s="1"/>
  <c r="AK364" i="2"/>
  <c r="AK366" i="2"/>
  <c r="AJ369" i="2"/>
  <c r="AJ373" i="2" s="1"/>
  <c r="AJ375" i="2" s="1"/>
  <c r="AJ383" i="2" s="1"/>
  <c r="AD448" i="2"/>
  <c r="AD454" i="2"/>
  <c r="AK367" i="2"/>
  <c r="AN276" i="2"/>
  <c r="AN303" i="2"/>
  <c r="AN181" i="2"/>
  <c r="AN186" i="2" s="1"/>
  <c r="AN175" i="2"/>
  <c r="N617" i="2" l="1"/>
  <c r="L619" i="2"/>
  <c r="M615" i="2" s="1"/>
  <c r="M619" i="2" s="1"/>
  <c r="N615" i="2" s="1"/>
  <c r="L621" i="2"/>
  <c r="L625" i="2" s="1"/>
  <c r="L626" i="2" s="1"/>
  <c r="L640" i="2" s="1"/>
  <c r="L644" i="2" s="1"/>
  <c r="L775" i="2" s="1"/>
  <c r="M621" i="2"/>
  <c r="M625" i="2" s="1"/>
  <c r="M626" i="2" s="1"/>
  <c r="M640" i="2" s="1"/>
  <c r="M644" i="2" s="1"/>
  <c r="M775" i="2" s="1"/>
  <c r="N644" i="2"/>
  <c r="N775" i="2" s="1"/>
  <c r="P613" i="2"/>
  <c r="Q608" i="2"/>
  <c r="Q611" i="2" s="1"/>
  <c r="O621" i="2"/>
  <c r="O625" i="2" s="1"/>
  <c r="O626" i="2" s="1"/>
  <c r="O640" i="2" s="1"/>
  <c r="O617" i="2"/>
  <c r="AH58" i="16"/>
  <c r="AG932" i="2"/>
  <c r="AG1021" i="2" s="1"/>
  <c r="AG1134" i="2" s="1"/>
  <c r="AG79" i="16" s="1"/>
  <c r="AI911" i="2"/>
  <c r="AG148" i="17"/>
  <c r="AG46" i="16"/>
  <c r="AH918" i="2"/>
  <c r="AH761" i="2"/>
  <c r="AI420" i="7"/>
  <c r="AI425" i="7" s="1"/>
  <c r="AL341" i="2"/>
  <c r="AL372" i="2" s="1"/>
  <c r="AJ17" i="16"/>
  <c r="AH448" i="2"/>
  <c r="AM236" i="2"/>
  <c r="AM345" i="2" s="1"/>
  <c r="AM346" i="2" s="1"/>
  <c r="AM237" i="2"/>
  <c r="AM349" i="2" s="1"/>
  <c r="AM350" i="2" s="1"/>
  <c r="AM239" i="2"/>
  <c r="AM357" i="2" s="1"/>
  <c r="AM358" i="2" s="1"/>
  <c r="AM240" i="2"/>
  <c r="AM361" i="2" s="1"/>
  <c r="AM362" i="2" s="1"/>
  <c r="AM238" i="2"/>
  <c r="AM353" i="2" s="1"/>
  <c r="AM354" i="2" s="1"/>
  <c r="AN298" i="2"/>
  <c r="AN304" i="2"/>
  <c r="AN309" i="2" s="1"/>
  <c r="AO288" i="2"/>
  <c r="AO295" i="2" s="1"/>
  <c r="AC616" i="2"/>
  <c r="AC595" i="2"/>
  <c r="AD590" i="2" s="1"/>
  <c r="AD593" i="2" s="1"/>
  <c r="AD597" i="2" s="1"/>
  <c r="AD624" i="2" s="1"/>
  <c r="AO180" i="2"/>
  <c r="AO162" i="2"/>
  <c r="AC597" i="2"/>
  <c r="AC624" i="2" s="1"/>
  <c r="M283" i="7"/>
  <c r="M301" i="7" s="1"/>
  <c r="M303" i="7" s="1"/>
  <c r="O271" i="7"/>
  <c r="O276" i="7" s="1"/>
  <c r="O278" i="7" s="1"/>
  <c r="O279" i="7" s="1"/>
  <c r="N280" i="7"/>
  <c r="N283" i="7" s="1"/>
  <c r="N301" i="7" s="1"/>
  <c r="N303" i="7" s="1"/>
  <c r="AO175" i="2"/>
  <c r="AO181" i="2"/>
  <c r="AO186" i="2" s="1"/>
  <c r="AM340" i="2"/>
  <c r="AN199" i="2"/>
  <c r="AN201" i="2" s="1"/>
  <c r="AN204" i="2" s="1"/>
  <c r="AN205" i="2" s="1"/>
  <c r="AN330" i="2" s="1"/>
  <c r="AN331" i="2" s="1"/>
  <c r="AN13" i="16"/>
  <c r="AN190" i="2"/>
  <c r="AN192" i="2" s="1"/>
  <c r="AN195" i="2" s="1"/>
  <c r="AN196" i="2" s="1"/>
  <c r="AN335" i="2" s="1"/>
  <c r="AN336" i="2" s="1"/>
  <c r="AN54" i="17"/>
  <c r="AN232" i="2"/>
  <c r="AL364" i="2"/>
  <c r="AQ207" i="4"/>
  <c r="AQ136" i="2" s="1"/>
  <c r="AQ138" i="2" s="1"/>
  <c r="V294" i="7"/>
  <c r="V297" i="7" s="1"/>
  <c r="U299" i="7"/>
  <c r="U302" i="7" s="1"/>
  <c r="AQ262" i="4"/>
  <c r="AQ250" i="2" s="1"/>
  <c r="AQ252" i="2" s="1"/>
  <c r="AQ262" i="2" s="1"/>
  <c r="AQ264" i="2" s="1"/>
  <c r="AL366" i="2"/>
  <c r="AO709" i="2"/>
  <c r="AM339" i="2"/>
  <c r="AP226" i="2"/>
  <c r="AP227" i="2" s="1"/>
  <c r="AP169" i="2"/>
  <c r="AP174" i="2" s="1"/>
  <c r="AP160" i="2"/>
  <c r="AP161" i="2" s="1"/>
  <c r="AP153" i="2"/>
  <c r="AP154" i="2" s="1"/>
  <c r="AP179" i="2" s="1"/>
  <c r="AO303" i="2"/>
  <c r="AO276" i="2"/>
  <c r="AP280" i="2"/>
  <c r="AP282" i="2" s="1"/>
  <c r="AP274" i="2"/>
  <c r="AP275" i="2" s="1"/>
  <c r="AP297" i="2"/>
  <c r="AP267" i="2"/>
  <c r="AL368" i="2"/>
  <c r="AL367" i="2"/>
  <c r="Q184" i="7"/>
  <c r="Q519" i="7"/>
  <c r="Q260" i="7"/>
  <c r="Q268" i="7" s="1"/>
  <c r="R58" i="7"/>
  <c r="P269" i="7"/>
  <c r="P270" i="7"/>
  <c r="K339" i="7"/>
  <c r="L335" i="7"/>
  <c r="L336" i="7" s="1"/>
  <c r="AK369" i="2"/>
  <c r="AK373" i="2" s="1"/>
  <c r="AK375" i="2" s="1"/>
  <c r="AK383" i="2" s="1"/>
  <c r="AI396" i="2"/>
  <c r="AI1039" i="2" s="1"/>
  <c r="AI138" i="17"/>
  <c r="AI17" i="16"/>
  <c r="AI435" i="2"/>
  <c r="AI437" i="2" s="1"/>
  <c r="AI440" i="2" s="1"/>
  <c r="AI92" i="17"/>
  <c r="AL365" i="2"/>
  <c r="N619" i="2" l="1"/>
  <c r="O615" i="2" s="1"/>
  <c r="O619" i="2" s="1"/>
  <c r="P615" i="2" s="1"/>
  <c r="O644" i="2"/>
  <c r="O775" i="2" s="1"/>
  <c r="Q613" i="2"/>
  <c r="R608" i="2"/>
  <c r="R611" i="2" s="1"/>
  <c r="P617" i="2"/>
  <c r="P621" i="2"/>
  <c r="P625" i="2" s="1"/>
  <c r="P626" i="2" s="1"/>
  <c r="P640" i="2" s="1"/>
  <c r="AI924" i="2"/>
  <c r="AI925" i="2" s="1"/>
  <c r="AI58" i="16" s="1"/>
  <c r="AI929" i="2"/>
  <c r="AI912" i="2"/>
  <c r="AJ907" i="2" s="1"/>
  <c r="AJ908" i="2" s="1"/>
  <c r="AH931" i="2"/>
  <c r="AH1006" i="2"/>
  <c r="AH1096" i="2"/>
  <c r="AM341" i="2"/>
  <c r="AM372" i="2" s="1"/>
  <c r="AJ92" i="17"/>
  <c r="AJ138" i="17"/>
  <c r="AJ396" i="2"/>
  <c r="AJ1039" i="2" s="1"/>
  <c r="AJ435" i="2"/>
  <c r="AJ437" i="2" s="1"/>
  <c r="AJ440" i="2" s="1"/>
  <c r="AJ448" i="2" s="1"/>
  <c r="AK17" i="16"/>
  <c r="AN240" i="2"/>
  <c r="AN361" i="2" s="1"/>
  <c r="AN362" i="2" s="1"/>
  <c r="AN237" i="2"/>
  <c r="AN349" i="2" s="1"/>
  <c r="AN350" i="2" s="1"/>
  <c r="AN238" i="2"/>
  <c r="AN353" i="2" s="1"/>
  <c r="AN354" i="2" s="1"/>
  <c r="AN239" i="2"/>
  <c r="AN357" i="2" s="1"/>
  <c r="AN358" i="2" s="1"/>
  <c r="AN236" i="2"/>
  <c r="AN345" i="2" s="1"/>
  <c r="AN346" i="2" s="1"/>
  <c r="AO298" i="2"/>
  <c r="AO304" i="2"/>
  <c r="AO309" i="2" s="1"/>
  <c r="AD594" i="2"/>
  <c r="AD602" i="2" s="1"/>
  <c r="AD603" i="2" s="1"/>
  <c r="AD616" i="2" s="1"/>
  <c r="AP288" i="2"/>
  <c r="AP295" i="2" s="1"/>
  <c r="AP180" i="2"/>
  <c r="AP162" i="2"/>
  <c r="AM365" i="2"/>
  <c r="AM366" i="2"/>
  <c r="AM364" i="2"/>
  <c r="W294" i="7"/>
  <c r="W297" i="7" s="1"/>
  <c r="V299" i="7"/>
  <c r="V302" i="7" s="1"/>
  <c r="AN339" i="2"/>
  <c r="AP181" i="2"/>
  <c r="AP186" i="2" s="1"/>
  <c r="AP175" i="2"/>
  <c r="AR262" i="4"/>
  <c r="AR250" i="2" s="1"/>
  <c r="AR252" i="2" s="1"/>
  <c r="AR262" i="2" s="1"/>
  <c r="AR264" i="2" s="1"/>
  <c r="AS262" i="4"/>
  <c r="AS250" i="2" s="1"/>
  <c r="AS252" i="2" s="1"/>
  <c r="AS262" i="2" s="1"/>
  <c r="AS264" i="2" s="1"/>
  <c r="AR207" i="4"/>
  <c r="AR136" i="2" s="1"/>
  <c r="AR138" i="2" s="1"/>
  <c r="AS207" i="4"/>
  <c r="AS136" i="2" s="1"/>
  <c r="AS138" i="2" s="1"/>
  <c r="K354" i="7"/>
  <c r="K355" i="7" s="1"/>
  <c r="K494" i="7"/>
  <c r="AQ274" i="2"/>
  <c r="AQ275" i="2" s="1"/>
  <c r="AQ267" i="2"/>
  <c r="AQ280" i="2"/>
  <c r="AQ282" i="2" s="1"/>
  <c r="AQ297" i="2"/>
  <c r="AQ153" i="2"/>
  <c r="AQ154" i="2" s="1"/>
  <c r="AQ179" i="2" s="1"/>
  <c r="AQ226" i="2"/>
  <c r="AQ227" i="2" s="1"/>
  <c r="AQ169" i="2"/>
  <c r="AQ174" i="2" s="1"/>
  <c r="AQ160" i="2"/>
  <c r="AQ161" i="2" s="1"/>
  <c r="AN340" i="2"/>
  <c r="R519" i="7"/>
  <c r="R184" i="7"/>
  <c r="R260" i="7"/>
  <c r="R268" i="7" s="1"/>
  <c r="S58" i="7"/>
  <c r="AL369" i="2"/>
  <c r="AL373" i="2" s="1"/>
  <c r="AL375" i="2" s="1"/>
  <c r="AL383" i="2" s="1"/>
  <c r="L339" i="7"/>
  <c r="M335" i="7"/>
  <c r="M336" i="7" s="1"/>
  <c r="AI454" i="2"/>
  <c r="AI448" i="2"/>
  <c r="P271" i="7"/>
  <c r="P276" i="7" s="1"/>
  <c r="P278" i="7" s="1"/>
  <c r="P279" i="7" s="1"/>
  <c r="Q269" i="7"/>
  <c r="Q270" i="7"/>
  <c r="AM367" i="2"/>
  <c r="AM368" i="2"/>
  <c r="AP276" i="2"/>
  <c r="AP303" i="2"/>
  <c r="AP709" i="2"/>
  <c r="AO199" i="2"/>
  <c r="AO201" i="2" s="1"/>
  <c r="AO204" i="2" s="1"/>
  <c r="AO205" i="2" s="1"/>
  <c r="AO330" i="2" s="1"/>
  <c r="AO331" i="2" s="1"/>
  <c r="AO190" i="2"/>
  <c r="AO192" i="2" s="1"/>
  <c r="AO195" i="2" s="1"/>
  <c r="AO196" i="2" s="1"/>
  <c r="AO335" i="2" s="1"/>
  <c r="AO336" i="2" s="1"/>
  <c r="AO54" i="17"/>
  <c r="AO13" i="16"/>
  <c r="AO232" i="2"/>
  <c r="N281" i="7"/>
  <c r="O277" i="7" s="1"/>
  <c r="P619" i="2" l="1"/>
  <c r="Q615" i="2" s="1"/>
  <c r="P644" i="2"/>
  <c r="P775" i="2" s="1"/>
  <c r="R613" i="2"/>
  <c r="S608" i="2"/>
  <c r="S611" i="2" s="1"/>
  <c r="Q617" i="2"/>
  <c r="Q621" i="2"/>
  <c r="Q625" i="2" s="1"/>
  <c r="Q626" i="2" s="1"/>
  <c r="Q640" i="2" s="1"/>
  <c r="AI937" i="2"/>
  <c r="AH932" i="2"/>
  <c r="AH1021" i="2" s="1"/>
  <c r="AH1134" i="2" s="1"/>
  <c r="AH79" i="16" s="1"/>
  <c r="AJ911" i="2"/>
  <c r="AH148" i="17"/>
  <c r="AH46" i="16"/>
  <c r="AJ420" i="7"/>
  <c r="AJ425" i="7" s="1"/>
  <c r="AI918" i="2"/>
  <c r="AI761" i="2"/>
  <c r="AJ454" i="2"/>
  <c r="AN341" i="2"/>
  <c r="AN372" i="2" s="1"/>
  <c r="AK138" i="17"/>
  <c r="AK396" i="2"/>
  <c r="AK1039" i="2" s="1"/>
  <c r="AK435" i="2"/>
  <c r="AK437" i="2" s="1"/>
  <c r="AK440" i="2" s="1"/>
  <c r="AK454" i="2" s="1"/>
  <c r="AK92" i="17"/>
  <c r="AL396" i="2"/>
  <c r="AL1039" i="2" s="1"/>
  <c r="AO238" i="2"/>
  <c r="AO353" i="2" s="1"/>
  <c r="AO354" i="2" s="1"/>
  <c r="AO240" i="2"/>
  <c r="AO361" i="2" s="1"/>
  <c r="AO362" i="2" s="1"/>
  <c r="AO237" i="2"/>
  <c r="AO349" i="2" s="1"/>
  <c r="AO350" i="2" s="1"/>
  <c r="AO236" i="2"/>
  <c r="AO345" i="2" s="1"/>
  <c r="AO346" i="2" s="1"/>
  <c r="AO239" i="2"/>
  <c r="AO357" i="2" s="1"/>
  <c r="AO358" i="2" s="1"/>
  <c r="AD595" i="2"/>
  <c r="AE590" i="2" s="1"/>
  <c r="AE593" i="2" s="1"/>
  <c r="AE597" i="2" s="1"/>
  <c r="AE624" i="2" s="1"/>
  <c r="AD609" i="2"/>
  <c r="AK610" i="2" s="1"/>
  <c r="AP298" i="2"/>
  <c r="AP304" i="2"/>
  <c r="AP309" i="2" s="1"/>
  <c r="AQ288" i="2"/>
  <c r="AQ295" i="2" s="1"/>
  <c r="F265" i="2"/>
  <c r="AQ180" i="2"/>
  <c r="AQ162" i="2"/>
  <c r="AQ709" i="2"/>
  <c r="AN367" i="2"/>
  <c r="AS226" i="2"/>
  <c r="AS227" i="2" s="1"/>
  <c r="AS153" i="2"/>
  <c r="AS154" i="2" s="1"/>
  <c r="AS179" i="2" s="1"/>
  <c r="AS160" i="2"/>
  <c r="AS161" i="2" s="1"/>
  <c r="AS169" i="2"/>
  <c r="AS174" i="2" s="1"/>
  <c r="AN368" i="2"/>
  <c r="AR169" i="2"/>
  <c r="AR174" i="2" s="1"/>
  <c r="AR153" i="2"/>
  <c r="AR154" i="2" s="1"/>
  <c r="AR179" i="2" s="1"/>
  <c r="AR160" i="2"/>
  <c r="AR161" i="2" s="1"/>
  <c r="AR226" i="2"/>
  <c r="AR227" i="2" s="1"/>
  <c r="X294" i="7"/>
  <c r="X297" i="7" s="1"/>
  <c r="W299" i="7"/>
  <c r="W302" i="7" s="1"/>
  <c r="AN366" i="2"/>
  <c r="AO339" i="2"/>
  <c r="N335" i="7"/>
  <c r="N336" i="7" s="1"/>
  <c r="M339" i="7"/>
  <c r="S260" i="7"/>
  <c r="S268" i="7" s="1"/>
  <c r="S184" i="7"/>
  <c r="S519" i="7"/>
  <c r="T58" i="7"/>
  <c r="AQ303" i="2"/>
  <c r="AQ276" i="2"/>
  <c r="AS274" i="2"/>
  <c r="AS275" i="2" s="1"/>
  <c r="AS267" i="2"/>
  <c r="AS280" i="2"/>
  <c r="AS282" i="2" s="1"/>
  <c r="AS297" i="2"/>
  <c r="AO340" i="2"/>
  <c r="L494" i="7"/>
  <c r="L354" i="7"/>
  <c r="L355" i="7" s="1"/>
  <c r="L451" i="7" s="1"/>
  <c r="L454" i="7" s="1"/>
  <c r="R269" i="7"/>
  <c r="R270" i="7"/>
  <c r="AR267" i="2"/>
  <c r="AR297" i="2"/>
  <c r="AR280" i="2"/>
  <c r="AR282" i="2" s="1"/>
  <c r="AR274" i="2"/>
  <c r="AR275" i="2" s="1"/>
  <c r="AN365" i="2"/>
  <c r="O280" i="7"/>
  <c r="O283" i="7" s="1"/>
  <c r="AN364" i="2"/>
  <c r="AP13" i="16"/>
  <c r="AP54" i="17"/>
  <c r="AP232" i="2"/>
  <c r="AP199" i="2"/>
  <c r="AP201" i="2" s="1"/>
  <c r="AP204" i="2" s="1"/>
  <c r="AP205" i="2" s="1"/>
  <c r="AP330" i="2" s="1"/>
  <c r="AP331" i="2" s="1"/>
  <c r="AP190" i="2"/>
  <c r="AP192" i="2" s="1"/>
  <c r="AP195" i="2" s="1"/>
  <c r="AP196" i="2" s="1"/>
  <c r="AP335" i="2" s="1"/>
  <c r="AP336" i="2" s="1"/>
  <c r="Q271" i="7"/>
  <c r="Q276" i="7" s="1"/>
  <c r="Q278" i="7" s="1"/>
  <c r="Q279" i="7" s="1"/>
  <c r="AQ181" i="2"/>
  <c r="AQ186" i="2" s="1"/>
  <c r="AQ175" i="2"/>
  <c r="K451" i="7"/>
  <c r="K454" i="7" s="1"/>
  <c r="AM369" i="2"/>
  <c r="AM373" i="2" s="1"/>
  <c r="AM375" i="2" s="1"/>
  <c r="AM383" i="2" s="1"/>
  <c r="Q619" i="2" l="1"/>
  <c r="R615" i="2" s="1"/>
  <c r="Q644" i="2"/>
  <c r="Q775" i="2" s="1"/>
  <c r="S613" i="2"/>
  <c r="T608" i="2"/>
  <c r="T611" i="2" s="1"/>
  <c r="R617" i="2"/>
  <c r="R621" i="2"/>
  <c r="R625" i="2" s="1"/>
  <c r="R626" i="2" s="1"/>
  <c r="R640" i="2" s="1"/>
  <c r="AJ924" i="2"/>
  <c r="AJ925" i="2" s="1"/>
  <c r="AJ937" i="2" s="1"/>
  <c r="AJ929" i="2"/>
  <c r="AJ912" i="2"/>
  <c r="AK907" i="2" s="1"/>
  <c r="AK908" i="2" s="1"/>
  <c r="AI931" i="2"/>
  <c r="AI1096" i="2"/>
  <c r="AI1006" i="2"/>
  <c r="AO341" i="2"/>
  <c r="AO372" i="2" s="1"/>
  <c r="AK448" i="2"/>
  <c r="AL17" i="16"/>
  <c r="AL138" i="17"/>
  <c r="AM435" i="2"/>
  <c r="AM437" i="2" s="1"/>
  <c r="AM440" i="2" s="1"/>
  <c r="AL435" i="2"/>
  <c r="AL437" i="2" s="1"/>
  <c r="AL440" i="2" s="1"/>
  <c r="AL454" i="2" s="1"/>
  <c r="AL92" i="17"/>
  <c r="AS268" i="2"/>
  <c r="AS302" i="2" s="1"/>
  <c r="AP237" i="2"/>
  <c r="AP349" i="2" s="1"/>
  <c r="AP350" i="2" s="1"/>
  <c r="AP240" i="2"/>
  <c r="AP361" i="2" s="1"/>
  <c r="AP362" i="2" s="1"/>
  <c r="AP238" i="2"/>
  <c r="AP353" i="2" s="1"/>
  <c r="AP354" i="2" s="1"/>
  <c r="AP239" i="2"/>
  <c r="AP357" i="2" s="1"/>
  <c r="AP358" i="2" s="1"/>
  <c r="AP236" i="2"/>
  <c r="AP345" i="2" s="1"/>
  <c r="AP346" i="2" s="1"/>
  <c r="Q268" i="2"/>
  <c r="Q302" i="2" s="1"/>
  <c r="Q321" i="2" s="1"/>
  <c r="Q323" i="2" s="1"/>
  <c r="M268" i="2"/>
  <c r="M269" i="2" s="1"/>
  <c r="O268" i="2"/>
  <c r="O302" i="2" s="1"/>
  <c r="O321" i="2" s="1"/>
  <c r="O323" i="2" s="1"/>
  <c r="P268" i="2"/>
  <c r="P302" i="2" s="1"/>
  <c r="P321" i="2" s="1"/>
  <c r="P323" i="2" s="1"/>
  <c r="L268" i="2"/>
  <c r="L302" i="2" s="1"/>
  <c r="L321" i="2" s="1"/>
  <c r="L323" i="2" s="1"/>
  <c r="S268" i="2"/>
  <c r="S269" i="2" s="1"/>
  <c r="R268" i="2"/>
  <c r="R302" i="2" s="1"/>
  <c r="R321" i="2" s="1"/>
  <c r="R323" i="2" s="1"/>
  <c r="N268" i="2"/>
  <c r="N302" i="2" s="1"/>
  <c r="N321" i="2" s="1"/>
  <c r="N323" i="2" s="1"/>
  <c r="K268" i="2"/>
  <c r="K269" i="2" s="1"/>
  <c r="T268" i="2"/>
  <c r="T269" i="2" s="1"/>
  <c r="U268" i="2"/>
  <c r="U302" i="2" s="1"/>
  <c r="U321" i="2" s="1"/>
  <c r="U323" i="2" s="1"/>
  <c r="AA268" i="2"/>
  <c r="AA269" i="2" s="1"/>
  <c r="AB268" i="2"/>
  <c r="AB269" i="2" s="1"/>
  <c r="AC268" i="2"/>
  <c r="AC269" i="2" s="1"/>
  <c r="AG268" i="2"/>
  <c r="AG302" i="2" s="1"/>
  <c r="AG321" i="2" s="1"/>
  <c r="AG323" i="2" s="1"/>
  <c r="AF268" i="2"/>
  <c r="AF269" i="2" s="1"/>
  <c r="AE268" i="2"/>
  <c r="AE302" i="2" s="1"/>
  <c r="AE321" i="2" s="1"/>
  <c r="AE323" i="2" s="1"/>
  <c r="AD268" i="2"/>
  <c r="AD302" i="2" s="1"/>
  <c r="AD321" i="2" s="1"/>
  <c r="AD323" i="2" s="1"/>
  <c r="AH268" i="2"/>
  <c r="AH302" i="2" s="1"/>
  <c r="AH321" i="2" s="1"/>
  <c r="AH323" i="2" s="1"/>
  <c r="AI268" i="2"/>
  <c r="AI302" i="2" s="1"/>
  <c r="AI321" i="2" s="1"/>
  <c r="AI323" i="2" s="1"/>
  <c r="AJ268" i="2"/>
  <c r="AJ269" i="2" s="1"/>
  <c r="AK268" i="2"/>
  <c r="AK302" i="2" s="1"/>
  <c r="AK321" i="2" s="1"/>
  <c r="AK323" i="2" s="1"/>
  <c r="AL268" i="2"/>
  <c r="AL302" i="2" s="1"/>
  <c r="AL321" i="2" s="1"/>
  <c r="AL323" i="2" s="1"/>
  <c r="AM268" i="2"/>
  <c r="AM269" i="2" s="1"/>
  <c r="AN268" i="2"/>
  <c r="AN302" i="2" s="1"/>
  <c r="AN321" i="2" s="1"/>
  <c r="AN323" i="2" s="1"/>
  <c r="AO268" i="2"/>
  <c r="AO269" i="2" s="1"/>
  <c r="AP268" i="2"/>
  <c r="AP302" i="2" s="1"/>
  <c r="AP321" i="2" s="1"/>
  <c r="AP323" i="2" s="1"/>
  <c r="AQ268" i="2"/>
  <c r="AQ302" i="2" s="1"/>
  <c r="AR268" i="2"/>
  <c r="AR269" i="2" s="1"/>
  <c r="AE594" i="2"/>
  <c r="AE602" i="2" s="1"/>
  <c r="AE603" i="2" s="1"/>
  <c r="AE616" i="2" s="1"/>
  <c r="AQ298" i="2"/>
  <c r="AQ304" i="2"/>
  <c r="AQ309" i="2" s="1"/>
  <c r="AS288" i="2"/>
  <c r="AS295" i="2" s="1"/>
  <c r="AR288" i="2"/>
  <c r="AR295" i="2" s="1"/>
  <c r="AR180" i="2"/>
  <c r="AR162" i="2"/>
  <c r="AS180" i="2"/>
  <c r="AS162" i="2"/>
  <c r="F229" i="2"/>
  <c r="O281" i="7"/>
  <c r="P277" i="7" s="1"/>
  <c r="P280" i="7" s="1"/>
  <c r="P283" i="7" s="1"/>
  <c r="P301" i="7" s="1"/>
  <c r="P303" i="7" s="1"/>
  <c r="AS276" i="2"/>
  <c r="AS303" i="2"/>
  <c r="S269" i="7"/>
  <c r="S270" i="7"/>
  <c r="AR175" i="2"/>
  <c r="AR181" i="2"/>
  <c r="AR186" i="2" s="1"/>
  <c r="AS175" i="2"/>
  <c r="AS181" i="2"/>
  <c r="AS186" i="2" s="1"/>
  <c r="M354" i="7"/>
  <c r="M355" i="7" s="1"/>
  <c r="M451" i="7" s="1"/>
  <c r="M454" i="7" s="1"/>
  <c r="M494" i="7"/>
  <c r="AO366" i="2"/>
  <c r="AP339" i="2"/>
  <c r="O301" i="7"/>
  <c r="O303" i="7" s="1"/>
  <c r="N339" i="7"/>
  <c r="O335" i="7"/>
  <c r="O336" i="7" s="1"/>
  <c r="AS709" i="2"/>
  <c r="AO367" i="2"/>
  <c r="AQ190" i="2"/>
  <c r="AQ192" i="2" s="1"/>
  <c r="AQ195" i="2" s="1"/>
  <c r="AQ196" i="2" s="1"/>
  <c r="AQ335" i="2" s="1"/>
  <c r="AQ336" i="2" s="1"/>
  <c r="AQ54" i="17"/>
  <c r="AQ13" i="16"/>
  <c r="AQ199" i="2"/>
  <c r="AQ201" i="2" s="1"/>
  <c r="AQ204" i="2" s="1"/>
  <c r="AQ205" i="2" s="1"/>
  <c r="AQ330" i="2" s="1"/>
  <c r="AQ331" i="2" s="1"/>
  <c r="AQ232" i="2"/>
  <c r="K473" i="7"/>
  <c r="K466" i="7"/>
  <c r="K467" i="7" s="1"/>
  <c r="AP340" i="2"/>
  <c r="Y294" i="7"/>
  <c r="Y297" i="7" s="1"/>
  <c r="X299" i="7"/>
  <c r="X302" i="7" s="1"/>
  <c r="AO365" i="2"/>
  <c r="AR276" i="2"/>
  <c r="AR303" i="2"/>
  <c r="AO368" i="2"/>
  <c r="R271" i="7"/>
  <c r="R276" i="7" s="1"/>
  <c r="R278" i="7" s="1"/>
  <c r="R279" i="7" s="1"/>
  <c r="T184" i="7"/>
  <c r="T519" i="7"/>
  <c r="T260" i="7"/>
  <c r="T268" i="7" s="1"/>
  <c r="U58" i="7"/>
  <c r="AO364" i="2"/>
  <c r="L473" i="7"/>
  <c r="L466" i="7"/>
  <c r="L467" i="7" s="1"/>
  <c r="AN369" i="2"/>
  <c r="AN373" i="2" s="1"/>
  <c r="AN375" i="2" s="1"/>
  <c r="AN383" i="2" s="1"/>
  <c r="AR709" i="2"/>
  <c r="R619" i="2" l="1"/>
  <c r="S615" i="2" s="1"/>
  <c r="R644" i="2"/>
  <c r="R775" i="2" s="1"/>
  <c r="U608" i="2"/>
  <c r="U611" i="2" s="1"/>
  <c r="T613" i="2"/>
  <c r="S621" i="2"/>
  <c r="S625" i="2" s="1"/>
  <c r="S626" i="2" s="1"/>
  <c r="S640" i="2" s="1"/>
  <c r="S617" i="2"/>
  <c r="AJ58" i="16"/>
  <c r="AI932" i="2"/>
  <c r="AI1021" i="2" s="1"/>
  <c r="AI1134" i="2" s="1"/>
  <c r="AI79" i="16" s="1"/>
  <c r="AK911" i="2"/>
  <c r="AJ761" i="2"/>
  <c r="AJ918" i="2"/>
  <c r="AK420" i="7"/>
  <c r="AK425" i="7" s="1"/>
  <c r="AI46" i="16"/>
  <c r="AI148" i="17"/>
  <c r="AP341" i="2"/>
  <c r="AP372" i="2" s="1"/>
  <c r="AM17" i="16"/>
  <c r="AM92" i="17"/>
  <c r="AM138" i="17"/>
  <c r="AM396" i="2"/>
  <c r="AM1039" i="2" s="1"/>
  <c r="AL448" i="2"/>
  <c r="AN396" i="2"/>
  <c r="AN1039" i="2" s="1"/>
  <c r="AQ321" i="2"/>
  <c r="AQ323" i="2" s="1"/>
  <c r="AQ14" i="16" s="1"/>
  <c r="AQ239" i="2"/>
  <c r="AQ357" i="2" s="1"/>
  <c r="AQ358" i="2" s="1"/>
  <c r="AQ238" i="2"/>
  <c r="AQ353" i="2" s="1"/>
  <c r="AQ354" i="2" s="1"/>
  <c r="AQ240" i="2"/>
  <c r="AQ361" i="2" s="1"/>
  <c r="AQ362" i="2" s="1"/>
  <c r="AQ237" i="2"/>
  <c r="AQ349" i="2" s="1"/>
  <c r="AQ350" i="2" s="1"/>
  <c r="AQ236" i="2"/>
  <c r="AQ345" i="2" s="1"/>
  <c r="AQ346" i="2" s="1"/>
  <c r="AD269" i="2"/>
  <c r="AQ269" i="2"/>
  <c r="AE609" i="2"/>
  <c r="AL610" i="2" s="1"/>
  <c r="AE595" i="2"/>
  <c r="AF590" i="2" s="1"/>
  <c r="AF593" i="2" s="1"/>
  <c r="AF594" i="2" s="1"/>
  <c r="AF602" i="2" s="1"/>
  <c r="AF603" i="2" s="1"/>
  <c r="AF616" i="2" s="1"/>
  <c r="L55" i="17"/>
  <c r="L710" i="2"/>
  <c r="L379" i="2"/>
  <c r="L14" i="16"/>
  <c r="U55" i="17"/>
  <c r="U14" i="16"/>
  <c r="U379" i="2"/>
  <c r="U710" i="2"/>
  <c r="P14" i="16"/>
  <c r="P379" i="2"/>
  <c r="P710" i="2"/>
  <c r="P55" i="17"/>
  <c r="R14" i="16"/>
  <c r="R55" i="17"/>
  <c r="R379" i="2"/>
  <c r="R710" i="2"/>
  <c r="O55" i="17"/>
  <c r="O710" i="2"/>
  <c r="O14" i="16"/>
  <c r="O379" i="2"/>
  <c r="N379" i="2"/>
  <c r="N55" i="17"/>
  <c r="N710" i="2"/>
  <c r="N14" i="16"/>
  <c r="Q55" i="17"/>
  <c r="Q379" i="2"/>
  <c r="Q14" i="16"/>
  <c r="Q710" i="2"/>
  <c r="AI269" i="2"/>
  <c r="O269" i="2"/>
  <c r="AC302" i="2"/>
  <c r="AC321" i="2" s="1"/>
  <c r="AC323" i="2" s="1"/>
  <c r="AC55" i="17" s="1"/>
  <c r="AO302" i="2"/>
  <c r="AO321" i="2" s="1"/>
  <c r="AO323" i="2" s="1"/>
  <c r="AO710" i="2" s="1"/>
  <c r="AJ302" i="2"/>
  <c r="AJ321" i="2" s="1"/>
  <c r="AJ323" i="2" s="1"/>
  <c r="AS269" i="2"/>
  <c r="AM302" i="2"/>
  <c r="AM321" i="2" s="1"/>
  <c r="AM323" i="2" s="1"/>
  <c r="AP269" i="2"/>
  <c r="AR302" i="2"/>
  <c r="AG269" i="2"/>
  <c r="S302" i="2"/>
  <c r="S321" i="2" s="1"/>
  <c r="S323" i="2" s="1"/>
  <c r="AN269" i="2"/>
  <c r="R269" i="2"/>
  <c r="AR298" i="2"/>
  <c r="AR304" i="2"/>
  <c r="AR309" i="2" s="1"/>
  <c r="AS298" i="2"/>
  <c r="AS304" i="2"/>
  <c r="AF302" i="2"/>
  <c r="AF321" i="2" s="1"/>
  <c r="AF323" i="2" s="1"/>
  <c r="AF14" i="16" s="1"/>
  <c r="AB302" i="2"/>
  <c r="AB321" i="2" s="1"/>
  <c r="AB323" i="2" s="1"/>
  <c r="AB710" i="2" s="1"/>
  <c r="AB727" i="2" s="1"/>
  <c r="AB732" i="2" s="1"/>
  <c r="AA302" i="2"/>
  <c r="AA321" i="2" s="1"/>
  <c r="AA323" i="2" s="1"/>
  <c r="AA14" i="16" s="1"/>
  <c r="U269" i="2"/>
  <c r="AH269" i="2"/>
  <c r="L269" i="2"/>
  <c r="T302" i="2"/>
  <c r="T321" i="2" s="1"/>
  <c r="T323" i="2" s="1"/>
  <c r="K302" i="2"/>
  <c r="K321" i="2" s="1"/>
  <c r="K323" i="2" s="1"/>
  <c r="AE269" i="2"/>
  <c r="P269" i="2"/>
  <c r="N269" i="2"/>
  <c r="M302" i="2"/>
  <c r="M321" i="2" s="1"/>
  <c r="M323" i="2" s="1"/>
  <c r="Q269" i="2"/>
  <c r="AK269" i="2"/>
  <c r="AL269" i="2"/>
  <c r="AG55" i="17"/>
  <c r="AG379" i="2"/>
  <c r="AG14" i="16"/>
  <c r="AG710" i="2"/>
  <c r="AG727" i="2" s="1"/>
  <c r="AG732" i="2" s="1"/>
  <c r="AN379" i="2"/>
  <c r="AN55" i="17"/>
  <c r="AN710" i="2"/>
  <c r="AN14" i="16"/>
  <c r="AP55" i="17"/>
  <c r="AP379" i="2"/>
  <c r="AP14" i="16"/>
  <c r="AP710" i="2"/>
  <c r="AH55" i="17"/>
  <c r="AH14" i="16"/>
  <c r="AH379" i="2"/>
  <c r="AH710" i="2"/>
  <c r="AH727" i="2" s="1"/>
  <c r="AH732" i="2" s="1"/>
  <c r="AI14" i="16"/>
  <c r="AI55" i="17"/>
  <c r="AI710" i="2"/>
  <c r="AI727" i="2" s="1"/>
  <c r="AI732" i="2" s="1"/>
  <c r="AI379" i="2"/>
  <c r="AD14" i="16"/>
  <c r="AD710" i="2"/>
  <c r="AD727" i="2" s="1"/>
  <c r="AD732" i="2" s="1"/>
  <c r="AD55" i="17"/>
  <c r="AD379" i="2"/>
  <c r="AE14" i="16"/>
  <c r="AE55" i="17"/>
  <c r="AE710" i="2"/>
  <c r="AE727" i="2" s="1"/>
  <c r="AE732" i="2" s="1"/>
  <c r="AE379" i="2"/>
  <c r="AK379" i="2"/>
  <c r="AK55" i="17"/>
  <c r="AK710" i="2"/>
  <c r="AK727" i="2" s="1"/>
  <c r="AK732" i="2" s="1"/>
  <c r="AK14" i="16"/>
  <c r="AL710" i="2"/>
  <c r="AL14" i="16"/>
  <c r="AL55" i="17"/>
  <c r="AL379" i="2"/>
  <c r="AP364" i="2"/>
  <c r="AP366" i="2"/>
  <c r="AR199" i="2"/>
  <c r="AR201" i="2" s="1"/>
  <c r="AR204" i="2" s="1"/>
  <c r="AR205" i="2" s="1"/>
  <c r="AR330" i="2" s="1"/>
  <c r="AR331" i="2" s="1"/>
  <c r="AR54" i="17"/>
  <c r="AR232" i="2"/>
  <c r="AR190" i="2"/>
  <c r="AR192" i="2" s="1"/>
  <c r="AR195" i="2" s="1"/>
  <c r="AR196" i="2" s="1"/>
  <c r="AR335" i="2" s="1"/>
  <c r="AR336" i="2" s="1"/>
  <c r="AR13" i="16"/>
  <c r="AP368" i="2"/>
  <c r="AS190" i="2"/>
  <c r="AS192" i="2" s="1"/>
  <c r="AS195" i="2" s="1"/>
  <c r="AS196" i="2" s="1"/>
  <c r="AS335" i="2" s="1"/>
  <c r="AS336" i="2" s="1"/>
  <c r="AS13" i="16"/>
  <c r="AS54" i="17"/>
  <c r="AS232" i="2"/>
  <c r="AS199" i="2"/>
  <c r="AS201" i="2" s="1"/>
  <c r="AS204" i="2" s="1"/>
  <c r="AS205" i="2" s="1"/>
  <c r="AS330" i="2" s="1"/>
  <c r="AS331" i="2" s="1"/>
  <c r="AO369" i="2"/>
  <c r="AO373" i="2" s="1"/>
  <c r="AO375" i="2" s="1"/>
  <c r="AO383" i="2" s="1"/>
  <c r="AP365" i="2"/>
  <c r="AQ340" i="2"/>
  <c r="O339" i="7"/>
  <c r="P335" i="7"/>
  <c r="P336" i="7" s="1"/>
  <c r="AM454" i="2"/>
  <c r="AM448" i="2"/>
  <c r="AP367" i="2"/>
  <c r="Z294" i="7"/>
  <c r="Z297" i="7" s="1"/>
  <c r="Y299" i="7"/>
  <c r="Y302" i="7" s="1"/>
  <c r="N494" i="7"/>
  <c r="N354" i="7"/>
  <c r="N355" i="7" s="1"/>
  <c r="L495" i="7"/>
  <c r="L475" i="7"/>
  <c r="L476" i="7" s="1"/>
  <c r="U184" i="7"/>
  <c r="U260" i="7"/>
  <c r="U268" i="7" s="1"/>
  <c r="U519" i="7"/>
  <c r="V58" i="7"/>
  <c r="P281" i="7"/>
  <c r="Q277" i="7" s="1"/>
  <c r="T270" i="7"/>
  <c r="T269" i="7"/>
  <c r="AQ339" i="2"/>
  <c r="M473" i="7"/>
  <c r="M466" i="7"/>
  <c r="M467" i="7" s="1"/>
  <c r="S271" i="7"/>
  <c r="S276" i="7" s="1"/>
  <c r="S278" i="7" s="1"/>
  <c r="S279" i="7" s="1"/>
  <c r="K495" i="7"/>
  <c r="K475" i="7"/>
  <c r="K476" i="7" s="1"/>
  <c r="S619" i="2" l="1"/>
  <c r="T615" i="2" s="1"/>
  <c r="S644" i="2"/>
  <c r="S775" i="2" s="1"/>
  <c r="AS309" i="2"/>
  <c r="AS321" i="2" s="1"/>
  <c r="AS323" i="2" s="1"/>
  <c r="T617" i="2"/>
  <c r="T621" i="2"/>
  <c r="T625" i="2" s="1"/>
  <c r="T626" i="2" s="1"/>
  <c r="T640" i="2" s="1"/>
  <c r="V608" i="2"/>
  <c r="V611" i="2" s="1"/>
  <c r="U613" i="2"/>
  <c r="AK924" i="2"/>
  <c r="AK925" i="2" s="1"/>
  <c r="AK937" i="2" s="1"/>
  <c r="AK929" i="2"/>
  <c r="AK912" i="2"/>
  <c r="AL907" i="2" s="1"/>
  <c r="AL908" i="2" s="1"/>
  <c r="T271" i="7"/>
  <c r="T276" i="7" s="1"/>
  <c r="T278" i="7" s="1"/>
  <c r="T279" i="7" s="1"/>
  <c r="AJ931" i="2"/>
  <c r="AJ1006" i="2"/>
  <c r="AJ1096" i="2"/>
  <c r="I336" i="2"/>
  <c r="N380" i="2"/>
  <c r="N384" i="2" s="1"/>
  <c r="AD380" i="2"/>
  <c r="AD384" i="2" s="1"/>
  <c r="O380" i="2"/>
  <c r="O384" i="2" s="1"/>
  <c r="AH380" i="2"/>
  <c r="AH384" i="2" s="1"/>
  <c r="L380" i="2"/>
  <c r="L384" i="2" s="1"/>
  <c r="Q380" i="2"/>
  <c r="Q384" i="2" s="1"/>
  <c r="P380" i="2"/>
  <c r="P384" i="2" s="1"/>
  <c r="AN380" i="2"/>
  <c r="AN384" i="2" s="1"/>
  <c r="AL380" i="2"/>
  <c r="AL384" i="2" s="1"/>
  <c r="AE380" i="2"/>
  <c r="AE384" i="2" s="1"/>
  <c r="AI380" i="2"/>
  <c r="AI384" i="2" s="1"/>
  <c r="AK380" i="2"/>
  <c r="AK384" i="2" s="1"/>
  <c r="R380" i="2"/>
  <c r="R384" i="2" s="1"/>
  <c r="U380" i="2"/>
  <c r="U384" i="2" s="1"/>
  <c r="AP380" i="2"/>
  <c r="AP384" i="2" s="1"/>
  <c r="AG380" i="2"/>
  <c r="AG384" i="2" s="1"/>
  <c r="AQ341" i="2"/>
  <c r="AQ372" i="2" s="1"/>
  <c r="AN92" i="17"/>
  <c r="AN17" i="16"/>
  <c r="AN435" i="2"/>
  <c r="AN437" i="2" s="1"/>
  <c r="AN440" i="2" s="1"/>
  <c r="AN454" i="2" s="1"/>
  <c r="AN138" i="17"/>
  <c r="AO435" i="2"/>
  <c r="AO437" i="2" s="1"/>
  <c r="AO440" i="2" s="1"/>
  <c r="AQ710" i="2"/>
  <c r="AQ379" i="2"/>
  <c r="AQ55" i="17"/>
  <c r="AR321" i="2"/>
  <c r="AR323" i="2" s="1"/>
  <c r="AS239" i="2"/>
  <c r="AS357" i="2" s="1"/>
  <c r="AS358" i="2" s="1"/>
  <c r="AS238" i="2"/>
  <c r="AS353" i="2" s="1"/>
  <c r="AS354" i="2" s="1"/>
  <c r="AS236" i="2"/>
  <c r="AS345" i="2" s="1"/>
  <c r="AS346" i="2" s="1"/>
  <c r="AS240" i="2"/>
  <c r="AS361" i="2" s="1"/>
  <c r="AS362" i="2" s="1"/>
  <c r="AS237" i="2"/>
  <c r="AS349" i="2" s="1"/>
  <c r="AS350" i="2" s="1"/>
  <c r="AR240" i="2"/>
  <c r="AR361" i="2" s="1"/>
  <c r="AR362" i="2" s="1"/>
  <c r="AR239" i="2"/>
  <c r="AR357" i="2" s="1"/>
  <c r="AR358" i="2" s="1"/>
  <c r="AR236" i="2"/>
  <c r="AR345" i="2" s="1"/>
  <c r="AR346" i="2" s="1"/>
  <c r="AR238" i="2"/>
  <c r="AR353" i="2" s="1"/>
  <c r="AR354" i="2" s="1"/>
  <c r="AR237" i="2"/>
  <c r="AR349" i="2" s="1"/>
  <c r="AR350" i="2" s="1"/>
  <c r="AF609" i="2"/>
  <c r="AM610" i="2" s="1"/>
  <c r="AF597" i="2"/>
  <c r="AF624" i="2" s="1"/>
  <c r="AF595" i="2"/>
  <c r="AG590" i="2" s="1"/>
  <c r="AG593" i="2" s="1"/>
  <c r="AG597" i="2" s="1"/>
  <c r="AG624" i="2" s="1"/>
  <c r="AC14" i="16"/>
  <c r="AC710" i="2"/>
  <c r="AC727" i="2" s="1"/>
  <c r="AC732" i="2" s="1"/>
  <c r="AC740" i="2" s="1"/>
  <c r="AC745" i="2" s="1"/>
  <c r="K710" i="2"/>
  <c r="K14" i="16"/>
  <c r="K379" i="2"/>
  <c r="K55" i="17"/>
  <c r="M55" i="17"/>
  <c r="M379" i="2"/>
  <c r="M14" i="16"/>
  <c r="M710" i="2"/>
  <c r="AO14" i="16"/>
  <c r="S379" i="2"/>
  <c r="S55" i="17"/>
  <c r="S710" i="2"/>
  <c r="S14" i="16"/>
  <c r="T710" i="2"/>
  <c r="T14" i="16"/>
  <c r="T379" i="2"/>
  <c r="T55" i="17"/>
  <c r="AO55" i="17"/>
  <c r="AC379" i="2"/>
  <c r="AJ55" i="17"/>
  <c r="AO379" i="2"/>
  <c r="AJ710" i="2"/>
  <c r="AJ727" i="2" s="1"/>
  <c r="AJ732" i="2" s="1"/>
  <c r="AJ736" i="2" s="1"/>
  <c r="AJ379" i="2"/>
  <c r="AJ14" i="16"/>
  <c r="AM14" i="16"/>
  <c r="AM55" i="17"/>
  <c r="AM710" i="2"/>
  <c r="AM379" i="2"/>
  <c r="AF55" i="17"/>
  <c r="AF710" i="2"/>
  <c r="AF727" i="2" s="1"/>
  <c r="AF732" i="2" s="1"/>
  <c r="AF379" i="2"/>
  <c r="AB379" i="2"/>
  <c r="AB55" i="17"/>
  <c r="AB14" i="16"/>
  <c r="AA710" i="2"/>
  <c r="AA727" i="2" s="1"/>
  <c r="AA732" i="2" s="1"/>
  <c r="AA736" i="2" s="1"/>
  <c r="AA379" i="2"/>
  <c r="AA55" i="17"/>
  <c r="AD736" i="2"/>
  <c r="AI736" i="2"/>
  <c r="AG736" i="2"/>
  <c r="AE736" i="2"/>
  <c r="AB736" i="2"/>
  <c r="AB740" i="2"/>
  <c r="AB745" i="2" s="1"/>
  <c r="AK736" i="2"/>
  <c r="AH736" i="2"/>
  <c r="K480" i="7"/>
  <c r="Q335" i="7"/>
  <c r="Q336" i="7" s="1"/>
  <c r="P339" i="7"/>
  <c r="AQ366" i="2"/>
  <c r="AA294" i="7"/>
  <c r="AA297" i="7" s="1"/>
  <c r="Z299" i="7"/>
  <c r="Z302" i="7" s="1"/>
  <c r="O494" i="7"/>
  <c r="O354" i="7"/>
  <c r="O355" i="7" s="1"/>
  <c r="O451" i="7" s="1"/>
  <c r="O454" i="7" s="1"/>
  <c r="AQ368" i="2"/>
  <c r="AS340" i="2"/>
  <c r="I331" i="2"/>
  <c r="AQ365" i="2"/>
  <c r="AR340" i="2"/>
  <c r="L480" i="7"/>
  <c r="L496" i="7" s="1"/>
  <c r="L498" i="7" s="1"/>
  <c r="L502" i="7" s="1"/>
  <c r="AQ364" i="2"/>
  <c r="Q280" i="7"/>
  <c r="Q283" i="7" s="1"/>
  <c r="Q301" i="7" s="1"/>
  <c r="Q303" i="7" s="1"/>
  <c r="M495" i="7"/>
  <c r="M475" i="7"/>
  <c r="M476" i="7" s="1"/>
  <c r="V519" i="7"/>
  <c r="V520" i="7" s="1"/>
  <c r="V260" i="7"/>
  <c r="V268" i="7" s="1"/>
  <c r="V184" i="7"/>
  <c r="V185" i="7" s="1"/>
  <c r="W58" i="7"/>
  <c r="N451" i="7"/>
  <c r="N454" i="7" s="1"/>
  <c r="AS339" i="2"/>
  <c r="U269" i="7"/>
  <c r="U270" i="7"/>
  <c r="AQ367" i="2"/>
  <c r="AR339" i="2"/>
  <c r="AP369" i="2"/>
  <c r="AP373" i="2" s="1"/>
  <c r="AP375" i="2" s="1"/>
  <c r="AP383" i="2" s="1"/>
  <c r="T619" i="2" l="1"/>
  <c r="U615" i="2" s="1"/>
  <c r="T644" i="2"/>
  <c r="T775" i="2" s="1"/>
  <c r="AS55" i="17"/>
  <c r="AS14" i="16"/>
  <c r="AS379" i="2"/>
  <c r="AS380" i="2" s="1"/>
  <c r="AS384" i="2" s="1"/>
  <c r="AS710" i="2"/>
  <c r="U621" i="2"/>
  <c r="U625" i="2" s="1"/>
  <c r="U626" i="2" s="1"/>
  <c r="U640" i="2" s="1"/>
  <c r="U617" i="2"/>
  <c r="V613" i="2"/>
  <c r="W608" i="2"/>
  <c r="W611" i="2" s="1"/>
  <c r="AK58" i="16"/>
  <c r="AJ932" i="2"/>
  <c r="AJ1021" i="2" s="1"/>
  <c r="AJ1134" i="2" s="1"/>
  <c r="AJ79" i="16" s="1"/>
  <c r="AL911" i="2"/>
  <c r="AJ46" i="16"/>
  <c r="AJ148" i="17"/>
  <c r="AL420" i="7"/>
  <c r="AL425" i="7" s="1"/>
  <c r="AK918" i="2"/>
  <c r="AK761" i="2"/>
  <c r="M380" i="2"/>
  <c r="M384" i="2" s="1"/>
  <c r="AJ380" i="2"/>
  <c r="S380" i="2"/>
  <c r="S384" i="2" s="1"/>
  <c r="AO380" i="2"/>
  <c r="AB380" i="2"/>
  <c r="AA380" i="2"/>
  <c r="AM380" i="2"/>
  <c r="AF380" i="2"/>
  <c r="AF384" i="2" s="1"/>
  <c r="T380" i="2"/>
  <c r="T384" i="2" s="1"/>
  <c r="AC380" i="2"/>
  <c r="AC384" i="2" s="1"/>
  <c r="AQ380" i="2"/>
  <c r="AQ384" i="2" s="1"/>
  <c r="K380" i="2"/>
  <c r="K384" i="2" s="1"/>
  <c r="AN448" i="2"/>
  <c r="AR341" i="2"/>
  <c r="AR372" i="2" s="1"/>
  <c r="AO396" i="2"/>
  <c r="AO1039" i="2" s="1"/>
  <c r="AS341" i="2"/>
  <c r="AS372" i="2" s="1"/>
  <c r="AO138" i="17"/>
  <c r="AO92" i="17"/>
  <c r="AO17" i="16"/>
  <c r="P397" i="2"/>
  <c r="P1040" i="2" s="1"/>
  <c r="AP17" i="16"/>
  <c r="R18" i="16"/>
  <c r="O397" i="2"/>
  <c r="O1040" i="2" s="1"/>
  <c r="AG93" i="17"/>
  <c r="AR710" i="2"/>
  <c r="AR14" i="16"/>
  <c r="AG594" i="2"/>
  <c r="AG602" i="2" s="1"/>
  <c r="AG603" i="2" s="1"/>
  <c r="AG616" i="2" s="1"/>
  <c r="AR379" i="2"/>
  <c r="AR55" i="17"/>
  <c r="AC736" i="2"/>
  <c r="Q18" i="16"/>
  <c r="AD18" i="16"/>
  <c r="U93" i="17"/>
  <c r="L18" i="16"/>
  <c r="AL397" i="2"/>
  <c r="AL1040" i="2" s="1"/>
  <c r="AH444" i="2"/>
  <c r="AH446" i="2" s="1"/>
  <c r="AE139" i="17"/>
  <c r="AI397" i="2"/>
  <c r="AI1040" i="2" s="1"/>
  <c r="AP93" i="17"/>
  <c r="AK444" i="2"/>
  <c r="AK446" i="2" s="1"/>
  <c r="AN18" i="16"/>
  <c r="AF736" i="2"/>
  <c r="AC752" i="2"/>
  <c r="AC753" i="2" s="1"/>
  <c r="AC746" i="2"/>
  <c r="AC777" i="2" s="1"/>
  <c r="AB752" i="2"/>
  <c r="AB753" i="2" s="1"/>
  <c r="AB746" i="2"/>
  <c r="AB777" i="2" s="1"/>
  <c r="U271" i="7"/>
  <c r="U276" i="7" s="1"/>
  <c r="U278" i="7" s="1"/>
  <c r="U279" i="7" s="1"/>
  <c r="Q281" i="7"/>
  <c r="R277" i="7" s="1"/>
  <c r="R280" i="7" s="1"/>
  <c r="R283" i="7" s="1"/>
  <c r="R301" i="7" s="1"/>
  <c r="R303" i="7" s="1"/>
  <c r="AS367" i="2"/>
  <c r="I358" i="2"/>
  <c r="Q339" i="7"/>
  <c r="R335" i="7"/>
  <c r="R336" i="7" s="1"/>
  <c r="K496" i="7"/>
  <c r="K498" i="7" s="1"/>
  <c r="AS368" i="2"/>
  <c r="I362" i="2"/>
  <c r="AA299" i="7"/>
  <c r="AA302" i="7" s="1"/>
  <c r="AB294" i="7"/>
  <c r="AB297" i="7" s="1"/>
  <c r="AS364" i="2"/>
  <c r="I346" i="2"/>
  <c r="I339" i="2"/>
  <c r="AS365" i="2"/>
  <c r="I350" i="2"/>
  <c r="AR367" i="2"/>
  <c r="AO454" i="2"/>
  <c r="AO448" i="2"/>
  <c r="X58" i="7"/>
  <c r="W260" i="7"/>
  <c r="W268" i="7" s="1"/>
  <c r="W184" i="7"/>
  <c r="W185" i="7" s="1"/>
  <c r="W519" i="7"/>
  <c r="W520" i="7" s="1"/>
  <c r="AS366" i="2"/>
  <c r="I354" i="2"/>
  <c r="I340" i="2"/>
  <c r="AR364" i="2"/>
  <c r="M480" i="7"/>
  <c r="M496" i="7" s="1"/>
  <c r="M498" i="7" s="1"/>
  <c r="M502" i="7" s="1"/>
  <c r="AR368" i="2"/>
  <c r="V270" i="7"/>
  <c r="V269" i="7"/>
  <c r="AQ369" i="2"/>
  <c r="AQ373" i="2" s="1"/>
  <c r="AQ375" i="2" s="1"/>
  <c r="AQ383" i="2" s="1"/>
  <c r="L482" i="7"/>
  <c r="L503" i="7" s="1"/>
  <c r="L506" i="7" s="1"/>
  <c r="O466" i="7"/>
  <c r="O467" i="7" s="1"/>
  <c r="O473" i="7"/>
  <c r="AR366" i="2"/>
  <c r="N473" i="7"/>
  <c r="N466" i="7"/>
  <c r="N467" i="7" s="1"/>
  <c r="AR365" i="2"/>
  <c r="P494" i="7"/>
  <c r="P354" i="7"/>
  <c r="P355" i="7" s="1"/>
  <c r="K482" i="7"/>
  <c r="U619" i="2" l="1"/>
  <c r="V615" i="2" s="1"/>
  <c r="U644" i="2"/>
  <c r="U775" i="2" s="1"/>
  <c r="X608" i="2"/>
  <c r="X611" i="2" s="1"/>
  <c r="W613" i="2"/>
  <c r="V621" i="2"/>
  <c r="V625" i="2" s="1"/>
  <c r="V626" i="2" s="1"/>
  <c r="V640" i="2" s="1"/>
  <c r="V617" i="2"/>
  <c r="V619" i="2" s="1"/>
  <c r="W615" i="2" s="1"/>
  <c r="AL924" i="2"/>
  <c r="AL925" i="2" s="1"/>
  <c r="AL58" i="16" s="1"/>
  <c r="AL929" i="2"/>
  <c r="AL912" i="2"/>
  <c r="AM907" i="2" s="1"/>
  <c r="AM908" i="2" s="1"/>
  <c r="AK1096" i="2"/>
  <c r="AK931" i="2"/>
  <c r="AK1006" i="2"/>
  <c r="AS93" i="17"/>
  <c r="AM444" i="2"/>
  <c r="AM446" i="2" s="1"/>
  <c r="AM458" i="2" s="1"/>
  <c r="AM384" i="2"/>
  <c r="AA444" i="2"/>
  <c r="AA446" i="2" s="1"/>
  <c r="AA458" i="2" s="1"/>
  <c r="AA384" i="2"/>
  <c r="AB93" i="17"/>
  <c r="AB384" i="2"/>
  <c r="AB385" i="2" s="1"/>
  <c r="AO444" i="2"/>
  <c r="AO446" i="2" s="1"/>
  <c r="AO449" i="2" s="1"/>
  <c r="AO450" i="2" s="1"/>
  <c r="AO45" i="14" s="1"/>
  <c r="AO46" i="14" s="1"/>
  <c r="AO384" i="2"/>
  <c r="AJ139" i="17"/>
  <c r="AJ384" i="2"/>
  <c r="AR380" i="2"/>
  <c r="AR384" i="2" s="1"/>
  <c r="AC385" i="2"/>
  <c r="AK385" i="2"/>
  <c r="AK19" i="16" s="1"/>
  <c r="N385" i="2"/>
  <c r="L385" i="2"/>
  <c r="L1041" i="2" s="1"/>
  <c r="Q385" i="2"/>
  <c r="Q19" i="16" s="1"/>
  <c r="AH385" i="2"/>
  <c r="AH398" i="2" s="1"/>
  <c r="P385" i="2"/>
  <c r="P800" i="2" s="1"/>
  <c r="AD385" i="2"/>
  <c r="R385" i="2"/>
  <c r="R800" i="2" s="1"/>
  <c r="AP385" i="2"/>
  <c r="AP1041" i="2" s="1"/>
  <c r="O385" i="2"/>
  <c r="AN385" i="2"/>
  <c r="AN1041" i="2" s="1"/>
  <c r="AI385" i="2"/>
  <c r="AI800" i="2" s="1"/>
  <c r="AE385" i="2"/>
  <c r="AE19" i="16" s="1"/>
  <c r="AG385" i="2"/>
  <c r="AG800" i="2" s="1"/>
  <c r="AL385" i="2"/>
  <c r="AL1041" i="2" s="1"/>
  <c r="U385" i="2"/>
  <c r="U800" i="2" s="1"/>
  <c r="AF385" i="2"/>
  <c r="P444" i="2"/>
  <c r="P446" i="2" s="1"/>
  <c r="P458" i="2" s="1"/>
  <c r="AP92" i="17"/>
  <c r="AP396" i="2"/>
  <c r="AP1039" i="2" s="1"/>
  <c r="AP435" i="2"/>
  <c r="AP437" i="2" s="1"/>
  <c r="AP440" i="2" s="1"/>
  <c r="AP448" i="2" s="1"/>
  <c r="AP138" i="17"/>
  <c r="P93" i="17"/>
  <c r="P18" i="16"/>
  <c r="P139" i="17"/>
  <c r="AG397" i="2"/>
  <c r="AG1040" i="2" s="1"/>
  <c r="AQ17" i="16"/>
  <c r="AG18" i="16"/>
  <c r="R93" i="17"/>
  <c r="R397" i="2"/>
  <c r="R1040" i="2" s="1"/>
  <c r="R444" i="2"/>
  <c r="R446" i="2" s="1"/>
  <c r="R458" i="2" s="1"/>
  <c r="R139" i="17"/>
  <c r="O93" i="17"/>
  <c r="O139" i="17"/>
  <c r="O18" i="16"/>
  <c r="O444" i="2"/>
  <c r="O446" i="2" s="1"/>
  <c r="O449" i="2" s="1"/>
  <c r="AG444" i="2"/>
  <c r="AG446" i="2" s="1"/>
  <c r="AG458" i="2" s="1"/>
  <c r="AG139" i="17"/>
  <c r="AC444" i="2"/>
  <c r="AC446" i="2" s="1"/>
  <c r="AC449" i="2" s="1"/>
  <c r="AC450" i="2" s="1"/>
  <c r="AC45" i="14" s="1"/>
  <c r="AC46" i="14" s="1"/>
  <c r="J736" i="2"/>
  <c r="AG595" i="2"/>
  <c r="AH590" i="2" s="1"/>
  <c r="AH593" i="2" s="1"/>
  <c r="AH597" i="2" s="1"/>
  <c r="AH624" i="2" s="1"/>
  <c r="AG609" i="2"/>
  <c r="AN610" i="2" s="1"/>
  <c r="AS444" i="2"/>
  <c r="AS446" i="2" s="1"/>
  <c r="AS449" i="2" s="1"/>
  <c r="AD139" i="17"/>
  <c r="AD444" i="2"/>
  <c r="AD446" i="2" s="1"/>
  <c r="AD458" i="2" s="1"/>
  <c r="AD93" i="17"/>
  <c r="AD397" i="2"/>
  <c r="AD1040" i="2" s="1"/>
  <c r="Q93" i="17"/>
  <c r="Q397" i="2"/>
  <c r="Q1040" i="2" s="1"/>
  <c r="Q444" i="2"/>
  <c r="Q446" i="2" s="1"/>
  <c r="Q449" i="2" s="1"/>
  <c r="U18" i="16"/>
  <c r="U139" i="17"/>
  <c r="Q139" i="17"/>
  <c r="U444" i="2"/>
  <c r="U446" i="2" s="1"/>
  <c r="U449" i="2" s="1"/>
  <c r="L139" i="17"/>
  <c r="AO93" i="17"/>
  <c r="U397" i="2"/>
  <c r="U1040" i="2" s="1"/>
  <c r="S444" i="2"/>
  <c r="S446" i="2" s="1"/>
  <c r="AS139" i="17"/>
  <c r="AS18" i="16"/>
  <c r="AS397" i="2"/>
  <c r="AS1040" i="2" s="1"/>
  <c r="AN444" i="2"/>
  <c r="AN446" i="2" s="1"/>
  <c r="AN449" i="2" s="1"/>
  <c r="AN450" i="2" s="1"/>
  <c r="AN45" i="14" s="1"/>
  <c r="AN46" i="14" s="1"/>
  <c r="AH397" i="2"/>
  <c r="AH1040" i="2" s="1"/>
  <c r="AO397" i="2"/>
  <c r="AO1040" i="2" s="1"/>
  <c r="AO139" i="17"/>
  <c r="L397" i="2"/>
  <c r="L1040" i="2" s="1"/>
  <c r="L93" i="17"/>
  <c r="AJ444" i="2"/>
  <c r="AJ446" i="2" s="1"/>
  <c r="AJ458" i="2" s="1"/>
  <c r="AP18" i="16"/>
  <c r="AP139" i="17"/>
  <c r="AL444" i="2"/>
  <c r="AL446" i="2" s="1"/>
  <c r="AL449" i="2" s="1"/>
  <c r="AL450" i="2" s="1"/>
  <c r="AL45" i="14" s="1"/>
  <c r="AL46" i="14" s="1"/>
  <c r="AL139" i="17"/>
  <c r="AL93" i="17"/>
  <c r="L444" i="2"/>
  <c r="L446" i="2" s="1"/>
  <c r="L458" i="2" s="1"/>
  <c r="AH18" i="16"/>
  <c r="AB139" i="17"/>
  <c r="AH139" i="17"/>
  <c r="AJ93" i="17"/>
  <c r="I736" i="2"/>
  <c r="AO18" i="16"/>
  <c r="AB444" i="2"/>
  <c r="AB446" i="2" s="1"/>
  <c r="AB449" i="2" s="1"/>
  <c r="AB450" i="2" s="1"/>
  <c r="AB45" i="14" s="1"/>
  <c r="AB46" i="14" s="1"/>
  <c r="AH93" i="17"/>
  <c r="AI18" i="16"/>
  <c r="AN139" i="17"/>
  <c r="AI139" i="17"/>
  <c r="AN397" i="2"/>
  <c r="AN1040" i="2" s="1"/>
  <c r="AN93" i="17"/>
  <c r="AJ18" i="16"/>
  <c r="T18" i="16"/>
  <c r="AI93" i="17"/>
  <c r="AJ397" i="2"/>
  <c r="AJ1040" i="2" s="1"/>
  <c r="AP444" i="2"/>
  <c r="AP446" i="2" s="1"/>
  <c r="AP458" i="2" s="1"/>
  <c r="AL18" i="16"/>
  <c r="AE444" i="2"/>
  <c r="AE446" i="2" s="1"/>
  <c r="AE458" i="2" s="1"/>
  <c r="AB18" i="16"/>
  <c r="AP397" i="2"/>
  <c r="AP1040" i="2" s="1"/>
  <c r="AI444" i="2"/>
  <c r="AI446" i="2" s="1"/>
  <c r="AI458" i="2" s="1"/>
  <c r="M93" i="17"/>
  <c r="AK139" i="17"/>
  <c r="AF93" i="17"/>
  <c r="AF139" i="17"/>
  <c r="AF397" i="2"/>
  <c r="AF1040" i="2" s="1"/>
  <c r="AF444" i="2"/>
  <c r="AF446" i="2" s="1"/>
  <c r="AF458" i="2" s="1"/>
  <c r="AF18" i="16"/>
  <c r="AE18" i="16"/>
  <c r="AK397" i="2"/>
  <c r="AK1040" i="2" s="1"/>
  <c r="AB397" i="2"/>
  <c r="AB1040" i="2" s="1"/>
  <c r="AE397" i="2"/>
  <c r="AE1040" i="2" s="1"/>
  <c r="AK18" i="16"/>
  <c r="AE93" i="17"/>
  <c r="AK93" i="17"/>
  <c r="N444" i="2"/>
  <c r="N446" i="2" s="1"/>
  <c r="N139" i="17"/>
  <c r="N397" i="2"/>
  <c r="N1040" i="2" s="1"/>
  <c r="N93" i="17"/>
  <c r="N18" i="16"/>
  <c r="AM93" i="17"/>
  <c r="AM397" i="2"/>
  <c r="AM1040" i="2" s="1"/>
  <c r="AM139" i="17"/>
  <c r="AM18" i="16"/>
  <c r="AA18" i="16"/>
  <c r="AA93" i="17"/>
  <c r="AA139" i="17"/>
  <c r="AA397" i="2"/>
  <c r="AA1040" i="2" s="1"/>
  <c r="F1070" i="2" s="1" a="1"/>
  <c r="F1070" i="2" s="1"/>
  <c r="C132" i="18" s="1"/>
  <c r="AB1002" i="2"/>
  <c r="AB1092" i="2"/>
  <c r="AB809" i="2"/>
  <c r="AH458" i="2"/>
  <c r="AH449" i="2"/>
  <c r="AH450" i="2" s="1"/>
  <c r="AH45" i="14" s="1"/>
  <c r="AH46" i="14" s="1"/>
  <c r="AK458" i="2"/>
  <c r="AK449" i="2"/>
  <c r="AK450" i="2" s="1"/>
  <c r="AK45" i="14" s="1"/>
  <c r="AK46" i="14" s="1"/>
  <c r="AC809" i="2"/>
  <c r="AC1092" i="2"/>
  <c r="AC1002" i="2"/>
  <c r="I341" i="2"/>
  <c r="I372" i="2" s="1"/>
  <c r="V271" i="7"/>
  <c r="V276" i="7" s="1"/>
  <c r="V278" i="7" s="1"/>
  <c r="V279" i="7" s="1"/>
  <c r="AR369" i="2"/>
  <c r="AR373" i="2" s="1"/>
  <c r="AR375" i="2" s="1"/>
  <c r="AR383" i="2" s="1"/>
  <c r="AC294" i="7"/>
  <c r="AC297" i="7" s="1"/>
  <c r="AB299" i="7"/>
  <c r="AB302" i="7" s="1"/>
  <c r="K502" i="7"/>
  <c r="O495" i="7"/>
  <c r="O475" i="7"/>
  <c r="O476" i="7" s="1"/>
  <c r="R339" i="7"/>
  <c r="S335" i="7"/>
  <c r="S336" i="7" s="1"/>
  <c r="I368" i="2"/>
  <c r="Q354" i="7"/>
  <c r="Q355" i="7" s="1"/>
  <c r="Q451" i="7" s="1"/>
  <c r="Q454" i="7" s="1"/>
  <c r="Q494" i="7"/>
  <c r="P451" i="7"/>
  <c r="P454" i="7" s="1"/>
  <c r="W270" i="7"/>
  <c r="W269" i="7"/>
  <c r="N475" i="7"/>
  <c r="N476" i="7" s="1"/>
  <c r="N495" i="7"/>
  <c r="R281" i="7"/>
  <c r="S277" i="7" s="1"/>
  <c r="Y58" i="7"/>
  <c r="X519" i="7"/>
  <c r="X520" i="7" s="1"/>
  <c r="X184" i="7"/>
  <c r="X185" i="7" s="1"/>
  <c r="X260" i="7"/>
  <c r="X268" i="7" s="1"/>
  <c r="K503" i="7"/>
  <c r="I366" i="2"/>
  <c r="I365" i="2"/>
  <c r="I364" i="2"/>
  <c r="I367" i="2"/>
  <c r="AS369" i="2"/>
  <c r="M482" i="7"/>
  <c r="M503" i="7" s="1"/>
  <c r="M506" i="7" s="1"/>
  <c r="V644" i="2" l="1"/>
  <c r="V775" i="2" s="1"/>
  <c r="W617" i="2"/>
  <c r="W619" i="2" s="1"/>
  <c r="X615" i="2" s="1"/>
  <c r="W621" i="2"/>
  <c r="W625" i="2" s="1"/>
  <c r="W626" i="2" s="1"/>
  <c r="W640" i="2" s="1"/>
  <c r="X613" i="2"/>
  <c r="Y608" i="2"/>
  <c r="Y611" i="2" s="1"/>
  <c r="AL937" i="2"/>
  <c r="AK932" i="2"/>
  <c r="AK1021" i="2" s="1"/>
  <c r="AK1134" i="2" s="1"/>
  <c r="AK79" i="16" s="1"/>
  <c r="AM911" i="2"/>
  <c r="AL918" i="2"/>
  <c r="AL761" i="2"/>
  <c r="AM420" i="7"/>
  <c r="AM425" i="7" s="1"/>
  <c r="AK148" i="17"/>
  <c r="AK46" i="16"/>
  <c r="AM449" i="2"/>
  <c r="AM450" i="2" s="1"/>
  <c r="AS373" i="2"/>
  <c r="AS375" i="2" s="1"/>
  <c r="AS383" i="2" s="1"/>
  <c r="AS385" i="2" s="1"/>
  <c r="AJ385" i="2"/>
  <c r="AJ766" i="2" s="1"/>
  <c r="AM385" i="2"/>
  <c r="AM19" i="16" s="1"/>
  <c r="AA449" i="2"/>
  <c r="AA450" i="2" s="1"/>
  <c r="P449" i="2"/>
  <c r="AC1041" i="2"/>
  <c r="AO458" i="2"/>
  <c r="R19" i="16"/>
  <c r="R1041" i="2"/>
  <c r="AC398" i="2"/>
  <c r="AC766" i="2"/>
  <c r="AC800" i="2"/>
  <c r="R398" i="2"/>
  <c r="Q1041" i="2"/>
  <c r="AE398" i="2"/>
  <c r="Q766" i="2"/>
  <c r="R766" i="2"/>
  <c r="AP19" i="16"/>
  <c r="AE800" i="2"/>
  <c r="AE1041" i="2"/>
  <c r="AC19" i="16"/>
  <c r="N19" i="16"/>
  <c r="AP766" i="2"/>
  <c r="AP398" i="2"/>
  <c r="Q398" i="2"/>
  <c r="AP454" i="2"/>
  <c r="AE766" i="2"/>
  <c r="AP800" i="2"/>
  <c r="AK766" i="2"/>
  <c r="Q800" i="2"/>
  <c r="N766" i="2"/>
  <c r="O19" i="16"/>
  <c r="AN19" i="16"/>
  <c r="AL766" i="2"/>
  <c r="O398" i="2"/>
  <c r="AK800" i="2"/>
  <c r="N800" i="2"/>
  <c r="AH766" i="2"/>
  <c r="AL398" i="2"/>
  <c r="AN766" i="2"/>
  <c r="AN800" i="2"/>
  <c r="N1041" i="2"/>
  <c r="AH800" i="2"/>
  <c r="AK398" i="2"/>
  <c r="AH19" i="16"/>
  <c r="AK1041" i="2"/>
  <c r="AH1041" i="2"/>
  <c r="AG398" i="2"/>
  <c r="AG1041" i="2"/>
  <c r="L19" i="16"/>
  <c r="AG19" i="16"/>
  <c r="L800" i="2"/>
  <c r="L766" i="2"/>
  <c r="L398" i="2"/>
  <c r="O1041" i="2"/>
  <c r="AN398" i="2"/>
  <c r="P19" i="16"/>
  <c r="O766" i="2"/>
  <c r="N398" i="2"/>
  <c r="AI1041" i="2"/>
  <c r="U398" i="2"/>
  <c r="P398" i="2"/>
  <c r="U766" i="2"/>
  <c r="AL19" i="16"/>
  <c r="U19" i="16"/>
  <c r="AI766" i="2"/>
  <c r="AI19" i="16"/>
  <c r="AI398" i="2"/>
  <c r="U1041" i="2"/>
  <c r="AL800" i="2"/>
  <c r="P766" i="2"/>
  <c r="P1041" i="2"/>
  <c r="AD19" i="16"/>
  <c r="AD766" i="2"/>
  <c r="AD398" i="2"/>
  <c r="O800" i="2"/>
  <c r="AQ138" i="17"/>
  <c r="AD1041" i="2"/>
  <c r="S385" i="2"/>
  <c r="S1041" i="2" s="1"/>
  <c r="M385" i="2"/>
  <c r="M398" i="2" s="1"/>
  <c r="T385" i="2"/>
  <c r="AA385" i="2"/>
  <c r="AQ385" i="2"/>
  <c r="AQ398" i="2" s="1"/>
  <c r="AO385" i="2"/>
  <c r="AD800" i="2"/>
  <c r="AG766" i="2"/>
  <c r="K385" i="2"/>
  <c r="K766" i="2" s="1"/>
  <c r="AQ435" i="2"/>
  <c r="AQ437" i="2" s="1"/>
  <c r="AQ440" i="2" s="1"/>
  <c r="AQ448" i="2" s="1"/>
  <c r="AQ396" i="2"/>
  <c r="AQ1039" i="2" s="1"/>
  <c r="AR444" i="2"/>
  <c r="AR446" i="2" s="1"/>
  <c r="AR397" i="2"/>
  <c r="AR1040" i="2" s="1"/>
  <c r="AR18" i="16"/>
  <c r="AR93" i="17"/>
  <c r="AR139" i="17"/>
  <c r="AQ139" i="17"/>
  <c r="AQ93" i="17"/>
  <c r="AQ18" i="16"/>
  <c r="AQ444" i="2"/>
  <c r="AQ446" i="2" s="1"/>
  <c r="AQ397" i="2"/>
  <c r="AQ1040" i="2" s="1"/>
  <c r="AB800" i="2"/>
  <c r="AB19" i="16"/>
  <c r="AB398" i="2"/>
  <c r="AB766" i="2"/>
  <c r="AB1041" i="2"/>
  <c r="AF19" i="16"/>
  <c r="AF398" i="2"/>
  <c r="AF1041" i="2"/>
  <c r="AF800" i="2"/>
  <c r="AF766" i="2"/>
  <c r="AG449" i="2"/>
  <c r="AG450" i="2" s="1"/>
  <c r="AQ92" i="17"/>
  <c r="O458" i="2"/>
  <c r="AR17" i="16"/>
  <c r="R449" i="2"/>
  <c r="AC458" i="2"/>
  <c r="AC18" i="16"/>
  <c r="AC397" i="2"/>
  <c r="AC1040" i="2" s="1"/>
  <c r="AC139" i="17"/>
  <c r="AC93" i="17"/>
  <c r="AH594" i="2"/>
  <c r="AH595" i="2" s="1"/>
  <c r="AI590" i="2" s="1"/>
  <c r="AI593" i="2" s="1"/>
  <c r="AI597" i="2" s="1"/>
  <c r="AI624" i="2" s="1"/>
  <c r="AS458" i="2"/>
  <c r="AD449" i="2"/>
  <c r="AD450" i="2" s="1"/>
  <c r="Q458" i="2"/>
  <c r="AL458" i="2"/>
  <c r="L449" i="2"/>
  <c r="S139" i="17"/>
  <c r="S397" i="2"/>
  <c r="S1040" i="2" s="1"/>
  <c r="S93" i="17"/>
  <c r="S18" i="16"/>
  <c r="AN458" i="2"/>
  <c r="M18" i="16"/>
  <c r="AF449" i="2"/>
  <c r="AF450" i="2" s="1"/>
  <c r="AB458" i="2"/>
  <c r="T139" i="17"/>
  <c r="U458" i="2"/>
  <c r="T397" i="2"/>
  <c r="T1040" i="2" s="1"/>
  <c r="T444" i="2"/>
  <c r="T446" i="2" s="1"/>
  <c r="T449" i="2" s="1"/>
  <c r="I380" i="2"/>
  <c r="AJ449" i="2"/>
  <c r="AJ450" i="2" s="1"/>
  <c r="AE449" i="2"/>
  <c r="AE450" i="2" s="1"/>
  <c r="T93" i="17"/>
  <c r="AI449" i="2"/>
  <c r="AI450" i="2" s="1"/>
  <c r="AP449" i="2"/>
  <c r="AP450" i="2" s="1"/>
  <c r="M397" i="2"/>
  <c r="M1040" i="2" s="1"/>
  <c r="M139" i="17"/>
  <c r="M444" i="2"/>
  <c r="M446" i="2" s="1"/>
  <c r="M458" i="2" s="1"/>
  <c r="S458" i="2"/>
  <c r="S449" i="2"/>
  <c r="K397" i="2"/>
  <c r="K1040" i="2" s="1"/>
  <c r="K93" i="17"/>
  <c r="K444" i="2"/>
  <c r="K446" i="2" s="1"/>
  <c r="K18" i="16"/>
  <c r="K139" i="17"/>
  <c r="N449" i="2"/>
  <c r="N458" i="2"/>
  <c r="AO494" i="2"/>
  <c r="AO495" i="2" s="1"/>
  <c r="AO498" i="2" s="1"/>
  <c r="AO500" i="2" s="1"/>
  <c r="AO506" i="2" s="1"/>
  <c r="AO509" i="2" s="1"/>
  <c r="AO1089" i="2"/>
  <c r="AO38" i="14"/>
  <c r="AO773" i="2"/>
  <c r="AO804" i="2"/>
  <c r="AO999" i="2"/>
  <c r="AO39" i="16" s="1"/>
  <c r="AC773" i="2"/>
  <c r="AC38" i="14"/>
  <c r="AC804" i="2"/>
  <c r="AC1089" i="2"/>
  <c r="AC494" i="2"/>
  <c r="AC495" i="2" s="1"/>
  <c r="AC498" i="2" s="1"/>
  <c r="AC500" i="2" s="1"/>
  <c r="AC506" i="2" s="1"/>
  <c r="AC509" i="2" s="1"/>
  <c r="AC999" i="2"/>
  <c r="AC42" i="16"/>
  <c r="AC144" i="17"/>
  <c r="AN773" i="2"/>
  <c r="AN804" i="2"/>
  <c r="AN38" i="14"/>
  <c r="AN494" i="2"/>
  <c r="AN495" i="2" s="1"/>
  <c r="AN498" i="2" s="1"/>
  <c r="AN500" i="2" s="1"/>
  <c r="AN506" i="2" s="1"/>
  <c r="AN509" i="2" s="1"/>
  <c r="AN999" i="2"/>
  <c r="AN1089" i="2"/>
  <c r="AB494" i="2"/>
  <c r="AB495" i="2" s="1"/>
  <c r="AB498" i="2" s="1"/>
  <c r="AB500" i="2" s="1"/>
  <c r="AB506" i="2" s="1"/>
  <c r="AB509" i="2" s="1"/>
  <c r="AB38" i="14"/>
  <c r="AB804" i="2"/>
  <c r="AB773" i="2"/>
  <c r="AB999" i="2"/>
  <c r="AB1089" i="2"/>
  <c r="AH38" i="14"/>
  <c r="AH494" i="2"/>
  <c r="AH495" i="2" s="1"/>
  <c r="AH498" i="2" s="1"/>
  <c r="AH500" i="2" s="1"/>
  <c r="AH506" i="2" s="1"/>
  <c r="AH509" i="2" s="1"/>
  <c r="AH773" i="2"/>
  <c r="AH1089" i="2"/>
  <c r="AH999" i="2"/>
  <c r="AH804" i="2"/>
  <c r="AB42" i="16"/>
  <c r="AB144" i="17"/>
  <c r="AL38" i="14"/>
  <c r="AL999" i="2"/>
  <c r="AL1089" i="2"/>
  <c r="AL494" i="2"/>
  <c r="AL495" i="2" s="1"/>
  <c r="AL498" i="2" s="1"/>
  <c r="AL500" i="2" s="1"/>
  <c r="AL506" i="2" s="1"/>
  <c r="AL509" i="2" s="1"/>
  <c r="AL773" i="2"/>
  <c r="AL804" i="2"/>
  <c r="AK494" i="2"/>
  <c r="AK495" i="2" s="1"/>
  <c r="AK498" i="2" s="1"/>
  <c r="AK500" i="2" s="1"/>
  <c r="AK506" i="2" s="1"/>
  <c r="AK509" i="2" s="1"/>
  <c r="AK38" i="14"/>
  <c r="AK804" i="2"/>
  <c r="AK999" i="2"/>
  <c r="AK773" i="2"/>
  <c r="AK1089" i="2"/>
  <c r="O480" i="7"/>
  <c r="O496" i="7" s="1"/>
  <c r="O498" i="7" s="1"/>
  <c r="O502" i="7" s="1"/>
  <c r="I369" i="2"/>
  <c r="I373" i="2" s="1"/>
  <c r="X269" i="7"/>
  <c r="X270" i="7"/>
  <c r="T335" i="7"/>
  <c r="T336" i="7" s="1"/>
  <c r="S339" i="7"/>
  <c r="AD294" i="7"/>
  <c r="AD297" i="7" s="1"/>
  <c r="AC299" i="7"/>
  <c r="AC302" i="7" s="1"/>
  <c r="N480" i="7"/>
  <c r="R494" i="7"/>
  <c r="R354" i="7"/>
  <c r="R355" i="7" s="1"/>
  <c r="P466" i="7"/>
  <c r="P467" i="7" s="1"/>
  <c r="P473" i="7"/>
  <c r="Y184" i="7"/>
  <c r="Y185" i="7" s="1"/>
  <c r="Y519" i="7"/>
  <c r="Y520" i="7" s="1"/>
  <c r="Z58" i="7"/>
  <c r="Y260" i="7"/>
  <c r="Y268" i="7" s="1"/>
  <c r="S280" i="7"/>
  <c r="S283" i="7" s="1"/>
  <c r="S301" i="7" s="1"/>
  <c r="S303" i="7" s="1"/>
  <c r="W271" i="7"/>
  <c r="W276" i="7" s="1"/>
  <c r="W278" i="7" s="1"/>
  <c r="W279" i="7" s="1"/>
  <c r="Q466" i="7"/>
  <c r="Q467" i="7" s="1"/>
  <c r="Q473" i="7"/>
  <c r="K506" i="7"/>
  <c r="W644" i="2" l="1"/>
  <c r="W775" i="2" s="1"/>
  <c r="Y613" i="2"/>
  <c r="Z608" i="2"/>
  <c r="Z611" i="2" s="1"/>
  <c r="X621" i="2"/>
  <c r="X625" i="2" s="1"/>
  <c r="X626" i="2" s="1"/>
  <c r="X640" i="2" s="1"/>
  <c r="X617" i="2"/>
  <c r="X619" i="2" s="1"/>
  <c r="Y615" i="2" s="1"/>
  <c r="AM924" i="2"/>
  <c r="AM925" i="2" s="1"/>
  <c r="AM58" i="16" s="1"/>
  <c r="AM929" i="2"/>
  <c r="AM912" i="2"/>
  <c r="AN907" i="2" s="1"/>
  <c r="AN908" i="2" s="1"/>
  <c r="AL1006" i="2"/>
  <c r="AL1096" i="2"/>
  <c r="AL931" i="2"/>
  <c r="AD804" i="2"/>
  <c r="AD45" i="14"/>
  <c r="AD46" i="14" s="1"/>
  <c r="AA494" i="2"/>
  <c r="AA495" i="2" s="1"/>
  <c r="AA498" i="2" s="1"/>
  <c r="AA500" i="2" s="1"/>
  <c r="AA506" i="2" s="1"/>
  <c r="AA509" i="2" s="1"/>
  <c r="AA45" i="14"/>
  <c r="AA46" i="14" s="1"/>
  <c r="AA50" i="14" s="1"/>
  <c r="AJ773" i="2"/>
  <c r="AJ45" i="14"/>
  <c r="AJ46" i="14" s="1"/>
  <c r="AP494" i="2"/>
  <c r="AP495" i="2" s="1"/>
  <c r="AP498" i="2" s="1"/>
  <c r="AP500" i="2" s="1"/>
  <c r="AP506" i="2" s="1"/>
  <c r="AP509" i="2" s="1"/>
  <c r="AP45" i="14"/>
  <c r="AP46" i="14" s="1"/>
  <c r="AI38" i="14"/>
  <c r="AI45" i="14"/>
  <c r="AI46" i="14" s="1"/>
  <c r="AG804" i="2"/>
  <c r="AG45" i="14"/>
  <c r="AG46" i="14" s="1"/>
  <c r="AM999" i="2"/>
  <c r="AM39" i="16" s="1"/>
  <c r="AM45" i="14"/>
  <c r="AM46" i="14" s="1"/>
  <c r="AE1089" i="2"/>
  <c r="AE45" i="14"/>
  <c r="AE46" i="14" s="1"/>
  <c r="AF494" i="2"/>
  <c r="AF495" i="2" s="1"/>
  <c r="AF498" i="2" s="1"/>
  <c r="AF500" i="2" s="1"/>
  <c r="AF506" i="2" s="1"/>
  <c r="AF509" i="2" s="1"/>
  <c r="AF45" i="14"/>
  <c r="AF46" i="14" s="1"/>
  <c r="AM494" i="2"/>
  <c r="AM495" i="2" s="1"/>
  <c r="AM498" i="2" s="1"/>
  <c r="AM500" i="2" s="1"/>
  <c r="AM506" i="2" s="1"/>
  <c r="AM509" i="2" s="1"/>
  <c r="AM38" i="14"/>
  <c r="AM1089" i="2"/>
  <c r="AM773" i="2"/>
  <c r="AM804" i="2"/>
  <c r="AA999" i="2"/>
  <c r="AA142" i="17" s="1"/>
  <c r="AA38" i="14"/>
  <c r="AA39" i="14" s="1"/>
  <c r="AJ1041" i="2"/>
  <c r="AJ398" i="2"/>
  <c r="AJ800" i="2"/>
  <c r="AJ19" i="16"/>
  <c r="AJ488" i="2"/>
  <c r="AJ505" i="2" s="1"/>
  <c r="AM766" i="2"/>
  <c r="AM800" i="2"/>
  <c r="AM1041" i="2"/>
  <c r="AM488" i="2"/>
  <c r="AM505" i="2" s="1"/>
  <c r="AM398" i="2"/>
  <c r="AA773" i="2"/>
  <c r="AA1089" i="2"/>
  <c r="AA804" i="2"/>
  <c r="I444" i="2"/>
  <c r="I384" i="2"/>
  <c r="M800" i="2"/>
  <c r="M488" i="2"/>
  <c r="M505" i="2" s="1"/>
  <c r="M766" i="2"/>
  <c r="M19" i="16"/>
  <c r="AG488" i="2"/>
  <c r="AG505" i="2" s="1"/>
  <c r="S19" i="16"/>
  <c r="M1041" i="2"/>
  <c r="AC488" i="2"/>
  <c r="AC505" i="2" s="1"/>
  <c r="AC515" i="2" s="1"/>
  <c r="W488" i="2"/>
  <c r="W505" i="2" s="1"/>
  <c r="AO488" i="2"/>
  <c r="AO505" i="2" s="1"/>
  <c r="AO515" i="2" s="1"/>
  <c r="AH488" i="2"/>
  <c r="AH505" i="2" s="1"/>
  <c r="AH515" i="2" s="1"/>
  <c r="S800" i="2"/>
  <c r="AQ488" i="2"/>
  <c r="AQ505" i="2" s="1"/>
  <c r="AQ800" i="2"/>
  <c r="AQ1041" i="2"/>
  <c r="AK488" i="2"/>
  <c r="AK505" i="2" s="1"/>
  <c r="AK515" i="2" s="1"/>
  <c r="R488" i="2"/>
  <c r="R505" i="2" s="1"/>
  <c r="U488" i="2"/>
  <c r="U505" i="2" s="1"/>
  <c r="X488" i="2"/>
  <c r="X505" i="2" s="1"/>
  <c r="AA488" i="2"/>
  <c r="AA505" i="2" s="1"/>
  <c r="AA766" i="2"/>
  <c r="N488" i="2"/>
  <c r="N505" i="2" s="1"/>
  <c r="Z488" i="2"/>
  <c r="Z505" i="2" s="1"/>
  <c r="L488" i="2"/>
  <c r="L505" i="2" s="1"/>
  <c r="AI488" i="2"/>
  <c r="AI505" i="2" s="1"/>
  <c r="AL488" i="2"/>
  <c r="AL505" i="2" s="1"/>
  <c r="AL515" i="2" s="1"/>
  <c r="AP488" i="2"/>
  <c r="AP505" i="2" s="1"/>
  <c r="AF488" i="2"/>
  <c r="AF505" i="2" s="1"/>
  <c r="P488" i="2"/>
  <c r="P505" i="2" s="1"/>
  <c r="AA800" i="2"/>
  <c r="AE488" i="2"/>
  <c r="AE505" i="2" s="1"/>
  <c r="AA398" i="2"/>
  <c r="Q488" i="2"/>
  <c r="Q505" i="2" s="1"/>
  <c r="AD488" i="2"/>
  <c r="AD505" i="2" s="1"/>
  <c r="AA386" i="2"/>
  <c r="Y488" i="2"/>
  <c r="Y505" i="2" s="1"/>
  <c r="O488" i="2"/>
  <c r="O505" i="2" s="1"/>
  <c r="V488" i="2"/>
  <c r="V505" i="2" s="1"/>
  <c r="AA19" i="16"/>
  <c r="AN488" i="2"/>
  <c r="AN505" i="2" s="1"/>
  <c r="AN515" i="2" s="1"/>
  <c r="AA1041" i="2"/>
  <c r="F1071" i="2" s="1" a="1"/>
  <c r="F1071" i="2" s="1"/>
  <c r="C133" i="18" s="1"/>
  <c r="S398" i="2"/>
  <c r="AO800" i="2"/>
  <c r="AQ19" i="16"/>
  <c r="T19" i="16"/>
  <c r="S766" i="2"/>
  <c r="AQ454" i="2"/>
  <c r="T398" i="2"/>
  <c r="T1041" i="2"/>
  <c r="T766" i="2"/>
  <c r="T488" i="2"/>
  <c r="T505" i="2" s="1"/>
  <c r="T800" i="2"/>
  <c r="AR385" i="2"/>
  <c r="I385" i="2" s="1"/>
  <c r="I398" i="2" s="1"/>
  <c r="AO1041" i="2"/>
  <c r="AO766" i="2"/>
  <c r="AO398" i="2"/>
  <c r="S488" i="2"/>
  <c r="S505" i="2" s="1"/>
  <c r="AQ766" i="2"/>
  <c r="K19" i="16"/>
  <c r="K505" i="2"/>
  <c r="K398" i="2"/>
  <c r="K800" i="2"/>
  <c r="K1041" i="2"/>
  <c r="AB488" i="2"/>
  <c r="AB505" i="2" s="1"/>
  <c r="AB515" i="2" s="1"/>
  <c r="AO19" i="16"/>
  <c r="AR396" i="2"/>
  <c r="AR1039" i="2" s="1"/>
  <c r="AS800" i="2"/>
  <c r="AQ449" i="2"/>
  <c r="AQ450" i="2" s="1"/>
  <c r="AQ45" i="14" s="1"/>
  <c r="AQ46" i="14" s="1"/>
  <c r="AQ458" i="2"/>
  <c r="AR458" i="2"/>
  <c r="AR449" i="2"/>
  <c r="AG38" i="14"/>
  <c r="AG1089" i="2"/>
  <c r="AG999" i="2"/>
  <c r="AG39" i="16" s="1"/>
  <c r="AG773" i="2"/>
  <c r="AG494" i="2"/>
  <c r="AG495" i="2" s="1"/>
  <c r="AG498" i="2" s="1"/>
  <c r="AG500" i="2" s="1"/>
  <c r="AG506" i="2" s="1"/>
  <c r="AG509" i="2" s="1"/>
  <c r="AS766" i="2"/>
  <c r="AS19" i="16"/>
  <c r="AS488" i="2"/>
  <c r="AS398" i="2"/>
  <c r="AS1041" i="2"/>
  <c r="AR138" i="17"/>
  <c r="AR435" i="2"/>
  <c r="AR437" i="2" s="1"/>
  <c r="AR440" i="2" s="1"/>
  <c r="AR448" i="2" s="1"/>
  <c r="AR92" i="17"/>
  <c r="AD38" i="14"/>
  <c r="AH602" i="2"/>
  <c r="AH603" i="2" s="1"/>
  <c r="AH616" i="2" s="1"/>
  <c r="AI594" i="2"/>
  <c r="AI602" i="2" s="1"/>
  <c r="AI603" i="2" s="1"/>
  <c r="AI616" i="2" s="1"/>
  <c r="M1162" i="2" a="1"/>
  <c r="M1162" i="2" s="1"/>
  <c r="G1070" i="2"/>
  <c r="D132" i="18" s="1"/>
  <c r="AD999" i="2"/>
  <c r="AD142" i="17" s="1"/>
  <c r="AD1089" i="2"/>
  <c r="AD494" i="2"/>
  <c r="AD495" i="2" s="1"/>
  <c r="AD498" i="2" s="1"/>
  <c r="AD500" i="2" s="1"/>
  <c r="AD506" i="2" s="1"/>
  <c r="AD509" i="2" s="1"/>
  <c r="AD773" i="2"/>
  <c r="AF1089" i="2"/>
  <c r="T458" i="2"/>
  <c r="AJ804" i="2"/>
  <c r="AJ38" i="14"/>
  <c r="AJ1089" i="2"/>
  <c r="AJ494" i="2"/>
  <c r="AJ495" i="2" s="1"/>
  <c r="AJ498" i="2" s="1"/>
  <c r="AJ500" i="2" s="1"/>
  <c r="AJ506" i="2" s="1"/>
  <c r="AJ509" i="2" s="1"/>
  <c r="AJ999" i="2"/>
  <c r="AJ39" i="16" s="1"/>
  <c r="I139" i="17"/>
  <c r="AE38" i="14"/>
  <c r="L1162" i="2" a="1"/>
  <c r="L1162" i="2" s="1"/>
  <c r="N1162" i="2" a="1"/>
  <c r="N1162" i="2" s="1"/>
  <c r="AI1089" i="2"/>
  <c r="AI494" i="2"/>
  <c r="AI495" i="2" s="1"/>
  <c r="AI498" i="2" s="1"/>
  <c r="AI500" i="2" s="1"/>
  <c r="AI506" i="2" s="1"/>
  <c r="AI509" i="2" s="1"/>
  <c r="I397" i="2"/>
  <c r="I1040" i="2" s="1"/>
  <c r="I18" i="16"/>
  <c r="AI999" i="2"/>
  <c r="AI142" i="17" s="1"/>
  <c r="AI773" i="2"/>
  <c r="AI804" i="2"/>
  <c r="K1162" i="2"/>
  <c r="AF804" i="2"/>
  <c r="AF773" i="2"/>
  <c r="AF38" i="14"/>
  <c r="AF999" i="2"/>
  <c r="AF39" i="16" s="1"/>
  <c r="AE773" i="2"/>
  <c r="AE494" i="2"/>
  <c r="AE495" i="2" s="1"/>
  <c r="AE498" i="2" s="1"/>
  <c r="AE500" i="2" s="1"/>
  <c r="AE506" i="2" s="1"/>
  <c r="AE509" i="2" s="1"/>
  <c r="AE999" i="2"/>
  <c r="AE142" i="17" s="1"/>
  <c r="AE804" i="2"/>
  <c r="I93" i="17"/>
  <c r="M449" i="2"/>
  <c r="K449" i="2"/>
  <c r="K458" i="2"/>
  <c r="I446" i="2"/>
  <c r="AP773" i="2"/>
  <c r="AP38" i="14"/>
  <c r="AP1089" i="2"/>
  <c r="AP804" i="2"/>
  <c r="AP999" i="2"/>
  <c r="AP39" i="16" s="1"/>
  <c r="AO142" i="17"/>
  <c r="AB39" i="16"/>
  <c r="AB142" i="17"/>
  <c r="AN39" i="16"/>
  <c r="AN142" i="17"/>
  <c r="AK142" i="17"/>
  <c r="AK39" i="16"/>
  <c r="AL39" i="16"/>
  <c r="AL142" i="17"/>
  <c r="AC142" i="17"/>
  <c r="AC39" i="16"/>
  <c r="AH142" i="17"/>
  <c r="AH39" i="16"/>
  <c r="S281" i="7"/>
  <c r="T277" i="7" s="1"/>
  <c r="T280" i="7" s="1"/>
  <c r="T283" i="7" s="1"/>
  <c r="T301" i="7" s="1"/>
  <c r="T303" i="7" s="1"/>
  <c r="X271" i="7"/>
  <c r="X276" i="7" s="1"/>
  <c r="X278" i="7" s="1"/>
  <c r="X279" i="7" s="1"/>
  <c r="Z184" i="7"/>
  <c r="Z185" i="7" s="1"/>
  <c r="Z260" i="7"/>
  <c r="Z268" i="7" s="1"/>
  <c r="AA58" i="7"/>
  <c r="Z519" i="7"/>
  <c r="Z520" i="7" s="1"/>
  <c r="N496" i="7"/>
  <c r="N498" i="7" s="1"/>
  <c r="R451" i="7"/>
  <c r="R454" i="7" s="1"/>
  <c r="AE294" i="7"/>
  <c r="AE297" i="7" s="1"/>
  <c r="AD299" i="7"/>
  <c r="AD302" i="7" s="1"/>
  <c r="S354" i="7"/>
  <c r="S355" i="7" s="1"/>
  <c r="S451" i="7" s="1"/>
  <c r="S454" i="7" s="1"/>
  <c r="S494" i="7"/>
  <c r="Q475" i="7"/>
  <c r="Q476" i="7" s="1"/>
  <c r="Q495" i="7"/>
  <c r="U335" i="7"/>
  <c r="U336" i="7" s="1"/>
  <c r="T339" i="7"/>
  <c r="AS92" i="17"/>
  <c r="AS435" i="2"/>
  <c r="AS437" i="2" s="1"/>
  <c r="AS440" i="2" s="1"/>
  <c r="AS396" i="2"/>
  <c r="AS1039" i="2" s="1"/>
  <c r="AS17" i="16"/>
  <c r="AS138" i="17"/>
  <c r="I375" i="2"/>
  <c r="I383" i="2" s="1"/>
  <c r="P495" i="7"/>
  <c r="P475" i="7"/>
  <c r="P476" i="7" s="1"/>
  <c r="Y270" i="7"/>
  <c r="Y269" i="7"/>
  <c r="N482" i="7"/>
  <c r="O482" i="7"/>
  <c r="O503" i="7" s="1"/>
  <c r="O506" i="7" s="1"/>
  <c r="X644" i="2" l="1"/>
  <c r="X775" i="2" s="1"/>
  <c r="AA608" i="2"/>
  <c r="AA611" i="2" s="1"/>
  <c r="Z613" i="2"/>
  <c r="Y617" i="2"/>
  <c r="Y619" i="2" s="1"/>
  <c r="Z615" i="2" s="1"/>
  <c r="Y621" i="2"/>
  <c r="Y625" i="2" s="1"/>
  <c r="Y626" i="2" s="1"/>
  <c r="Y640" i="2" s="1"/>
  <c r="F53" i="14"/>
  <c r="AA61" i="14"/>
  <c r="AM937" i="2"/>
  <c r="AL932" i="2"/>
  <c r="AL1021" i="2" s="1"/>
  <c r="AL1134" i="2" s="1"/>
  <c r="AL79" i="16" s="1"/>
  <c r="AN911" i="2"/>
  <c r="AL46" i="16"/>
  <c r="AL148" i="17"/>
  <c r="AM918" i="2"/>
  <c r="AM761" i="2"/>
  <c r="Y271" i="7"/>
  <c r="Y276" i="7" s="1"/>
  <c r="Y278" i="7" s="1"/>
  <c r="Y279" i="7" s="1"/>
  <c r="AN420" i="7"/>
  <c r="AN425" i="7" s="1"/>
  <c r="AE515" i="2"/>
  <c r="AM515" i="2"/>
  <c r="AP515" i="2"/>
  <c r="W515" i="2"/>
  <c r="W518" i="2"/>
  <c r="AD515" i="2"/>
  <c r="Z515" i="2"/>
  <c r="Z518" i="2"/>
  <c r="AG515" i="2"/>
  <c r="AJ515" i="2"/>
  <c r="AI515" i="2"/>
  <c r="AA515" i="2"/>
  <c r="Y515" i="2"/>
  <c r="Y518" i="2"/>
  <c r="X515" i="2"/>
  <c r="X518" i="2"/>
  <c r="AF515" i="2"/>
  <c r="AM142" i="17"/>
  <c r="I50" i="14"/>
  <c r="I61" i="14" s="1"/>
  <c r="AA39" i="16"/>
  <c r="I766" i="2"/>
  <c r="I19" i="16"/>
  <c r="I800" i="2"/>
  <c r="I1041" i="2"/>
  <c r="AG142" i="17"/>
  <c r="AQ773" i="2"/>
  <c r="AQ999" i="2"/>
  <c r="AQ142" i="17" s="1"/>
  <c r="AQ804" i="2"/>
  <c r="AQ38" i="14"/>
  <c r="AQ1089" i="2"/>
  <c r="AQ494" i="2"/>
  <c r="AQ495" i="2" s="1"/>
  <c r="AQ498" i="2" s="1"/>
  <c r="AQ500" i="2" s="1"/>
  <c r="AQ506" i="2" s="1"/>
  <c r="AR450" i="2"/>
  <c r="AR766" i="2"/>
  <c r="AR398" i="2"/>
  <c r="AR1041" i="2"/>
  <c r="AR800" i="2"/>
  <c r="AR19" i="16"/>
  <c r="AR454" i="2"/>
  <c r="AI609" i="2"/>
  <c r="AP610" i="2" s="1"/>
  <c r="AI595" i="2"/>
  <c r="AJ590" i="2" s="1"/>
  <c r="AJ593" i="2" s="1"/>
  <c r="AJ597" i="2" s="1"/>
  <c r="AJ624" i="2" s="1"/>
  <c r="AH609" i="2"/>
  <c r="AO610" i="2" s="1"/>
  <c r="AD39" i="16"/>
  <c r="F401" i="2"/>
  <c r="AA404" i="2" s="1"/>
  <c r="AA408" i="2" s="1"/>
  <c r="AJ142" i="17"/>
  <c r="AI39" i="16"/>
  <c r="AF142" i="17"/>
  <c r="AE39" i="16"/>
  <c r="I458" i="2"/>
  <c r="I449" i="2"/>
  <c r="AP142" i="17"/>
  <c r="AL518" i="2"/>
  <c r="AL520" i="2" s="1"/>
  <c r="AC518" i="2"/>
  <c r="AC520" i="2" s="1"/>
  <c r="AO518" i="2"/>
  <c r="AO520" i="2" s="1"/>
  <c r="AK518" i="2"/>
  <c r="AK520" i="2" s="1"/>
  <c r="AH518" i="2"/>
  <c r="AH520" i="2" s="1"/>
  <c r="AB518" i="2"/>
  <c r="AB520" i="2" s="1"/>
  <c r="AN518" i="2"/>
  <c r="AN520" i="2" s="1"/>
  <c r="T281" i="7"/>
  <c r="U277" i="7" s="1"/>
  <c r="U280" i="7" s="1"/>
  <c r="U283" i="7" s="1"/>
  <c r="U301" i="7" s="1"/>
  <c r="U303" i="7" s="1"/>
  <c r="P480" i="7"/>
  <c r="Q480" i="7"/>
  <c r="Q496" i="7" s="1"/>
  <c r="Q498" i="7" s="1"/>
  <c r="Q502" i="7" s="1"/>
  <c r="N503" i="7"/>
  <c r="AS505" i="2"/>
  <c r="G1069" i="2"/>
  <c r="D131" i="18" s="1"/>
  <c r="L1161" i="2" a="1"/>
  <c r="L1161" i="2" s="1"/>
  <c r="N1161" i="2" a="1"/>
  <c r="N1161" i="2" s="1"/>
  <c r="M1161" i="2" a="1"/>
  <c r="M1161" i="2" s="1"/>
  <c r="K1161" i="2"/>
  <c r="S473" i="7"/>
  <c r="S466" i="7"/>
  <c r="S467" i="7" s="1"/>
  <c r="AF294" i="7"/>
  <c r="AF297" i="7" s="1"/>
  <c r="AE299" i="7"/>
  <c r="AE302" i="7" s="1"/>
  <c r="AS454" i="2"/>
  <c r="AS448" i="2"/>
  <c r="AS450" i="2" s="1"/>
  <c r="AS45" i="14" s="1"/>
  <c r="AS46" i="14" s="1"/>
  <c r="N502" i="7"/>
  <c r="R473" i="7"/>
  <c r="R466" i="7"/>
  <c r="R467" i="7" s="1"/>
  <c r="T494" i="7"/>
  <c r="T354" i="7"/>
  <c r="T355" i="7" s="1"/>
  <c r="T451" i="7" s="1"/>
  <c r="T454" i="7" s="1"/>
  <c r="AB58" i="7"/>
  <c r="AA519" i="7"/>
  <c r="AA520" i="7" s="1"/>
  <c r="AA260" i="7"/>
  <c r="AA268" i="7" s="1"/>
  <c r="AA184" i="7"/>
  <c r="AA185" i="7" s="1"/>
  <c r="U339" i="7"/>
  <c r="V335" i="7"/>
  <c r="V336" i="7" s="1"/>
  <c r="Z269" i="7"/>
  <c r="Z270" i="7"/>
  <c r="I17" i="16"/>
  <c r="I435" i="2"/>
  <c r="I396" i="2"/>
  <c r="I92" i="17"/>
  <c r="I138" i="17"/>
  <c r="Y644" i="2" l="1"/>
  <c r="Y775" i="2" s="1"/>
  <c r="AQ509" i="2"/>
  <c r="AQ515" i="2" s="1"/>
  <c r="Z621" i="2"/>
  <c r="Z625" i="2" s="1"/>
  <c r="Z626" i="2" s="1"/>
  <c r="Z640" i="2" s="1"/>
  <c r="Z617" i="2"/>
  <c r="Z619" i="2" s="1"/>
  <c r="AA615" i="2" s="1"/>
  <c r="AB608" i="2"/>
  <c r="AB611" i="2" s="1"/>
  <c r="AA613" i="2"/>
  <c r="AN924" i="2"/>
  <c r="AN925" i="2" s="1"/>
  <c r="AN58" i="16" s="1"/>
  <c r="AN929" i="2"/>
  <c r="AN912" i="2"/>
  <c r="AO907" i="2" s="1"/>
  <c r="AO908" i="2" s="1"/>
  <c r="Z271" i="7"/>
  <c r="Z276" i="7" s="1"/>
  <c r="Z278" i="7" s="1"/>
  <c r="Z279" i="7" s="1"/>
  <c r="AM1096" i="2"/>
  <c r="AM931" i="2"/>
  <c r="AM1006" i="2"/>
  <c r="AM518" i="2"/>
  <c r="AM520" i="2" s="1"/>
  <c r="AM28" i="16" s="1"/>
  <c r="AP518" i="2"/>
  <c r="AP520" i="2" s="1"/>
  <c r="AP828" i="2" s="1"/>
  <c r="AP840" i="2" s="1"/>
  <c r="AA518" i="2"/>
  <c r="AA520" i="2" s="1"/>
  <c r="AA95" i="17" s="1"/>
  <c r="AA100" i="17" s="1"/>
  <c r="AE518" i="2"/>
  <c r="AE520" i="2" s="1"/>
  <c r="AE84" i="14" s="1"/>
  <c r="AE90" i="14" s="1"/>
  <c r="Y520" i="2"/>
  <c r="Y718" i="2" s="1"/>
  <c r="AD518" i="2"/>
  <c r="AD520" i="2" s="1"/>
  <c r="AD653" i="2" s="1"/>
  <c r="AD655" i="2" s="1"/>
  <c r="X520" i="2"/>
  <c r="X659" i="2" s="1"/>
  <c r="Z520" i="2"/>
  <c r="Z653" i="2" s="1"/>
  <c r="Z655" i="2" s="1"/>
  <c r="AG518" i="2"/>
  <c r="AG520" i="2" s="1"/>
  <c r="AG95" i="17" s="1"/>
  <c r="AG100" i="17" s="1"/>
  <c r="AI518" i="2"/>
  <c r="AI520" i="2" s="1"/>
  <c r="AI84" i="14" s="1"/>
  <c r="AI90" i="14" s="1"/>
  <c r="AF518" i="2"/>
  <c r="AF520" i="2" s="1"/>
  <c r="AF1050" i="2" s="1"/>
  <c r="W520" i="2"/>
  <c r="AJ518" i="2"/>
  <c r="AJ520" i="2" s="1"/>
  <c r="AJ853" i="2" s="1"/>
  <c r="AR494" i="2"/>
  <c r="AR495" i="2" s="1"/>
  <c r="AR498" i="2" s="1"/>
  <c r="AR500" i="2" s="1"/>
  <c r="AR506" i="2" s="1"/>
  <c r="AR509" i="2" s="1"/>
  <c r="AR45" i="14"/>
  <c r="AR46" i="14" s="1"/>
  <c r="AQ39" i="16"/>
  <c r="AR488" i="2"/>
  <c r="I482" i="2"/>
  <c r="N1163" i="2" a="1"/>
  <c r="N1163" i="2" s="1"/>
  <c r="M1163" i="2" a="1"/>
  <c r="M1163" i="2" s="1"/>
  <c r="G1071" i="2"/>
  <c r="D133" i="18" s="1"/>
  <c r="L1163" i="2" a="1"/>
  <c r="L1163" i="2" s="1"/>
  <c r="K1163" i="2"/>
  <c r="AR804" i="2"/>
  <c r="AR38" i="14"/>
  <c r="AR999" i="2"/>
  <c r="AR142" i="17" s="1"/>
  <c r="AR773" i="2"/>
  <c r="AR1089" i="2"/>
  <c r="AJ594" i="2"/>
  <c r="AJ595" i="2" s="1"/>
  <c r="AK590" i="2" s="1"/>
  <c r="AM404" i="2"/>
  <c r="AM408" i="2" s="1"/>
  <c r="AM1046" i="2" s="1"/>
  <c r="AO404" i="2"/>
  <c r="AO408" i="2" s="1"/>
  <c r="AO457" i="2" s="1"/>
  <c r="AO459" i="2" s="1"/>
  <c r="AN404" i="2"/>
  <c r="AN408" i="2" s="1"/>
  <c r="AN457" i="2" s="1"/>
  <c r="AN459" i="2" s="1"/>
  <c r="W404" i="2"/>
  <c r="W408" i="2" s="1"/>
  <c r="W457" i="2" s="1"/>
  <c r="W459" i="2" s="1"/>
  <c r="P404" i="2"/>
  <c r="P408" i="2" s="1"/>
  <c r="P457" i="2" s="1"/>
  <c r="P459" i="2" s="1"/>
  <c r="Z404" i="2"/>
  <c r="Z408" i="2" s="1"/>
  <c r="Z24" i="16" s="1"/>
  <c r="O404" i="2"/>
  <c r="O408" i="2" s="1"/>
  <c r="O24" i="16" s="1"/>
  <c r="AR404" i="2"/>
  <c r="AR408" i="2" s="1"/>
  <c r="AR1046" i="2" s="1"/>
  <c r="AP404" i="2"/>
  <c r="AP408" i="2" s="1"/>
  <c r="AP457" i="2" s="1"/>
  <c r="AP459" i="2" s="1"/>
  <c r="AB404" i="2"/>
  <c r="AB408" i="2" s="1"/>
  <c r="AB457" i="2" s="1"/>
  <c r="AB459" i="2" s="1"/>
  <c r="S404" i="2"/>
  <c r="S408" i="2" s="1"/>
  <c r="S24" i="16" s="1"/>
  <c r="Y404" i="2"/>
  <c r="Y408" i="2" s="1"/>
  <c r="Y24" i="16" s="1"/>
  <c r="AD404" i="2"/>
  <c r="AD408" i="2" s="1"/>
  <c r="AD24" i="16" s="1"/>
  <c r="AS404" i="2"/>
  <c r="AS408" i="2" s="1"/>
  <c r="AS1046" i="2" s="1"/>
  <c r="AH404" i="2"/>
  <c r="AH408" i="2" s="1"/>
  <c r="AH24" i="16" s="1"/>
  <c r="AF404" i="2"/>
  <c r="AF408" i="2" s="1"/>
  <c r="AF1046" i="2" s="1"/>
  <c r="U404" i="2"/>
  <c r="U408" i="2" s="1"/>
  <c r="U1046" i="2" s="1"/>
  <c r="AJ404" i="2"/>
  <c r="AJ408" i="2" s="1"/>
  <c r="AJ457" i="2" s="1"/>
  <c r="AJ459" i="2" s="1"/>
  <c r="K404" i="2"/>
  <c r="AQ404" i="2"/>
  <c r="AQ408" i="2" s="1"/>
  <c r="AQ24" i="16" s="1"/>
  <c r="Q404" i="2"/>
  <c r="Q408" i="2" s="1"/>
  <c r="Q1046" i="2" s="1"/>
  <c r="T404" i="2"/>
  <c r="T408" i="2" s="1"/>
  <c r="T457" i="2" s="1"/>
  <c r="T459" i="2" s="1"/>
  <c r="L404" i="2"/>
  <c r="L408" i="2" s="1"/>
  <c r="L24" i="16" s="1"/>
  <c r="AG404" i="2"/>
  <c r="AG408" i="2" s="1"/>
  <c r="AG1046" i="2" s="1"/>
  <c r="V404" i="2"/>
  <c r="V408" i="2" s="1"/>
  <c r="V457" i="2" s="1"/>
  <c r="V459" i="2" s="1"/>
  <c r="AC404" i="2"/>
  <c r="AC408" i="2" s="1"/>
  <c r="AC457" i="2" s="1"/>
  <c r="AC459" i="2" s="1"/>
  <c r="AI404" i="2"/>
  <c r="AI408" i="2" s="1"/>
  <c r="AI457" i="2" s="1"/>
  <c r="AI459" i="2" s="1"/>
  <c r="R404" i="2"/>
  <c r="R408" i="2" s="1"/>
  <c r="R24" i="16" s="1"/>
  <c r="AE404" i="2"/>
  <c r="AE408" i="2" s="1"/>
  <c r="AE1046" i="2" s="1"/>
  <c r="X404" i="2"/>
  <c r="X408" i="2" s="1"/>
  <c r="X457" i="2" s="1"/>
  <c r="X459" i="2" s="1"/>
  <c r="AK404" i="2"/>
  <c r="AK408" i="2" s="1"/>
  <c r="AK1046" i="2" s="1"/>
  <c r="N404" i="2"/>
  <c r="N408" i="2" s="1"/>
  <c r="N1046" i="2" s="1"/>
  <c r="AL404" i="2"/>
  <c r="AL408" i="2" s="1"/>
  <c r="AL24" i="16" s="1"/>
  <c r="M404" i="2"/>
  <c r="M408" i="2" s="1"/>
  <c r="M24" i="16" s="1"/>
  <c r="AB853" i="2"/>
  <c r="AB774" i="2"/>
  <c r="AB1050" i="2"/>
  <c r="AB659" i="2"/>
  <c r="AB28" i="16"/>
  <c r="AB718" i="2"/>
  <c r="AB806" i="2"/>
  <c r="AB816" i="2"/>
  <c r="AN816" i="2"/>
  <c r="AN28" i="16"/>
  <c r="AN718" i="2"/>
  <c r="AN828" i="2"/>
  <c r="AN840" i="2" s="1"/>
  <c r="AN806" i="2"/>
  <c r="AN853" i="2"/>
  <c r="AN659" i="2"/>
  <c r="AN95" i="17"/>
  <c r="AN100" i="17" s="1"/>
  <c r="AN653" i="2"/>
  <c r="AN655" i="2" s="1"/>
  <c r="AN1050" i="2"/>
  <c r="AN774" i="2"/>
  <c r="AN84" i="14"/>
  <c r="AN90" i="14" s="1"/>
  <c r="AN101" i="14"/>
  <c r="AN102" i="14" s="1"/>
  <c r="AN321" i="4" s="1"/>
  <c r="AN322" i="4" s="1"/>
  <c r="AH806" i="2"/>
  <c r="AH718" i="2"/>
  <c r="AH828" i="2"/>
  <c r="AH840" i="2" s="1"/>
  <c r="AH101" i="14"/>
  <c r="AH102" i="14" s="1"/>
  <c r="AH321" i="4" s="1"/>
  <c r="AH322" i="4" s="1"/>
  <c r="AH28" i="16"/>
  <c r="AH853" i="2"/>
  <c r="AH1050" i="2"/>
  <c r="AH653" i="2"/>
  <c r="AH655" i="2" s="1"/>
  <c r="AH659" i="2"/>
  <c r="AH84" i="14"/>
  <c r="AH90" i="14" s="1"/>
  <c r="AH95" i="17"/>
  <c r="AH100" i="17" s="1"/>
  <c r="AH774" i="2"/>
  <c r="AH816" i="2"/>
  <c r="AK659" i="2"/>
  <c r="AK853" i="2"/>
  <c r="AK101" i="14"/>
  <c r="AK102" i="14" s="1"/>
  <c r="AK321" i="4" s="1"/>
  <c r="AK322" i="4" s="1"/>
  <c r="AK28" i="16"/>
  <c r="AK828" i="2"/>
  <c r="AK840" i="2" s="1"/>
  <c r="AK806" i="2"/>
  <c r="AK84" i="14"/>
  <c r="AK90" i="14" s="1"/>
  <c r="AK816" i="2"/>
  <c r="AK653" i="2"/>
  <c r="AK655" i="2" s="1"/>
  <c r="AK95" i="17"/>
  <c r="AK100" i="17" s="1"/>
  <c r="AK718" i="2"/>
  <c r="AK774" i="2"/>
  <c r="AK1050" i="2"/>
  <c r="AC101" i="14"/>
  <c r="AC102" i="14" s="1"/>
  <c r="AC321" i="4" s="1"/>
  <c r="AC322" i="4" s="1"/>
  <c r="AC828" i="2"/>
  <c r="AC840" i="2" s="1"/>
  <c r="AC853" i="2"/>
  <c r="AC816" i="2"/>
  <c r="AC28" i="16"/>
  <c r="AC95" i="17"/>
  <c r="AC100" i="17" s="1"/>
  <c r="AC653" i="2"/>
  <c r="AC655" i="2" s="1"/>
  <c r="AC1050" i="2"/>
  <c r="AC806" i="2"/>
  <c r="AC659" i="2"/>
  <c r="AC774" i="2"/>
  <c r="AC718" i="2"/>
  <c r="AC84" i="14"/>
  <c r="AC90" i="14" s="1"/>
  <c r="AO84" i="14"/>
  <c r="AO90" i="14" s="1"/>
  <c r="AO101" i="14"/>
  <c r="AO102" i="14" s="1"/>
  <c r="AO321" i="4" s="1"/>
  <c r="AO322" i="4" s="1"/>
  <c r="AO95" i="17"/>
  <c r="AO100" i="17" s="1"/>
  <c r="AO718" i="2"/>
  <c r="AO28" i="16"/>
  <c r="AO1050" i="2"/>
  <c r="AO816" i="2"/>
  <c r="AO806" i="2"/>
  <c r="AO659" i="2"/>
  <c r="AO774" i="2"/>
  <c r="AO653" i="2"/>
  <c r="AO655" i="2" s="1"/>
  <c r="AO86" i="14" s="1"/>
  <c r="AO92" i="14" s="1"/>
  <c r="AO312" i="4" s="1"/>
  <c r="AO853" i="2"/>
  <c r="AO828" i="2"/>
  <c r="AO840" i="2" s="1"/>
  <c r="AO846" i="2" s="1"/>
  <c r="AO848" i="2" s="1"/>
  <c r="AO991" i="2" s="1"/>
  <c r="AL653" i="2"/>
  <c r="AL655" i="2" s="1"/>
  <c r="AL718" i="2"/>
  <c r="AL659" i="2"/>
  <c r="AL95" i="17"/>
  <c r="AL100" i="17" s="1"/>
  <c r="AL774" i="2"/>
  <c r="AL816" i="2"/>
  <c r="AL1050" i="2"/>
  <c r="AL84" i="14"/>
  <c r="AL90" i="14" s="1"/>
  <c r="AL853" i="2"/>
  <c r="AL806" i="2"/>
  <c r="AL101" i="14"/>
  <c r="AL102" i="14" s="1"/>
  <c r="AL321" i="4" s="1"/>
  <c r="AL322" i="4" s="1"/>
  <c r="AL828" i="2"/>
  <c r="AL840" i="2" s="1"/>
  <c r="AL28" i="16"/>
  <c r="AB653" i="2"/>
  <c r="AB655" i="2" s="1"/>
  <c r="AB84" i="14"/>
  <c r="AB90" i="14" s="1"/>
  <c r="AB828" i="2"/>
  <c r="AB840" i="2" s="1"/>
  <c r="AB101" i="14"/>
  <c r="AB102" i="14" s="1"/>
  <c r="AB321" i="4" s="1"/>
  <c r="AB322" i="4" s="1"/>
  <c r="AB95" i="17"/>
  <c r="AB100" i="17" s="1"/>
  <c r="N506" i="7"/>
  <c r="U281" i="7"/>
  <c r="V277" i="7" s="1"/>
  <c r="V280" i="7" s="1"/>
  <c r="V283" i="7" s="1"/>
  <c r="V301" i="7" s="1"/>
  <c r="V303" i="7" s="1"/>
  <c r="Q482" i="7"/>
  <c r="Q503" i="7" s="1"/>
  <c r="Q506" i="7" s="1"/>
  <c r="R475" i="7"/>
  <c r="R476" i="7" s="1"/>
  <c r="R495" i="7"/>
  <c r="AS999" i="2"/>
  <c r="AS1089" i="2"/>
  <c r="AS494" i="2"/>
  <c r="AS495" i="2" s="1"/>
  <c r="AS498" i="2" s="1"/>
  <c r="AS500" i="2" s="1"/>
  <c r="AS506" i="2" s="1"/>
  <c r="AS509" i="2" s="1"/>
  <c r="AS804" i="2"/>
  <c r="AS38" i="14"/>
  <c r="AS773" i="2"/>
  <c r="AA1046" i="2"/>
  <c r="F1076" i="2" s="1" a="1"/>
  <c r="F1076" i="2" s="1"/>
  <c r="C138" i="18" s="1"/>
  <c r="AA24" i="16"/>
  <c r="AA457" i="2"/>
  <c r="AA459" i="2" s="1"/>
  <c r="AA270" i="7"/>
  <c r="AA269" i="7"/>
  <c r="AG294" i="7"/>
  <c r="AG297" i="7" s="1"/>
  <c r="AF299" i="7"/>
  <c r="AF302" i="7" s="1"/>
  <c r="S495" i="7"/>
  <c r="S475" i="7"/>
  <c r="S476" i="7" s="1"/>
  <c r="F400" i="2"/>
  <c r="I1039" i="2"/>
  <c r="W335" i="7"/>
  <c r="W336" i="7" s="1"/>
  <c r="V339" i="7"/>
  <c r="AB519" i="7"/>
  <c r="AB520" i="7" s="1"/>
  <c r="AB184" i="7"/>
  <c r="AB185" i="7" s="1"/>
  <c r="AB260" i="7"/>
  <c r="AB268" i="7" s="1"/>
  <c r="AC58" i="7"/>
  <c r="P496" i="7"/>
  <c r="P498" i="7" s="1"/>
  <c r="U354" i="7"/>
  <c r="U355" i="7" s="1"/>
  <c r="U451" i="7" s="1"/>
  <c r="U454" i="7" s="1"/>
  <c r="U494" i="7"/>
  <c r="T466" i="7"/>
  <c r="T467" i="7" s="1"/>
  <c r="T473" i="7"/>
  <c r="P482" i="7"/>
  <c r="AQ518" i="2" l="1"/>
  <c r="AQ520" i="2" s="1"/>
  <c r="Z644" i="2"/>
  <c r="Z775" i="2" s="1"/>
  <c r="AA617" i="2"/>
  <c r="AA619" i="2" s="1"/>
  <c r="AB615" i="2" s="1"/>
  <c r="AA621" i="2"/>
  <c r="AA625" i="2" s="1"/>
  <c r="AA626" i="2" s="1"/>
  <c r="AA640" i="2" s="1"/>
  <c r="AB613" i="2"/>
  <c r="AC608" i="2"/>
  <c r="AC611" i="2" s="1"/>
  <c r="AN937" i="2"/>
  <c r="AM932" i="2"/>
  <c r="AM1021" i="2" s="1"/>
  <c r="AM1134" i="2" s="1"/>
  <c r="AM79" i="16" s="1"/>
  <c r="AO911" i="2"/>
  <c r="AM148" i="17"/>
  <c r="AM46" i="16"/>
  <c r="AA816" i="2"/>
  <c r="AO420" i="7"/>
  <c r="AO425" i="7" s="1"/>
  <c r="AN761" i="2"/>
  <c r="AN918" i="2"/>
  <c r="AM828" i="2"/>
  <c r="AM840" i="2" s="1"/>
  <c r="AM846" i="2" s="1"/>
  <c r="AM848" i="2" s="1"/>
  <c r="AM991" i="2" s="1"/>
  <c r="AM84" i="14"/>
  <c r="AM90" i="14" s="1"/>
  <c r="AM1050" i="2"/>
  <c r="AM653" i="2"/>
  <c r="AM655" i="2" s="1"/>
  <c r="AM86" i="14" s="1"/>
  <c r="AM92" i="14" s="1"/>
  <c r="AM312" i="4" s="1"/>
  <c r="AM101" i="14"/>
  <c r="AM102" i="14" s="1"/>
  <c r="AM321" i="4" s="1"/>
  <c r="AM322" i="4" s="1"/>
  <c r="AM659" i="2"/>
  <c r="AM95" i="17"/>
  <c r="AM100" i="17" s="1"/>
  <c r="AM718" i="2"/>
  <c r="AM774" i="2"/>
  <c r="AM816" i="2"/>
  <c r="AM806" i="2"/>
  <c r="AM853" i="2"/>
  <c r="AP1050" i="2"/>
  <c r="AA718" i="2"/>
  <c r="AA806" i="2"/>
  <c r="AD28" i="16"/>
  <c r="AA659" i="2"/>
  <c r="AA84" i="14"/>
  <c r="AA90" i="14" s="1"/>
  <c r="AA1050" i="2"/>
  <c r="F1080" i="2" s="1" a="1"/>
  <c r="F1080" i="2" s="1"/>
  <c r="C142" i="18" s="1"/>
  <c r="AA828" i="2"/>
  <c r="AA840" i="2" s="1"/>
  <c r="AA842" i="2" s="1"/>
  <c r="AD84" i="14"/>
  <c r="AD90" i="14" s="1"/>
  <c r="AE853" i="2"/>
  <c r="AE718" i="2"/>
  <c r="AE95" i="17"/>
  <c r="AE100" i="17" s="1"/>
  <c r="AE816" i="2"/>
  <c r="AE659" i="2"/>
  <c r="AE806" i="2"/>
  <c r="AE653" i="2"/>
  <c r="AE655" i="2" s="1"/>
  <c r="AE818" i="2" s="1"/>
  <c r="AE101" i="14"/>
  <c r="AE102" i="14" s="1"/>
  <c r="AE321" i="4" s="1"/>
  <c r="AE322" i="4" s="1"/>
  <c r="AP774" i="2"/>
  <c r="AP806" i="2"/>
  <c r="AP653" i="2"/>
  <c r="AP655" i="2" s="1"/>
  <c r="AP30" i="16" s="1"/>
  <c r="AP101" i="14"/>
  <c r="AP102" i="14" s="1"/>
  <c r="AP321" i="4" s="1"/>
  <c r="AP322" i="4" s="1"/>
  <c r="AA774" i="2"/>
  <c r="AA653" i="2"/>
  <c r="AA655" i="2" s="1"/>
  <c r="AA818" i="2" s="1"/>
  <c r="AA28" i="16"/>
  <c r="AA101" i="14"/>
  <c r="AA102" i="14" s="1"/>
  <c r="AA321" i="4" s="1"/>
  <c r="AA322" i="4" s="1"/>
  <c r="AA853" i="2"/>
  <c r="AE828" i="2"/>
  <c r="AE840" i="2" s="1"/>
  <c r="AE846" i="2" s="1"/>
  <c r="AE848" i="2" s="1"/>
  <c r="AE991" i="2" s="1"/>
  <c r="AE1050" i="2"/>
  <c r="AE28" i="16"/>
  <c r="AE774" i="2"/>
  <c r="AP28" i="16"/>
  <c r="AP853" i="2"/>
  <c r="AP718" i="2"/>
  <c r="AP95" i="17"/>
  <c r="AP100" i="17" s="1"/>
  <c r="AP816" i="2"/>
  <c r="AP659" i="2"/>
  <c r="AP84" i="14"/>
  <c r="AP90" i="14" s="1"/>
  <c r="AD828" i="2"/>
  <c r="AD840" i="2" s="1"/>
  <c r="AD842" i="2" s="1"/>
  <c r="AD853" i="2"/>
  <c r="AD95" i="17"/>
  <c r="AD100" i="17" s="1"/>
  <c r="AD774" i="2"/>
  <c r="AD659" i="2"/>
  <c r="AD806" i="2"/>
  <c r="AD1050" i="2"/>
  <c r="AD816" i="2"/>
  <c r="AD101" i="14"/>
  <c r="AD102" i="14" s="1"/>
  <c r="AD321" i="4" s="1"/>
  <c r="AD322" i="4" s="1"/>
  <c r="Y659" i="2"/>
  <c r="Y101" i="14"/>
  <c r="Y102" i="14" s="1"/>
  <c r="Y321" i="4" s="1"/>
  <c r="Y322" i="4" s="1"/>
  <c r="Y95" i="17"/>
  <c r="Y100" i="17" s="1"/>
  <c r="Y84" i="14"/>
  <c r="Y90" i="14" s="1"/>
  <c r="Y828" i="2"/>
  <c r="Y840" i="2" s="1"/>
  <c r="Y842" i="2" s="1"/>
  <c r="Y28" i="16"/>
  <c r="Y1050" i="2"/>
  <c r="Y774" i="2"/>
  <c r="Y653" i="2"/>
  <c r="Y655" i="2" s="1"/>
  <c r="Y830" i="2" s="1"/>
  <c r="X95" i="17"/>
  <c r="X100" i="17" s="1"/>
  <c r="Y806" i="2"/>
  <c r="Y816" i="2"/>
  <c r="Z84" i="14"/>
  <c r="Z90" i="14" s="1"/>
  <c r="Y853" i="2"/>
  <c r="AG853" i="2"/>
  <c r="AG659" i="2"/>
  <c r="AG84" i="14"/>
  <c r="AG90" i="14" s="1"/>
  <c r="AG718" i="2"/>
  <c r="AJ718" i="2"/>
  <c r="AJ659" i="2"/>
  <c r="AJ774" i="2"/>
  <c r="AI653" i="2"/>
  <c r="AI655" i="2" s="1"/>
  <c r="AI818" i="2" s="1"/>
  <c r="AI659" i="2"/>
  <c r="AI853" i="2"/>
  <c r="AJ653" i="2"/>
  <c r="AJ655" i="2" s="1"/>
  <c r="AJ818" i="2" s="1"/>
  <c r="AJ84" i="14"/>
  <c r="AJ90" i="14" s="1"/>
  <c r="AI806" i="2"/>
  <c r="AJ1050" i="2"/>
  <c r="AJ806" i="2"/>
  <c r="AI28" i="16"/>
  <c r="AI774" i="2"/>
  <c r="AJ828" i="2"/>
  <c r="AJ840" i="2" s="1"/>
  <c r="AJ842" i="2" s="1"/>
  <c r="AI828" i="2"/>
  <c r="AI840" i="2" s="1"/>
  <c r="AI842" i="2" s="1"/>
  <c r="AJ95" i="17"/>
  <c r="AJ100" i="17" s="1"/>
  <c r="AJ101" i="14"/>
  <c r="AJ102" i="14" s="1"/>
  <c r="AJ321" i="4" s="1"/>
  <c r="AJ322" i="4" s="1"/>
  <c r="AD718" i="2"/>
  <c r="AI95" i="17"/>
  <c r="AI100" i="17" s="1"/>
  <c r="X853" i="2"/>
  <c r="X101" i="14"/>
  <c r="X102" i="14" s="1"/>
  <c r="X321" i="4" s="1"/>
  <c r="X322" i="4" s="1"/>
  <c r="X774" i="2"/>
  <c r="AJ28" i="16"/>
  <c r="AI816" i="2"/>
  <c r="AI101" i="14"/>
  <c r="AI102" i="14" s="1"/>
  <c r="AI321" i="4" s="1"/>
  <c r="AI322" i="4" s="1"/>
  <c r="Z101" i="14"/>
  <c r="Z102" i="14" s="1"/>
  <c r="Z321" i="4" s="1"/>
  <c r="Z322" i="4" s="1"/>
  <c r="X806" i="2"/>
  <c r="X828" i="2"/>
  <c r="X840" i="2" s="1"/>
  <c r="X842" i="2" s="1"/>
  <c r="X816" i="2"/>
  <c r="X718" i="2"/>
  <c r="X1050" i="2"/>
  <c r="X28" i="16"/>
  <c r="X84" i="14"/>
  <c r="X90" i="14" s="1"/>
  <c r="Z806" i="2"/>
  <c r="X653" i="2"/>
  <c r="X655" i="2" s="1"/>
  <c r="X830" i="2" s="1"/>
  <c r="Z1050" i="2"/>
  <c r="Z828" i="2"/>
  <c r="Z840" i="2" s="1"/>
  <c r="Z842" i="2" s="1"/>
  <c r="Z774" i="2"/>
  <c r="Z28" i="16"/>
  <c r="Z853" i="2"/>
  <c r="AG1050" i="2"/>
  <c r="AG828" i="2"/>
  <c r="AG840" i="2" s="1"/>
  <c r="AG842" i="2" s="1"/>
  <c r="AF853" i="2"/>
  <c r="AG806" i="2"/>
  <c r="AF806" i="2"/>
  <c r="AG816" i="2"/>
  <c r="AG101" i="14"/>
  <c r="AG102" i="14" s="1"/>
  <c r="AG321" i="4" s="1"/>
  <c r="AG322" i="4" s="1"/>
  <c r="AG653" i="2"/>
  <c r="AG655" i="2" s="1"/>
  <c r="AG1052" i="2" s="1"/>
  <c r="AG1054" i="2" s="1"/>
  <c r="AG774" i="2"/>
  <c r="AG28" i="16"/>
  <c r="Z659" i="2"/>
  <c r="AF659" i="2"/>
  <c r="AF774" i="2"/>
  <c r="AF718" i="2"/>
  <c r="AF828" i="2"/>
  <c r="AF840" i="2" s="1"/>
  <c r="AF842" i="2" s="1"/>
  <c r="AF816" i="2"/>
  <c r="AF84" i="14"/>
  <c r="AF90" i="14" s="1"/>
  <c r="AF28" i="16"/>
  <c r="AF101" i="14"/>
  <c r="AF102" i="14" s="1"/>
  <c r="AF321" i="4" s="1"/>
  <c r="AF322" i="4" s="1"/>
  <c r="AF95" i="17"/>
  <c r="AF100" i="17" s="1"/>
  <c r="AF653" i="2"/>
  <c r="AF655" i="2" s="1"/>
  <c r="AF830" i="2" s="1"/>
  <c r="Z95" i="17"/>
  <c r="Z100" i="17" s="1"/>
  <c r="Z718" i="2"/>
  <c r="Z816" i="2"/>
  <c r="AI718" i="2"/>
  <c r="AI1050" i="2"/>
  <c r="AJ816" i="2"/>
  <c r="Z830" i="2"/>
  <c r="Z30" i="16"/>
  <c r="Z86" i="14"/>
  <c r="Z92" i="14" s="1"/>
  <c r="Z312" i="4" s="1"/>
  <c r="Z1052" i="2"/>
  <c r="Z1054" i="2" s="1"/>
  <c r="Z818" i="2"/>
  <c r="W816" i="2"/>
  <c r="W853" i="2"/>
  <c r="W84" i="14"/>
  <c r="W90" i="14" s="1"/>
  <c r="W659" i="2"/>
  <c r="W28" i="16"/>
  <c r="W774" i="2"/>
  <c r="W101" i="14"/>
  <c r="W102" i="14" s="1"/>
  <c r="W321" i="4" s="1"/>
  <c r="W322" i="4" s="1"/>
  <c r="W806" i="2"/>
  <c r="W653" i="2"/>
  <c r="W655" i="2" s="1"/>
  <c r="W718" i="2"/>
  <c r="W95" i="17"/>
  <c r="W100" i="17" s="1"/>
  <c r="W828" i="2"/>
  <c r="W840" i="2" s="1"/>
  <c r="W1050" i="2"/>
  <c r="AM24" i="16"/>
  <c r="AM457" i="2"/>
  <c r="AM459" i="2" s="1"/>
  <c r="AM462" i="2" s="1"/>
  <c r="AR39" i="16"/>
  <c r="AJ602" i="2"/>
  <c r="AJ603" i="2" s="1"/>
  <c r="AJ616" i="2" s="1"/>
  <c r="V24" i="16"/>
  <c r="U24" i="16"/>
  <c r="U457" i="2"/>
  <c r="U459" i="2" s="1"/>
  <c r="U714" i="2" s="1"/>
  <c r="V1046" i="2"/>
  <c r="AR505" i="2"/>
  <c r="I488" i="2"/>
  <c r="I505" i="2" s="1"/>
  <c r="AL457" i="2"/>
  <c r="AL459" i="2" s="1"/>
  <c r="AL714" i="2" s="1"/>
  <c r="AC24" i="16"/>
  <c r="AO24" i="16"/>
  <c r="M1046" i="2"/>
  <c r="AO1046" i="2"/>
  <c r="W1046" i="2"/>
  <c r="AL1046" i="2"/>
  <c r="AB1046" i="2"/>
  <c r="AC1046" i="2"/>
  <c r="AN1046" i="2"/>
  <c r="W24" i="16"/>
  <c r="AP1046" i="2"/>
  <c r="AP24" i="16"/>
  <c r="AN24" i="16"/>
  <c r="AD1046" i="2"/>
  <c r="Q24" i="16"/>
  <c r="Q457" i="2"/>
  <c r="Q459" i="2" s="1"/>
  <c r="Q462" i="2" s="1"/>
  <c r="AD457" i="2"/>
  <c r="AD459" i="2" s="1"/>
  <c r="AD714" i="2" s="1"/>
  <c r="P24" i="16"/>
  <c r="P1046" i="2"/>
  <c r="AE24" i="16"/>
  <c r="AE457" i="2"/>
  <c r="AE459" i="2" s="1"/>
  <c r="AE462" i="2" s="1"/>
  <c r="Z1046" i="2"/>
  <c r="T24" i="16"/>
  <c r="AS457" i="2"/>
  <c r="AS459" i="2" s="1"/>
  <c r="AS714" i="2" s="1"/>
  <c r="X1046" i="2"/>
  <c r="T1046" i="2"/>
  <c r="X24" i="16"/>
  <c r="Z457" i="2"/>
  <c r="Z459" i="2" s="1"/>
  <c r="Z714" i="2" s="1"/>
  <c r="AS24" i="16"/>
  <c r="O457" i="2"/>
  <c r="O459" i="2" s="1"/>
  <c r="O714" i="2" s="1"/>
  <c r="AH1046" i="2"/>
  <c r="AF24" i="16"/>
  <c r="AR24" i="16"/>
  <c r="AR457" i="2"/>
  <c r="AR459" i="2" s="1"/>
  <c r="AR714" i="2" s="1"/>
  <c r="N457" i="2"/>
  <c r="N459" i="2" s="1"/>
  <c r="N714" i="2" s="1"/>
  <c r="AG457" i="2"/>
  <c r="AG459" i="2" s="1"/>
  <c r="AG462" i="2" s="1"/>
  <c r="L457" i="2"/>
  <c r="L459" i="2" s="1"/>
  <c r="L714" i="2" s="1"/>
  <c r="AH457" i="2"/>
  <c r="AH459" i="2" s="1"/>
  <c r="AH714" i="2" s="1"/>
  <c r="O1046" i="2"/>
  <c r="AG24" i="16"/>
  <c r="N24" i="16"/>
  <c r="AF457" i="2"/>
  <c r="AF459" i="2" s="1"/>
  <c r="AF462" i="2" s="1"/>
  <c r="AK457" i="2"/>
  <c r="AK459" i="2" s="1"/>
  <c r="AK462" i="2" s="1"/>
  <c r="L1046" i="2"/>
  <c r="AK24" i="16"/>
  <c r="AJ24" i="16"/>
  <c r="AB24" i="16"/>
  <c r="M457" i="2"/>
  <c r="M459" i="2" s="1"/>
  <c r="M462" i="2" s="1"/>
  <c r="AJ1046" i="2"/>
  <c r="Y1046" i="2"/>
  <c r="R1046" i="2"/>
  <c r="R457" i="2"/>
  <c r="R459" i="2" s="1"/>
  <c r="R462" i="2" s="1"/>
  <c r="AQ457" i="2"/>
  <c r="AQ459" i="2" s="1"/>
  <c r="AQ462" i="2" s="1"/>
  <c r="AQ1046" i="2"/>
  <c r="Y457" i="2"/>
  <c r="Y459" i="2" s="1"/>
  <c r="Y462" i="2" s="1"/>
  <c r="AI24" i="16"/>
  <c r="I404" i="2"/>
  <c r="S457" i="2"/>
  <c r="S459" i="2" s="1"/>
  <c r="S462" i="2" s="1"/>
  <c r="AI1046" i="2"/>
  <c r="K408" i="2"/>
  <c r="K1046" i="2" s="1"/>
  <c r="S1046" i="2"/>
  <c r="AO1052" i="2"/>
  <c r="AO1054" i="2" s="1"/>
  <c r="AO830" i="2"/>
  <c r="AO818" i="2"/>
  <c r="AO842" i="2"/>
  <c r="AO30" i="16"/>
  <c r="AC830" i="2"/>
  <c r="AC86" i="14"/>
  <c r="AC92" i="14" s="1"/>
  <c r="AC312" i="4" s="1"/>
  <c r="AC30" i="16"/>
  <c r="AC1052" i="2"/>
  <c r="AC1054" i="2" s="1"/>
  <c r="AC818" i="2"/>
  <c r="AK1052" i="2"/>
  <c r="AK1054" i="2" s="1"/>
  <c r="AK86" i="14"/>
  <c r="AK92" i="14" s="1"/>
  <c r="AK312" i="4" s="1"/>
  <c r="AK830" i="2"/>
  <c r="AK30" i="16"/>
  <c r="AK818" i="2"/>
  <c r="AL842" i="2"/>
  <c r="AL846" i="2"/>
  <c r="AL848" i="2" s="1"/>
  <c r="AL991" i="2" s="1"/>
  <c r="AP846" i="2"/>
  <c r="AP848" i="2" s="1"/>
  <c r="AP991" i="2" s="1"/>
  <c r="AP842" i="2"/>
  <c r="AB846" i="2"/>
  <c r="AB848" i="2" s="1"/>
  <c r="AB991" i="2" s="1"/>
  <c r="AB842" i="2"/>
  <c r="AH842" i="2"/>
  <c r="AH846" i="2"/>
  <c r="AH848" i="2" s="1"/>
  <c r="AH991" i="2" s="1"/>
  <c r="AL30" i="16"/>
  <c r="AL1052" i="2"/>
  <c r="AL1054" i="2" s="1"/>
  <c r="AL818" i="2"/>
  <c r="AL830" i="2"/>
  <c r="AL86" i="14"/>
  <c r="AL92" i="14" s="1"/>
  <c r="AL312" i="4" s="1"/>
  <c r="AK842" i="2"/>
  <c r="AK846" i="2"/>
  <c r="AK848" i="2" s="1"/>
  <c r="AK991" i="2" s="1"/>
  <c r="AN842" i="2"/>
  <c r="AN846" i="2"/>
  <c r="AN848" i="2" s="1"/>
  <c r="AN991" i="2" s="1"/>
  <c r="AB830" i="2"/>
  <c r="AB1052" i="2"/>
  <c r="AB1054" i="2" s="1"/>
  <c r="AB30" i="16"/>
  <c r="AB818" i="2"/>
  <c r="AB86" i="14"/>
  <c r="AB92" i="14" s="1"/>
  <c r="AB312" i="4" s="1"/>
  <c r="AC846" i="2"/>
  <c r="AC848" i="2" s="1"/>
  <c r="AC991" i="2" s="1"/>
  <c r="AC842" i="2"/>
  <c r="AD830" i="2"/>
  <c r="AD86" i="14"/>
  <c r="AD92" i="14" s="1"/>
  <c r="AD312" i="4" s="1"/>
  <c r="AD30" i="16"/>
  <c r="AD1052" i="2"/>
  <c r="AD1054" i="2" s="1"/>
  <c r="AD818" i="2"/>
  <c r="AH30" i="16"/>
  <c r="AH830" i="2"/>
  <c r="AH1052" i="2"/>
  <c r="AH1054" i="2" s="1"/>
  <c r="AH818" i="2"/>
  <c r="AH86" i="14"/>
  <c r="AH92" i="14" s="1"/>
  <c r="AH312" i="4" s="1"/>
  <c r="AN818" i="2"/>
  <c r="AN86" i="14"/>
  <c r="AN92" i="14" s="1"/>
  <c r="AN312" i="4" s="1"/>
  <c r="AN1052" i="2"/>
  <c r="AN1054" i="2" s="1"/>
  <c r="AN830" i="2"/>
  <c r="AN30" i="16"/>
  <c r="AS515" i="2"/>
  <c r="AO1098" i="2"/>
  <c r="AO865" i="2"/>
  <c r="AO1008" i="2"/>
  <c r="AO48" i="16" s="1"/>
  <c r="C61" i="18" a="1"/>
  <c r="C61" i="18" s="1"/>
  <c r="G61" i="18" s="1"/>
  <c r="C95" i="18" a="1"/>
  <c r="C95" i="18" s="1"/>
  <c r="G95" i="18" s="1"/>
  <c r="C89" i="18" a="1"/>
  <c r="C89" i="18" s="1"/>
  <c r="G89" i="18" s="1"/>
  <c r="C67" i="18" a="1"/>
  <c r="C67" i="18" s="1"/>
  <c r="G67" i="18" s="1"/>
  <c r="AA271" i="7"/>
  <c r="AA276" i="7" s="1"/>
  <c r="AA278" i="7" s="1"/>
  <c r="AA279" i="7" s="1"/>
  <c r="U466" i="7"/>
  <c r="U467" i="7" s="1"/>
  <c r="U473" i="7"/>
  <c r="V281" i="7"/>
  <c r="W277" i="7" s="1"/>
  <c r="P502" i="7"/>
  <c r="R480" i="7"/>
  <c r="S480" i="7"/>
  <c r="S496" i="7" s="1"/>
  <c r="S498" i="7" s="1"/>
  <c r="AC714" i="2"/>
  <c r="AC462" i="2"/>
  <c r="AN462" i="2"/>
  <c r="AN714" i="2"/>
  <c r="AJ714" i="2"/>
  <c r="AJ462" i="2"/>
  <c r="AC184" i="7"/>
  <c r="AC185" i="7" s="1"/>
  <c r="AC260" i="7"/>
  <c r="AC268" i="7" s="1"/>
  <c r="AC519" i="7"/>
  <c r="AC520" i="7" s="1"/>
  <c r="AD58" i="7"/>
  <c r="V354" i="7"/>
  <c r="V355" i="7" s="1"/>
  <c r="V451" i="7" s="1"/>
  <c r="V454" i="7" s="1"/>
  <c r="V494" i="7"/>
  <c r="AA714" i="2"/>
  <c r="AA462" i="2"/>
  <c r="P503" i="7"/>
  <c r="W339" i="7"/>
  <c r="X335" i="7"/>
  <c r="X336" i="7" s="1"/>
  <c r="V714" i="2"/>
  <c r="V462" i="2"/>
  <c r="T714" i="2"/>
  <c r="T462" i="2"/>
  <c r="AS142" i="17"/>
  <c r="AS39" i="16"/>
  <c r="AB714" i="2"/>
  <c r="AB462" i="2"/>
  <c r="W462" i="2"/>
  <c r="W714" i="2"/>
  <c r="AO714" i="2"/>
  <c r="AO462" i="2"/>
  <c r="X462" i="2"/>
  <c r="X714" i="2"/>
  <c r="AI714" i="2"/>
  <c r="AI462" i="2"/>
  <c r="T495" i="7"/>
  <c r="T475" i="7"/>
  <c r="T476" i="7" s="1"/>
  <c r="AB270" i="7"/>
  <c r="AB269" i="7"/>
  <c r="AP714" i="2"/>
  <c r="AP462" i="2"/>
  <c r="AB403" i="2"/>
  <c r="AB407" i="2" s="1"/>
  <c r="AK403" i="2"/>
  <c r="AK407" i="2" s="1"/>
  <c r="Y403" i="2"/>
  <c r="Y407" i="2" s="1"/>
  <c r="V403" i="2"/>
  <c r="V407" i="2" s="1"/>
  <c r="AA403" i="2"/>
  <c r="AA407" i="2" s="1"/>
  <c r="AJ403" i="2"/>
  <c r="AJ407" i="2" s="1"/>
  <c r="Z403" i="2"/>
  <c r="Z407" i="2" s="1"/>
  <c r="X403" i="2"/>
  <c r="X407" i="2" s="1"/>
  <c r="W403" i="2"/>
  <c r="W407" i="2" s="1"/>
  <c r="AD403" i="2"/>
  <c r="AD407" i="2" s="1"/>
  <c r="S403" i="2"/>
  <c r="S407" i="2" s="1"/>
  <c r="AM403" i="2"/>
  <c r="AM407" i="2" s="1"/>
  <c r="N403" i="2"/>
  <c r="N407" i="2" s="1"/>
  <c r="AI403" i="2"/>
  <c r="AI407" i="2" s="1"/>
  <c r="Q403" i="2"/>
  <c r="Q407" i="2" s="1"/>
  <c r="AG403" i="2"/>
  <c r="AG407" i="2" s="1"/>
  <c r="U403" i="2"/>
  <c r="U407" i="2" s="1"/>
  <c r="AP403" i="2"/>
  <c r="AP407" i="2" s="1"/>
  <c r="AC403" i="2"/>
  <c r="AC407" i="2" s="1"/>
  <c r="P403" i="2"/>
  <c r="P407" i="2" s="1"/>
  <c r="AN403" i="2"/>
  <c r="AN407" i="2" s="1"/>
  <c r="M403" i="2"/>
  <c r="M407" i="2" s="1"/>
  <c r="AE403" i="2"/>
  <c r="AE407" i="2" s="1"/>
  <c r="L403" i="2"/>
  <c r="L407" i="2" s="1"/>
  <c r="AF403" i="2"/>
  <c r="AF407" i="2" s="1"/>
  <c r="AR403" i="2"/>
  <c r="AR407" i="2" s="1"/>
  <c r="AQ403" i="2"/>
  <c r="AQ407" i="2" s="1"/>
  <c r="K403" i="2"/>
  <c r="K407" i="2" s="1"/>
  <c r="AL403" i="2"/>
  <c r="AL407" i="2" s="1"/>
  <c r="T403" i="2"/>
  <c r="T407" i="2" s="1"/>
  <c r="AH403" i="2"/>
  <c r="AH407" i="2" s="1"/>
  <c r="R403" i="2"/>
  <c r="R407" i="2" s="1"/>
  <c r="O403" i="2"/>
  <c r="O407" i="2" s="1"/>
  <c r="AO403" i="2"/>
  <c r="AO407" i="2" s="1"/>
  <c r="AS403" i="2"/>
  <c r="AS407" i="2" s="1"/>
  <c r="P714" i="2"/>
  <c r="P462" i="2"/>
  <c r="AG299" i="7"/>
  <c r="AG302" i="7" s="1"/>
  <c r="AH294" i="7"/>
  <c r="AH297" i="7" s="1"/>
  <c r="AK593" i="2"/>
  <c r="AK597" i="2" s="1"/>
  <c r="AK624" i="2" s="1"/>
  <c r="AQ828" i="2" l="1"/>
  <c r="AQ840" i="2" s="1"/>
  <c r="AQ846" i="2" s="1"/>
  <c r="AQ848" i="2" s="1"/>
  <c r="AQ991" i="2" s="1"/>
  <c r="AQ1050" i="2"/>
  <c r="AQ653" i="2"/>
  <c r="AQ655" i="2" s="1"/>
  <c r="AQ30" i="16" s="1"/>
  <c r="AQ853" i="2"/>
  <c r="AQ659" i="2"/>
  <c r="AQ806" i="2"/>
  <c r="AQ816" i="2"/>
  <c r="AQ28" i="16"/>
  <c r="AQ101" i="14"/>
  <c r="AQ102" i="14" s="1"/>
  <c r="AQ321" i="4" s="1"/>
  <c r="AQ322" i="4" s="1"/>
  <c r="AQ95" i="17"/>
  <c r="AQ100" i="17" s="1"/>
  <c r="AQ84" i="14"/>
  <c r="AQ90" i="14" s="1"/>
  <c r="AQ718" i="2"/>
  <c r="AQ774" i="2"/>
  <c r="AA644" i="2"/>
  <c r="AA775" i="2" s="1"/>
  <c r="AC613" i="2"/>
  <c r="AD608" i="2"/>
  <c r="AD611" i="2" s="1"/>
  <c r="AB621" i="2"/>
  <c r="AB625" i="2" s="1"/>
  <c r="AB626" i="2" s="1"/>
  <c r="AB640" i="2" s="1"/>
  <c r="AB617" i="2"/>
  <c r="AB619" i="2" s="1"/>
  <c r="AC615" i="2" s="1"/>
  <c r="AE842" i="2"/>
  <c r="AM1052" i="2"/>
  <c r="AM1054" i="2" s="1"/>
  <c r="AO924" i="2"/>
  <c r="AO925" i="2" s="1"/>
  <c r="AO937" i="2" s="1"/>
  <c r="AO929" i="2"/>
  <c r="AO912" i="2"/>
  <c r="AP907" i="2" s="1"/>
  <c r="AP908" i="2" s="1"/>
  <c r="AM830" i="2"/>
  <c r="AM818" i="2"/>
  <c r="AM30" i="16"/>
  <c r="AM842" i="2"/>
  <c r="AN931" i="2"/>
  <c r="AN1006" i="2"/>
  <c r="AN1096" i="2"/>
  <c r="AA846" i="2"/>
  <c r="AA848" i="2" s="1"/>
  <c r="AP830" i="2"/>
  <c r="AP818" i="2"/>
  <c r="AD846" i="2"/>
  <c r="AD848" i="2" s="1"/>
  <c r="AP1052" i="2"/>
  <c r="AP1054" i="2" s="1"/>
  <c r="AP86" i="14"/>
  <c r="AP92" i="14" s="1"/>
  <c r="AP312" i="4" s="1"/>
  <c r="AA830" i="2"/>
  <c r="AA86" i="14"/>
  <c r="AA92" i="14" s="1"/>
  <c r="AA312" i="4" s="1"/>
  <c r="AA30" i="16"/>
  <c r="AA1052" i="2"/>
  <c r="AA1054" i="2" s="1"/>
  <c r="F1084" i="2" s="1" a="1"/>
  <c r="F1084" i="2" s="1"/>
  <c r="C146" i="18" s="1"/>
  <c r="AE830" i="2"/>
  <c r="AE86" i="14"/>
  <c r="AE92" i="14" s="1"/>
  <c r="AE312" i="4" s="1"/>
  <c r="AE30" i="16"/>
  <c r="AE1052" i="2"/>
  <c r="AE1054" i="2" s="1"/>
  <c r="Y846" i="2"/>
  <c r="Y848" i="2" s="1"/>
  <c r="Y30" i="16"/>
  <c r="Y1052" i="2"/>
  <c r="Y1054" i="2" s="1"/>
  <c r="Y86" i="14"/>
  <c r="Y92" i="14" s="1"/>
  <c r="Y312" i="4" s="1"/>
  <c r="Y818" i="2"/>
  <c r="AG846" i="2"/>
  <c r="AG848" i="2" s="1"/>
  <c r="AJ846" i="2"/>
  <c r="AJ848" i="2" s="1"/>
  <c r="AI830" i="2"/>
  <c r="AI30" i="16"/>
  <c r="AI86" i="14"/>
  <c r="AI92" i="14" s="1"/>
  <c r="AI312" i="4" s="1"/>
  <c r="AI1052" i="2"/>
  <c r="AI1054" i="2" s="1"/>
  <c r="AJ30" i="16"/>
  <c r="AJ1052" i="2"/>
  <c r="AJ1054" i="2" s="1"/>
  <c r="AI846" i="2"/>
  <c r="AI848" i="2" s="1"/>
  <c r="AJ86" i="14"/>
  <c r="AJ92" i="14" s="1"/>
  <c r="AJ312" i="4" s="1"/>
  <c r="AJ830" i="2"/>
  <c r="X846" i="2"/>
  <c r="X848" i="2" s="1"/>
  <c r="X86" i="14"/>
  <c r="X92" i="14" s="1"/>
  <c r="X312" i="4" s="1"/>
  <c r="X1052" i="2"/>
  <c r="X1054" i="2" s="1"/>
  <c r="X30" i="16"/>
  <c r="X818" i="2"/>
  <c r="Z846" i="2"/>
  <c r="Z848" i="2" s="1"/>
  <c r="AF30" i="16"/>
  <c r="AF1052" i="2"/>
  <c r="AF1054" i="2" s="1"/>
  <c r="AF818" i="2"/>
  <c r="AF86" i="14"/>
  <c r="AF92" i="14" s="1"/>
  <c r="AF312" i="4" s="1"/>
  <c r="AG830" i="2"/>
  <c r="AG818" i="2"/>
  <c r="AG86" i="14"/>
  <c r="AG92" i="14" s="1"/>
  <c r="AG312" i="4" s="1"/>
  <c r="AG30" i="16"/>
  <c r="AF846" i="2"/>
  <c r="AF848" i="2" s="1"/>
  <c r="AR515" i="2"/>
  <c r="AR518" i="2"/>
  <c r="W86" i="14"/>
  <c r="W92" i="14" s="1"/>
  <c r="W312" i="4" s="1"/>
  <c r="W818" i="2"/>
  <c r="W1052" i="2"/>
  <c r="W1054" i="2" s="1"/>
  <c r="W830" i="2"/>
  <c r="W30" i="16"/>
  <c r="W846" i="2"/>
  <c r="W848" i="2" s="1"/>
  <c r="W991" i="2" s="1"/>
  <c r="W842" i="2"/>
  <c r="AM714" i="2"/>
  <c r="AJ609" i="2"/>
  <c r="AQ610" i="2" s="1"/>
  <c r="U462" i="2"/>
  <c r="AL462" i="2"/>
  <c r="AS462" i="2"/>
  <c r="AD462" i="2"/>
  <c r="AF714" i="2"/>
  <c r="M714" i="2"/>
  <c r="AE714" i="2"/>
  <c r="Q714" i="2"/>
  <c r="Z462" i="2"/>
  <c r="O462" i="2"/>
  <c r="AH462" i="2"/>
  <c r="N462" i="2"/>
  <c r="S714" i="2"/>
  <c r="AR462" i="2"/>
  <c r="AK714" i="2"/>
  <c r="AG714" i="2"/>
  <c r="L462" i="2"/>
  <c r="G1076" i="2"/>
  <c r="D138" i="18" s="1"/>
  <c r="D95" i="18" s="1" a="1"/>
  <c r="D95" i="18" s="1"/>
  <c r="G96" i="18" s="1"/>
  <c r="R714" i="2"/>
  <c r="I408" i="2"/>
  <c r="I457" i="2" s="1"/>
  <c r="K24" i="16"/>
  <c r="AQ714" i="2"/>
  <c r="K457" i="2"/>
  <c r="K459" i="2" s="1"/>
  <c r="I459" i="2" s="1"/>
  <c r="L1168" i="2" a="1"/>
  <c r="L1168" i="2" s="1"/>
  <c r="K1168" i="2"/>
  <c r="N1168" i="2" a="1"/>
  <c r="N1168" i="2" s="1"/>
  <c r="D24" i="11" s="1"/>
  <c r="F30" i="15" s="1"/>
  <c r="J30" i="15" s="1"/>
  <c r="I30" i="15" s="1"/>
  <c r="M1168" i="2" a="1"/>
  <c r="M1168" i="2" s="1"/>
  <c r="Y714" i="2"/>
  <c r="AH1098" i="2"/>
  <c r="AH1008" i="2"/>
  <c r="AH48" i="16" s="1"/>
  <c r="AH865" i="2"/>
  <c r="AC1098" i="2"/>
  <c r="AC1008" i="2"/>
  <c r="AC48" i="16" s="1"/>
  <c r="AC865" i="2"/>
  <c r="AN1098" i="2"/>
  <c r="AN865" i="2"/>
  <c r="AN1008" i="2"/>
  <c r="AN48" i="16" s="1"/>
  <c r="AB1098" i="2"/>
  <c r="AB1008" i="2"/>
  <c r="AB48" i="16" s="1"/>
  <c r="AB865" i="2"/>
  <c r="AE865" i="2"/>
  <c r="AE1008" i="2"/>
  <c r="AE48" i="16" s="1"/>
  <c r="AE1098" i="2"/>
  <c r="AS518" i="2"/>
  <c r="AS520" i="2" s="1"/>
  <c r="AQ830" i="2"/>
  <c r="AK1098" i="2"/>
  <c r="AK1008" i="2"/>
  <c r="AK48" i="16" s="1"/>
  <c r="AK865" i="2"/>
  <c r="AL865" i="2"/>
  <c r="AL1008" i="2"/>
  <c r="AL48" i="16" s="1"/>
  <c r="AL1098" i="2"/>
  <c r="AM1008" i="2"/>
  <c r="AM48" i="16" s="1"/>
  <c r="AM865" i="2"/>
  <c r="AM1098" i="2"/>
  <c r="AP1098" i="2"/>
  <c r="AP1008" i="2"/>
  <c r="AP48" i="16" s="1"/>
  <c r="AP865" i="2"/>
  <c r="P506" i="7"/>
  <c r="S482" i="7"/>
  <c r="S503" i="7" s="1"/>
  <c r="T480" i="7"/>
  <c r="T496" i="7" s="1"/>
  <c r="T498" i="7" s="1"/>
  <c r="T502" i="7" s="1"/>
  <c r="I403" i="2"/>
  <c r="P436" i="2"/>
  <c r="P437" i="2" s="1"/>
  <c r="P440" i="2" s="1"/>
  <c r="P409" i="2"/>
  <c r="P23" i="16"/>
  <c r="P1045" i="2"/>
  <c r="P453" i="2"/>
  <c r="AM453" i="2"/>
  <c r="AM455" i="2" s="1"/>
  <c r="AM436" i="2"/>
  <c r="AM409" i="2"/>
  <c r="AM1045" i="2"/>
  <c r="AM23" i="16"/>
  <c r="V1045" i="2"/>
  <c r="V409" i="2"/>
  <c r="V453" i="2"/>
  <c r="V23" i="16"/>
  <c r="V436" i="2"/>
  <c r="V437" i="2" s="1"/>
  <c r="V440" i="2" s="1"/>
  <c r="AD184" i="7"/>
  <c r="AD185" i="7" s="1"/>
  <c r="AD519" i="7"/>
  <c r="AD520" i="7" s="1"/>
  <c r="AD260" i="7"/>
  <c r="AD268" i="7" s="1"/>
  <c r="AE58" i="7"/>
  <c r="R496" i="7"/>
  <c r="R498" i="7" s="1"/>
  <c r="AS1045" i="2"/>
  <c r="AS409" i="2"/>
  <c r="AS436" i="2"/>
  <c r="AS23" i="16"/>
  <c r="AS453" i="2"/>
  <c r="AS455" i="2" s="1"/>
  <c r="Y453" i="2"/>
  <c r="Y455" i="2" s="1"/>
  <c r="Y23" i="16"/>
  <c r="Y1045" i="2"/>
  <c r="Y409" i="2"/>
  <c r="Y436" i="2"/>
  <c r="Y335" i="7"/>
  <c r="Y336" i="7" s="1"/>
  <c r="X339" i="7"/>
  <c r="AC269" i="7"/>
  <c r="AC270" i="7"/>
  <c r="AR453" i="2"/>
  <c r="AR455" i="2" s="1"/>
  <c r="AR1045" i="2"/>
  <c r="AR436" i="2"/>
  <c r="AR409" i="2"/>
  <c r="AR23" i="16"/>
  <c r="O1045" i="2"/>
  <c r="O409" i="2"/>
  <c r="O436" i="2"/>
  <c r="O437" i="2" s="1"/>
  <c r="O440" i="2" s="1"/>
  <c r="O23" i="16"/>
  <c r="O453" i="2"/>
  <c r="AB1045" i="2"/>
  <c r="AB436" i="2"/>
  <c r="AB409" i="2"/>
  <c r="AB23" i="16"/>
  <c r="AB453" i="2"/>
  <c r="AB455" i="2" s="1"/>
  <c r="W494" i="7"/>
  <c r="W354" i="7"/>
  <c r="W355" i="7" s="1"/>
  <c r="W451" i="7" s="1"/>
  <c r="W454" i="7" s="1"/>
  <c r="S502" i="7"/>
  <c r="AD23" i="16"/>
  <c r="AD453" i="2"/>
  <c r="AD455" i="2" s="1"/>
  <c r="AD436" i="2"/>
  <c r="AD1045" i="2"/>
  <c r="AD409" i="2"/>
  <c r="W436" i="2"/>
  <c r="W453" i="2"/>
  <c r="W455" i="2" s="1"/>
  <c r="W409" i="2"/>
  <c r="W1045" i="2"/>
  <c r="W23" i="16"/>
  <c r="AG453" i="2"/>
  <c r="AG455" i="2" s="1"/>
  <c r="AG1045" i="2"/>
  <c r="AG409" i="2"/>
  <c r="AG23" i="16"/>
  <c r="AG436" i="2"/>
  <c r="W280" i="7"/>
  <c r="W283" i="7" s="1"/>
  <c r="W301" i="7" s="1"/>
  <c r="W303" i="7" s="1"/>
  <c r="AQ1045" i="2"/>
  <c r="AQ453" i="2"/>
  <c r="AQ455" i="2" s="1"/>
  <c r="AQ23" i="16"/>
  <c r="AQ409" i="2"/>
  <c r="AQ436" i="2"/>
  <c r="U409" i="2"/>
  <c r="U1045" i="2"/>
  <c r="U23" i="16"/>
  <c r="U436" i="2"/>
  <c r="U437" i="2" s="1"/>
  <c r="U440" i="2" s="1"/>
  <c r="U453" i="2"/>
  <c r="R23" i="16"/>
  <c r="R409" i="2"/>
  <c r="R453" i="2"/>
  <c r="R1045" i="2"/>
  <c r="R436" i="2"/>
  <c r="R437" i="2" s="1"/>
  <c r="R440" i="2" s="1"/>
  <c r="X1045" i="2"/>
  <c r="X436" i="2"/>
  <c r="X453" i="2"/>
  <c r="X455" i="2" s="1"/>
  <c r="X409" i="2"/>
  <c r="X23" i="16"/>
  <c r="AI294" i="7"/>
  <c r="AI297" i="7" s="1"/>
  <c r="AH299" i="7"/>
  <c r="AH302" i="7" s="1"/>
  <c r="AH23" i="16"/>
  <c r="AH453" i="2"/>
  <c r="AH455" i="2" s="1"/>
  <c r="AH409" i="2"/>
  <c r="AH436" i="2"/>
  <c r="AH1045" i="2"/>
  <c r="AE409" i="2"/>
  <c r="AE436" i="2"/>
  <c r="AE23" i="16"/>
  <c r="AE1045" i="2"/>
  <c r="AE453" i="2"/>
  <c r="AE455" i="2" s="1"/>
  <c r="Q23" i="16"/>
  <c r="Q436" i="2"/>
  <c r="Q437" i="2" s="1"/>
  <c r="Q440" i="2" s="1"/>
  <c r="Q1045" i="2"/>
  <c r="Q409" i="2"/>
  <c r="Q453" i="2"/>
  <c r="Z453" i="2"/>
  <c r="Z455" i="2" s="1"/>
  <c r="Z436" i="2"/>
  <c r="Z1045" i="2"/>
  <c r="Z409" i="2"/>
  <c r="Z23" i="16"/>
  <c r="AC409" i="2"/>
  <c r="AC453" i="2"/>
  <c r="AC455" i="2" s="1"/>
  <c r="AC23" i="16"/>
  <c r="AC1045" i="2"/>
  <c r="AC436" i="2"/>
  <c r="S23" i="16"/>
  <c r="S453" i="2"/>
  <c r="S1045" i="2"/>
  <c r="S409" i="2"/>
  <c r="S436" i="2"/>
  <c r="S437" i="2" s="1"/>
  <c r="S440" i="2" s="1"/>
  <c r="AO453" i="2"/>
  <c r="AO455" i="2" s="1"/>
  <c r="AO409" i="2"/>
  <c r="AO1045" i="2"/>
  <c r="AO23" i="16"/>
  <c r="AO436" i="2"/>
  <c r="AK453" i="2"/>
  <c r="AK455" i="2" s="1"/>
  <c r="AK1045" i="2"/>
  <c r="AK436" i="2"/>
  <c r="AK409" i="2"/>
  <c r="AK23" i="16"/>
  <c r="AF453" i="2"/>
  <c r="AF455" i="2" s="1"/>
  <c r="AF1045" i="2"/>
  <c r="AF436" i="2"/>
  <c r="AF23" i="16"/>
  <c r="AF409" i="2"/>
  <c r="L453" i="2"/>
  <c r="L23" i="16"/>
  <c r="L436" i="2"/>
  <c r="L437" i="2" s="1"/>
  <c r="L440" i="2" s="1"/>
  <c r="L409" i="2"/>
  <c r="L1045" i="2"/>
  <c r="T1045" i="2"/>
  <c r="T409" i="2"/>
  <c r="T453" i="2"/>
  <c r="T436" i="2"/>
  <c r="T437" i="2" s="1"/>
  <c r="T440" i="2" s="1"/>
  <c r="T23" i="16"/>
  <c r="M1045" i="2"/>
  <c r="M453" i="2"/>
  <c r="M436" i="2"/>
  <c r="M437" i="2" s="1"/>
  <c r="M440" i="2" s="1"/>
  <c r="M409" i="2"/>
  <c r="M23" i="16"/>
  <c r="AI409" i="2"/>
  <c r="AI436" i="2"/>
  <c r="AI23" i="16"/>
  <c r="AI1045" i="2"/>
  <c r="AI453" i="2"/>
  <c r="AI455" i="2" s="1"/>
  <c r="AJ409" i="2"/>
  <c r="AJ23" i="16"/>
  <c r="AJ1045" i="2"/>
  <c r="AJ453" i="2"/>
  <c r="AJ455" i="2" s="1"/>
  <c r="AJ436" i="2"/>
  <c r="U495" i="7"/>
  <c r="U475" i="7"/>
  <c r="U476" i="7" s="1"/>
  <c r="AP436" i="2"/>
  <c r="AP1045" i="2"/>
  <c r="AP23" i="16"/>
  <c r="AP453" i="2"/>
  <c r="AP455" i="2" s="1"/>
  <c r="AP409" i="2"/>
  <c r="AL23" i="16"/>
  <c r="AL453" i="2"/>
  <c r="AL455" i="2" s="1"/>
  <c r="AL436" i="2"/>
  <c r="AL409" i="2"/>
  <c r="AL1045" i="2"/>
  <c r="AN453" i="2"/>
  <c r="AN455" i="2" s="1"/>
  <c r="AN1045" i="2"/>
  <c r="AN436" i="2"/>
  <c r="AN23" i="16"/>
  <c r="AN409" i="2"/>
  <c r="N409" i="2"/>
  <c r="N23" i="16"/>
  <c r="N1045" i="2"/>
  <c r="N453" i="2"/>
  <c r="N436" i="2"/>
  <c r="N437" i="2" s="1"/>
  <c r="N440" i="2" s="1"/>
  <c r="AA1045" i="2"/>
  <c r="F1075" i="2" s="1" a="1"/>
  <c r="F1075" i="2" s="1"/>
  <c r="C137" i="18" s="1"/>
  <c r="AA453" i="2"/>
  <c r="AA455" i="2" s="1"/>
  <c r="AA23" i="16"/>
  <c r="AA436" i="2"/>
  <c r="AA409" i="2"/>
  <c r="AB271" i="7"/>
  <c r="AB276" i="7" s="1"/>
  <c r="AB278" i="7" s="1"/>
  <c r="AB279" i="7" s="1"/>
  <c r="V466" i="7"/>
  <c r="V467" i="7" s="1"/>
  <c r="V473" i="7"/>
  <c r="R482" i="7"/>
  <c r="AK594" i="2"/>
  <c r="AK602" i="2" s="1"/>
  <c r="AK603" i="2" s="1"/>
  <c r="AK616" i="2" s="1"/>
  <c r="AQ86" i="14" l="1"/>
  <c r="AQ92" i="14" s="1"/>
  <c r="AQ312" i="4" s="1"/>
  <c r="AQ842" i="2"/>
  <c r="AQ818" i="2"/>
  <c r="AQ1052" i="2"/>
  <c r="AQ1054" i="2" s="1"/>
  <c r="AB644" i="2"/>
  <c r="AB775" i="2" s="1"/>
  <c r="AE608" i="2"/>
  <c r="AE611" i="2" s="1"/>
  <c r="AD613" i="2"/>
  <c r="AC621" i="2"/>
  <c r="AC625" i="2" s="1"/>
  <c r="AC626" i="2" s="1"/>
  <c r="AC640" i="2" s="1"/>
  <c r="AC617" i="2"/>
  <c r="AC619" i="2" s="1"/>
  <c r="AD615" i="2" s="1"/>
  <c r="AJ1008" i="2"/>
  <c r="AJ48" i="16" s="1"/>
  <c r="AJ991" i="2"/>
  <c r="AG1098" i="2"/>
  <c r="AG991" i="2"/>
  <c r="AD1098" i="2"/>
  <c r="AD991" i="2"/>
  <c r="Z1008" i="2"/>
  <c r="Z48" i="16" s="1"/>
  <c r="Z991" i="2"/>
  <c r="AI865" i="2"/>
  <c r="AI991" i="2"/>
  <c r="AA865" i="2"/>
  <c r="AA991" i="2"/>
  <c r="X1008" i="2"/>
  <c r="X48" i="16" s="1"/>
  <c r="X991" i="2"/>
  <c r="Y1008" i="2"/>
  <c r="Y48" i="16" s="1"/>
  <c r="Y991" i="2"/>
  <c r="AF1098" i="2"/>
  <c r="AF991" i="2"/>
  <c r="AO58" i="16"/>
  <c r="AN932" i="2"/>
  <c r="AN1021" i="2" s="1"/>
  <c r="AN1134" i="2" s="1"/>
  <c r="AN79" i="16" s="1"/>
  <c r="AP911" i="2"/>
  <c r="AD1008" i="2"/>
  <c r="AD48" i="16" s="1"/>
  <c r="F1082" i="2" a="1"/>
  <c r="F1082" i="2" s="1"/>
  <c r="C144" i="18" s="1"/>
  <c r="AN46" i="16"/>
  <c r="AN148" i="17"/>
  <c r="AP420" i="7"/>
  <c r="AP425" i="7" s="1"/>
  <c r="AO761" i="2"/>
  <c r="AO918" i="2"/>
  <c r="AA1098" i="2"/>
  <c r="AA1008" i="2"/>
  <c r="AA48" i="16" s="1"/>
  <c r="AD865" i="2"/>
  <c r="AG865" i="2"/>
  <c r="AG1008" i="2"/>
  <c r="AG48" i="16" s="1"/>
  <c r="Y865" i="2"/>
  <c r="Y1098" i="2"/>
  <c r="AF865" i="2"/>
  <c r="AF1008" i="2"/>
  <c r="AF48" i="16" s="1"/>
  <c r="AJ1098" i="2"/>
  <c r="AJ865" i="2"/>
  <c r="X1098" i="2"/>
  <c r="AI1008" i="2"/>
  <c r="AI48" i="16" s="1"/>
  <c r="AI1098" i="2"/>
  <c r="X865" i="2"/>
  <c r="Z1098" i="2"/>
  <c r="F1121" i="2" s="1" a="1"/>
  <c r="F1121" i="2" s="1"/>
  <c r="C159" i="18" s="1"/>
  <c r="Z865" i="2"/>
  <c r="AR520" i="2"/>
  <c r="AR806" i="2" s="1"/>
  <c r="W1098" i="2"/>
  <c r="W1008" i="2"/>
  <c r="W48" i="16" s="1"/>
  <c r="W865" i="2"/>
  <c r="I24" i="16"/>
  <c r="I1046" i="2"/>
  <c r="K714" i="2"/>
  <c r="D89" i="18" a="1"/>
  <c r="D89" i="18" s="1"/>
  <c r="G90" i="18" s="1"/>
  <c r="D61" i="18" a="1"/>
  <c r="D61" i="18" s="1"/>
  <c r="G62" i="18" s="1"/>
  <c r="D67" i="18" a="1"/>
  <c r="D67" i="18" s="1"/>
  <c r="G68" i="18" s="1"/>
  <c r="K462" i="2"/>
  <c r="AS101" i="14"/>
  <c r="AS102" i="14" s="1"/>
  <c r="AS321" i="4" s="1"/>
  <c r="AS322" i="4" s="1"/>
  <c r="AS28" i="16"/>
  <c r="AS659" i="2"/>
  <c r="AS828" i="2"/>
  <c r="AS840" i="2" s="1"/>
  <c r="AS806" i="2"/>
  <c r="AS816" i="2"/>
  <c r="AS95" i="17"/>
  <c r="AS100" i="17" s="1"/>
  <c r="AS1050" i="2"/>
  <c r="AS653" i="2"/>
  <c r="AS655" i="2" s="1"/>
  <c r="AS718" i="2"/>
  <c r="AS774" i="2"/>
  <c r="AS853" i="2"/>
  <c r="AS84" i="14"/>
  <c r="AS90" i="14" s="1"/>
  <c r="AQ1098" i="2"/>
  <c r="AQ865" i="2"/>
  <c r="AQ1008" i="2"/>
  <c r="AQ48" i="16" s="1"/>
  <c r="C83" i="18" a="1"/>
  <c r="C83" i="18" s="1"/>
  <c r="G83" i="18" s="1"/>
  <c r="C56" i="18" a="1"/>
  <c r="C56" i="18" s="1"/>
  <c r="G56" i="18" s="1"/>
  <c r="C72" i="18" a="1"/>
  <c r="C72" i="18" s="1"/>
  <c r="G72" i="18" s="1"/>
  <c r="T482" i="7"/>
  <c r="T503" i="7" s="1"/>
  <c r="T506" i="7" s="1"/>
  <c r="AC271" i="7"/>
  <c r="AC276" i="7" s="1"/>
  <c r="AC278" i="7" s="1"/>
  <c r="AC279" i="7" s="1"/>
  <c r="U480" i="7"/>
  <c r="U496" i="7" s="1"/>
  <c r="U498" i="7" s="1"/>
  <c r="N668" i="2"/>
  <c r="N670" i="2" s="1"/>
  <c r="N1047" i="2"/>
  <c r="N25" i="16"/>
  <c r="N802" i="2"/>
  <c r="N768" i="2"/>
  <c r="N769" i="2" s="1"/>
  <c r="N770" i="2" s="1"/>
  <c r="N788" i="2"/>
  <c r="N790" i="2" s="1"/>
  <c r="N794" i="2" s="1"/>
  <c r="N658" i="2"/>
  <c r="AF461" i="2"/>
  <c r="AF463" i="2" s="1"/>
  <c r="AF715" i="2" s="1"/>
  <c r="AF720" i="2" s="1"/>
  <c r="AF713" i="2"/>
  <c r="AE713" i="2"/>
  <c r="AE461" i="2"/>
  <c r="AE463" i="2" s="1"/>
  <c r="AE715" i="2" s="1"/>
  <c r="AE720" i="2" s="1"/>
  <c r="AB668" i="2"/>
  <c r="AB670" i="2" s="1"/>
  <c r="AB1047" i="2"/>
  <c r="AB788" i="2"/>
  <c r="AB790" i="2" s="1"/>
  <c r="AB794" i="2" s="1"/>
  <c r="AB768" i="2"/>
  <c r="AB802" i="2"/>
  <c r="AB25" i="16"/>
  <c r="AB658" i="2"/>
  <c r="AB661" i="2" s="1"/>
  <c r="AA461" i="2"/>
  <c r="AA463" i="2" s="1"/>
  <c r="AA715" i="2" s="1"/>
  <c r="AA720" i="2" s="1"/>
  <c r="AA713" i="2"/>
  <c r="N454" i="2"/>
  <c r="N455" i="2" s="1"/>
  <c r="N448" i="2"/>
  <c r="N450" i="2" s="1"/>
  <c r="N45" i="14" s="1"/>
  <c r="N46" i="14" s="1"/>
  <c r="AP461" i="2"/>
  <c r="AP463" i="2" s="1"/>
  <c r="AP715" i="2" s="1"/>
  <c r="AP720" i="2" s="1"/>
  <c r="AP713" i="2"/>
  <c r="AJ461" i="2"/>
  <c r="AJ463" i="2" s="1"/>
  <c r="AJ715" i="2" s="1"/>
  <c r="AJ720" i="2" s="1"/>
  <c r="AJ713" i="2"/>
  <c r="AI668" i="2"/>
  <c r="AI670" i="2" s="1"/>
  <c r="AI802" i="2"/>
  <c r="AI788" i="2"/>
  <c r="AI790" i="2" s="1"/>
  <c r="AI794" i="2" s="1"/>
  <c r="AI1047" i="2"/>
  <c r="AI768" i="2"/>
  <c r="AI25" i="16"/>
  <c r="AI658" i="2"/>
  <c r="AI661" i="2" s="1"/>
  <c r="AF668" i="2"/>
  <c r="AF670" i="2" s="1"/>
  <c r="AF802" i="2"/>
  <c r="AF768" i="2"/>
  <c r="AF658" i="2"/>
  <c r="AF661" i="2" s="1"/>
  <c r="AF25" i="16"/>
  <c r="AF1047" i="2"/>
  <c r="AF788" i="2"/>
  <c r="AF790" i="2" s="1"/>
  <c r="AF794" i="2" s="1"/>
  <c r="S668" i="2"/>
  <c r="S670" i="2" s="1"/>
  <c r="S788" i="2"/>
  <c r="S790" i="2" s="1"/>
  <c r="S794" i="2" s="1"/>
  <c r="S1047" i="2"/>
  <c r="S768" i="2"/>
  <c r="S769" i="2" s="1"/>
  <c r="S770" i="2" s="1"/>
  <c r="S25" i="16"/>
  <c r="S802" i="2"/>
  <c r="S658" i="2"/>
  <c r="AC668" i="2"/>
  <c r="AC670" i="2" s="1"/>
  <c r="AC658" i="2"/>
  <c r="AC661" i="2" s="1"/>
  <c r="AC1047" i="2"/>
  <c r="AC25" i="16"/>
  <c r="AC802" i="2"/>
  <c r="AC768" i="2"/>
  <c r="AC788" i="2"/>
  <c r="AC790" i="2" s="1"/>
  <c r="AC794" i="2" s="1"/>
  <c r="Q668" i="2"/>
  <c r="Q670" i="2" s="1"/>
  <c r="Q658" i="2"/>
  <c r="Q802" i="2"/>
  <c r="Q25" i="16"/>
  <c r="Q768" i="2"/>
  <c r="Q769" i="2" s="1"/>
  <c r="Q770" i="2" s="1"/>
  <c r="Q1047" i="2"/>
  <c r="Q788" i="2"/>
  <c r="Q790" i="2" s="1"/>
  <c r="Q794" i="2" s="1"/>
  <c r="AE668" i="2"/>
  <c r="AE670" i="2" s="1"/>
  <c r="AE25" i="16"/>
  <c r="AE768" i="2"/>
  <c r="AE769" i="2" s="1"/>
  <c r="AE788" i="2"/>
  <c r="AE790" i="2" s="1"/>
  <c r="AE794" i="2" s="1"/>
  <c r="AE1047" i="2"/>
  <c r="AE658" i="2"/>
  <c r="AE661" i="2" s="1"/>
  <c r="AE802" i="2"/>
  <c r="R668" i="2"/>
  <c r="R670" i="2" s="1"/>
  <c r="R802" i="2"/>
  <c r="R25" i="16"/>
  <c r="R788" i="2"/>
  <c r="R790" i="2" s="1"/>
  <c r="R794" i="2" s="1"/>
  <c r="R658" i="2"/>
  <c r="R768" i="2"/>
  <c r="R769" i="2" s="1"/>
  <c r="R770" i="2" s="1"/>
  <c r="R1047" i="2"/>
  <c r="AQ668" i="2"/>
  <c r="AQ670" i="2" s="1"/>
  <c r="AQ768" i="2"/>
  <c r="AQ1047" i="2"/>
  <c r="AQ25" i="16"/>
  <c r="AQ802" i="2"/>
  <c r="AQ788" i="2"/>
  <c r="AQ790" i="2" s="1"/>
  <c r="AQ794" i="2" s="1"/>
  <c r="AQ658" i="2"/>
  <c r="AQ661" i="2" s="1"/>
  <c r="AG668" i="2"/>
  <c r="AG670" i="2" s="1"/>
  <c r="AG802" i="2"/>
  <c r="AG1047" i="2"/>
  <c r="AG658" i="2"/>
  <c r="AG661" i="2" s="1"/>
  <c r="AG788" i="2"/>
  <c r="AG790" i="2" s="1"/>
  <c r="AG794" i="2" s="1"/>
  <c r="AG768" i="2"/>
  <c r="AG25" i="16"/>
  <c r="AD668" i="2"/>
  <c r="AD670" i="2" s="1"/>
  <c r="AD658" i="2"/>
  <c r="AD661" i="2" s="1"/>
  <c r="AD788" i="2"/>
  <c r="AD790" i="2" s="1"/>
  <c r="AD794" i="2" s="1"/>
  <c r="AD802" i="2"/>
  <c r="AD25" i="16"/>
  <c r="AD768" i="2"/>
  <c r="AD1047" i="2"/>
  <c r="W466" i="7"/>
  <c r="W467" i="7" s="1"/>
  <c r="W473" i="7"/>
  <c r="AR713" i="2"/>
  <c r="AR461" i="2"/>
  <c r="AR463" i="2" s="1"/>
  <c r="AR715" i="2" s="1"/>
  <c r="AD269" i="7"/>
  <c r="AD270" i="7"/>
  <c r="V668" i="2"/>
  <c r="V670" i="2" s="1"/>
  <c r="V25" i="16"/>
  <c r="V802" i="2"/>
  <c r="V1047" i="2"/>
  <c r="V788" i="2"/>
  <c r="V790" i="2" s="1"/>
  <c r="V794" i="2" s="1"/>
  <c r="V658" i="2"/>
  <c r="V768" i="2"/>
  <c r="V769" i="2" s="1"/>
  <c r="V770" i="2" s="1"/>
  <c r="K1167" i="2"/>
  <c r="L1167" i="2" a="1"/>
  <c r="L1167" i="2" s="1"/>
  <c r="M1167" i="2" a="1"/>
  <c r="M1167" i="2" s="1"/>
  <c r="N1167" i="2" a="1"/>
  <c r="N1167" i="2" s="1"/>
  <c r="D23" i="11" s="1"/>
  <c r="F29" i="15" s="1"/>
  <c r="J29" i="15" s="1"/>
  <c r="I29" i="15" s="1"/>
  <c r="T668" i="2"/>
  <c r="T670" i="2" s="1"/>
  <c r="T658" i="2"/>
  <c r="T802" i="2"/>
  <c r="T788" i="2"/>
  <c r="T790" i="2" s="1"/>
  <c r="T794" i="2" s="1"/>
  <c r="T768" i="2"/>
  <c r="T769" i="2" s="1"/>
  <c r="T770" i="2" s="1"/>
  <c r="T1047" i="2"/>
  <c r="T25" i="16"/>
  <c r="AK461" i="2"/>
  <c r="AK463" i="2" s="1"/>
  <c r="AK715" i="2" s="1"/>
  <c r="AK720" i="2" s="1"/>
  <c r="AK713" i="2"/>
  <c r="G1075" i="2"/>
  <c r="D137" i="18" s="1"/>
  <c r="D56" i="18" s="1" a="1"/>
  <c r="D56" i="18" s="1"/>
  <c r="X668" i="2"/>
  <c r="X670" i="2" s="1"/>
  <c r="X1047" i="2"/>
  <c r="X658" i="2"/>
  <c r="X661" i="2" s="1"/>
  <c r="X768" i="2"/>
  <c r="X788" i="2"/>
  <c r="X790" i="2" s="1"/>
  <c r="X794" i="2" s="1"/>
  <c r="X25" i="16"/>
  <c r="X802" i="2"/>
  <c r="O448" i="2"/>
  <c r="O450" i="2" s="1"/>
  <c r="O45" i="14" s="1"/>
  <c r="O46" i="14" s="1"/>
  <c r="O454" i="2"/>
  <c r="O455" i="2" s="1"/>
  <c r="Y461" i="2"/>
  <c r="Y463" i="2" s="1"/>
  <c r="Y715" i="2" s="1"/>
  <c r="Y720" i="2" s="1"/>
  <c r="Y713" i="2"/>
  <c r="I462" i="2"/>
  <c r="I714" i="2"/>
  <c r="M668" i="2"/>
  <c r="M670" i="2" s="1"/>
  <c r="M25" i="16"/>
  <c r="M768" i="2"/>
  <c r="M769" i="2" s="1"/>
  <c r="M770" i="2" s="1"/>
  <c r="M788" i="2"/>
  <c r="M790" i="2" s="1"/>
  <c r="M794" i="2" s="1"/>
  <c r="M1047" i="2"/>
  <c r="M802" i="2"/>
  <c r="M658" i="2"/>
  <c r="Q448" i="2"/>
  <c r="Q450" i="2" s="1"/>
  <c r="Q45" i="14" s="1"/>
  <c r="Q46" i="14" s="1"/>
  <c r="Q454" i="2"/>
  <c r="Q455" i="2" s="1"/>
  <c r="X461" i="2"/>
  <c r="X463" i="2" s="1"/>
  <c r="X715" i="2" s="1"/>
  <c r="X720" i="2" s="1"/>
  <c r="X713" i="2"/>
  <c r="AQ713" i="2"/>
  <c r="AQ461" i="2"/>
  <c r="AQ463" i="2" s="1"/>
  <c r="AQ715" i="2" s="1"/>
  <c r="AQ720" i="2" s="1"/>
  <c r="AG713" i="2"/>
  <c r="AG461" i="2"/>
  <c r="AG463" i="2" s="1"/>
  <c r="AG715" i="2" s="1"/>
  <c r="AG720" i="2" s="1"/>
  <c r="AB713" i="2"/>
  <c r="AB461" i="2"/>
  <c r="AB463" i="2" s="1"/>
  <c r="AB715" i="2" s="1"/>
  <c r="AB720" i="2" s="1"/>
  <c r="O668" i="2"/>
  <c r="O670" i="2" s="1"/>
  <c r="O658" i="2"/>
  <c r="O1047" i="2"/>
  <c r="O802" i="2"/>
  <c r="O25" i="16"/>
  <c r="O788" i="2"/>
  <c r="O790" i="2" s="1"/>
  <c r="O794" i="2" s="1"/>
  <c r="O768" i="2"/>
  <c r="O769" i="2" s="1"/>
  <c r="O770" i="2" s="1"/>
  <c r="AS461" i="2"/>
  <c r="AS463" i="2" s="1"/>
  <c r="AS715" i="2" s="1"/>
  <c r="AS713" i="2"/>
  <c r="P668" i="2"/>
  <c r="P670" i="2" s="1"/>
  <c r="P1047" i="2"/>
  <c r="P788" i="2"/>
  <c r="P790" i="2" s="1"/>
  <c r="P794" i="2" s="1"/>
  <c r="P25" i="16"/>
  <c r="P768" i="2"/>
  <c r="P769" i="2" s="1"/>
  <c r="P770" i="2" s="1"/>
  <c r="P802" i="2"/>
  <c r="P658" i="2"/>
  <c r="AL668" i="2"/>
  <c r="AL670" i="2" s="1"/>
  <c r="AL768" i="2"/>
  <c r="AL788" i="2"/>
  <c r="AL790" i="2" s="1"/>
  <c r="AL794" i="2" s="1"/>
  <c r="AL1047" i="2"/>
  <c r="AL25" i="16"/>
  <c r="AL802" i="2"/>
  <c r="AL658" i="2"/>
  <c r="AL661" i="2" s="1"/>
  <c r="AJ668" i="2"/>
  <c r="AJ670" i="2" s="1"/>
  <c r="AJ788" i="2"/>
  <c r="AJ790" i="2" s="1"/>
  <c r="AJ794" i="2" s="1"/>
  <c r="AJ768" i="2"/>
  <c r="AJ1047" i="2"/>
  <c r="AJ658" i="2"/>
  <c r="AJ661" i="2" s="1"/>
  <c r="AJ25" i="16"/>
  <c r="AJ802" i="2"/>
  <c r="M454" i="2"/>
  <c r="M455" i="2" s="1"/>
  <c r="M448" i="2"/>
  <c r="M450" i="2" s="1"/>
  <c r="M45" i="14" s="1"/>
  <c r="M46" i="14" s="1"/>
  <c r="Z668" i="2"/>
  <c r="Z670" i="2" s="1"/>
  <c r="Z658" i="2"/>
  <c r="Z661" i="2" s="1"/>
  <c r="Z788" i="2"/>
  <c r="Z790" i="2" s="1"/>
  <c r="Z794" i="2" s="1"/>
  <c r="Z25" i="16"/>
  <c r="Z802" i="2"/>
  <c r="Z1047" i="2"/>
  <c r="Z768" i="2"/>
  <c r="AH668" i="2"/>
  <c r="AH670" i="2" s="1"/>
  <c r="AH802" i="2"/>
  <c r="AH25" i="16"/>
  <c r="AH658" i="2"/>
  <c r="AH661" i="2" s="1"/>
  <c r="AH1047" i="2"/>
  <c r="AH768" i="2"/>
  <c r="AH788" i="2"/>
  <c r="AH790" i="2" s="1"/>
  <c r="AH794" i="2" s="1"/>
  <c r="U448" i="2"/>
  <c r="U450" i="2" s="1"/>
  <c r="U45" i="14" s="1"/>
  <c r="U46" i="14" s="1"/>
  <c r="U454" i="2"/>
  <c r="U455" i="2" s="1"/>
  <c r="AD713" i="2"/>
  <c r="AD461" i="2"/>
  <c r="AD463" i="2" s="1"/>
  <c r="AD715" i="2" s="1"/>
  <c r="AD720" i="2" s="1"/>
  <c r="X354" i="7"/>
  <c r="X355" i="7" s="1"/>
  <c r="X451" i="7" s="1"/>
  <c r="X454" i="7" s="1"/>
  <c r="X494" i="7"/>
  <c r="P454" i="2"/>
  <c r="P455" i="2" s="1"/>
  <c r="P448" i="2"/>
  <c r="P450" i="2" s="1"/>
  <c r="P45" i="14" s="1"/>
  <c r="P46" i="14" s="1"/>
  <c r="AN713" i="2"/>
  <c r="AN461" i="2"/>
  <c r="AN463" i="2" s="1"/>
  <c r="AN715" i="2" s="1"/>
  <c r="AN720" i="2" s="1"/>
  <c r="L668" i="2"/>
  <c r="L670" i="2" s="1"/>
  <c r="L658" i="2"/>
  <c r="L1047" i="2"/>
  <c r="L788" i="2"/>
  <c r="L790" i="2" s="1"/>
  <c r="L794" i="2" s="1"/>
  <c r="L25" i="16"/>
  <c r="L768" i="2"/>
  <c r="L769" i="2" s="1"/>
  <c r="L770" i="2" s="1"/>
  <c r="L802" i="2"/>
  <c r="Y339" i="7"/>
  <c r="Z335" i="7"/>
  <c r="Z336" i="7" s="1"/>
  <c r="AM668" i="2"/>
  <c r="AM670" i="2" s="1"/>
  <c r="AM1047" i="2"/>
  <c r="AM25" i="16"/>
  <c r="AM658" i="2"/>
  <c r="AM661" i="2" s="1"/>
  <c r="AM788" i="2"/>
  <c r="AM790" i="2" s="1"/>
  <c r="AM794" i="2" s="1"/>
  <c r="AM768" i="2"/>
  <c r="AM802" i="2"/>
  <c r="K1045" i="2"/>
  <c r="K23" i="16"/>
  <c r="K453" i="2"/>
  <c r="K436" i="2"/>
  <c r="K437" i="2" s="1"/>
  <c r="K409" i="2"/>
  <c r="I407" i="2"/>
  <c r="AA668" i="2"/>
  <c r="AA670" i="2" s="1"/>
  <c r="AA25" i="16"/>
  <c r="AA658" i="2"/>
  <c r="AA661" i="2" s="1"/>
  <c r="AA1047" i="2"/>
  <c r="F1077" i="2" s="1" a="1"/>
  <c r="F1077" i="2" s="1"/>
  <c r="C139" i="18" s="1"/>
  <c r="C77" i="18" s="1" a="1"/>
  <c r="C77" i="18" s="1"/>
  <c r="G77" i="18" s="1"/>
  <c r="AA768" i="2"/>
  <c r="AA788" i="2"/>
  <c r="AA790" i="2" s="1"/>
  <c r="AA794" i="2" s="1"/>
  <c r="AA802" i="2"/>
  <c r="AI713" i="2"/>
  <c r="AI461" i="2"/>
  <c r="AI463" i="2" s="1"/>
  <c r="AI715" i="2" s="1"/>
  <c r="AI720" i="2" s="1"/>
  <c r="R503" i="7"/>
  <c r="AN668" i="2"/>
  <c r="AN670" i="2" s="1"/>
  <c r="AN658" i="2"/>
  <c r="AN661" i="2" s="1"/>
  <c r="AN25" i="16"/>
  <c r="AN788" i="2"/>
  <c r="AN790" i="2" s="1"/>
  <c r="AN794" i="2" s="1"/>
  <c r="AN802" i="2"/>
  <c r="AN1047" i="2"/>
  <c r="AN768" i="2"/>
  <c r="AL713" i="2"/>
  <c r="AL461" i="2"/>
  <c r="AL463" i="2" s="1"/>
  <c r="AL715" i="2" s="1"/>
  <c r="AL720" i="2" s="1"/>
  <c r="L448" i="2"/>
  <c r="L450" i="2" s="1"/>
  <c r="L45" i="14" s="1"/>
  <c r="L46" i="14" s="1"/>
  <c r="L454" i="2"/>
  <c r="L455" i="2" s="1"/>
  <c r="AO668" i="2"/>
  <c r="AO670" i="2" s="1"/>
  <c r="AO802" i="2"/>
  <c r="AO1047" i="2"/>
  <c r="AO658" i="2"/>
  <c r="AO661" i="2" s="1"/>
  <c r="AO768" i="2"/>
  <c r="AO25" i="16"/>
  <c r="AO788" i="2"/>
  <c r="AO790" i="2" s="1"/>
  <c r="AO794" i="2" s="1"/>
  <c r="R454" i="2"/>
  <c r="R455" i="2" s="1"/>
  <c r="R448" i="2"/>
  <c r="R450" i="2" s="1"/>
  <c r="R45" i="14" s="1"/>
  <c r="R46" i="14" s="1"/>
  <c r="W281" i="7"/>
  <c r="X277" i="7" s="1"/>
  <c r="W668" i="2"/>
  <c r="W670" i="2" s="1"/>
  <c r="W658" i="2"/>
  <c r="W661" i="2" s="1"/>
  <c r="W802" i="2"/>
  <c r="W25" i="16"/>
  <c r="W788" i="2"/>
  <c r="W790" i="2" s="1"/>
  <c r="W794" i="2" s="1"/>
  <c r="W768" i="2"/>
  <c r="W1047" i="2"/>
  <c r="AR668" i="2"/>
  <c r="AR670" i="2" s="1"/>
  <c r="AR788" i="2"/>
  <c r="AR790" i="2" s="1"/>
  <c r="AR794" i="2" s="1"/>
  <c r="AR25" i="16"/>
  <c r="AR802" i="2"/>
  <c r="AR1047" i="2"/>
  <c r="AR768" i="2"/>
  <c r="AR658" i="2"/>
  <c r="AS668" i="2"/>
  <c r="AS670" i="2" s="1"/>
  <c r="AS768" i="2"/>
  <c r="AS658" i="2"/>
  <c r="AS25" i="16"/>
  <c r="AS802" i="2"/>
  <c r="AS1047" i="2"/>
  <c r="AS788" i="2"/>
  <c r="AS790" i="2" s="1"/>
  <c r="AS794" i="2" s="1"/>
  <c r="V454" i="2"/>
  <c r="V455" i="2" s="1"/>
  <c r="V448" i="2"/>
  <c r="V450" i="2" s="1"/>
  <c r="V45" i="14" s="1"/>
  <c r="V46" i="14" s="1"/>
  <c r="AK668" i="2"/>
  <c r="AK670" i="2" s="1"/>
  <c r="AK788" i="2"/>
  <c r="AK790" i="2" s="1"/>
  <c r="AK794" i="2" s="1"/>
  <c r="AK658" i="2"/>
  <c r="AK661" i="2" s="1"/>
  <c r="AK802" i="2"/>
  <c r="AK768" i="2"/>
  <c r="AK25" i="16"/>
  <c r="AK1047" i="2"/>
  <c r="AO713" i="2"/>
  <c r="AO461" i="2"/>
  <c r="AO463" i="2" s="1"/>
  <c r="AO715" i="2" s="1"/>
  <c r="AO720" i="2" s="1"/>
  <c r="Z713" i="2"/>
  <c r="Z461" i="2"/>
  <c r="Z463" i="2" s="1"/>
  <c r="Z715" i="2" s="1"/>
  <c r="Z720" i="2" s="1"/>
  <c r="U668" i="2"/>
  <c r="U670" i="2" s="1"/>
  <c r="U1047" i="2"/>
  <c r="U25" i="16"/>
  <c r="U802" i="2"/>
  <c r="U768" i="2"/>
  <c r="U769" i="2" s="1"/>
  <c r="U770" i="2" s="1"/>
  <c r="U658" i="2"/>
  <c r="U788" i="2"/>
  <c r="U790" i="2" s="1"/>
  <c r="U794" i="2" s="1"/>
  <c r="W713" i="2"/>
  <c r="W461" i="2"/>
  <c r="W463" i="2" s="1"/>
  <c r="W715" i="2" s="1"/>
  <c r="W720" i="2" s="1"/>
  <c r="Y668" i="2"/>
  <c r="Y670" i="2" s="1"/>
  <c r="Y802" i="2"/>
  <c r="Y768" i="2"/>
  <c r="Y25" i="16"/>
  <c r="Y788" i="2"/>
  <c r="Y790" i="2" s="1"/>
  <c r="Y794" i="2" s="1"/>
  <c r="Y1047" i="2"/>
  <c r="Y658" i="2"/>
  <c r="Y661" i="2" s="1"/>
  <c r="R502" i="7"/>
  <c r="AM713" i="2"/>
  <c r="AM461" i="2"/>
  <c r="AM463" i="2" s="1"/>
  <c r="AM715" i="2" s="1"/>
  <c r="AM720" i="2" s="1"/>
  <c r="AH713" i="2"/>
  <c r="AH461" i="2"/>
  <c r="AH463" i="2" s="1"/>
  <c r="AH715" i="2" s="1"/>
  <c r="AH720" i="2" s="1"/>
  <c r="V475" i="7"/>
  <c r="V476" i="7" s="1"/>
  <c r="V495" i="7"/>
  <c r="AP668" i="2"/>
  <c r="AP670" i="2" s="1"/>
  <c r="AP25" i="16"/>
  <c r="AP802" i="2"/>
  <c r="AP788" i="2"/>
  <c r="AP790" i="2" s="1"/>
  <c r="AP794" i="2" s="1"/>
  <c r="AP768" i="2"/>
  <c r="AP658" i="2"/>
  <c r="AP661" i="2" s="1"/>
  <c r="AP1047" i="2"/>
  <c r="T454" i="2"/>
  <c r="T455" i="2" s="1"/>
  <c r="T448" i="2"/>
  <c r="T450" i="2" s="1"/>
  <c r="T45" i="14" s="1"/>
  <c r="T46" i="14" s="1"/>
  <c r="S448" i="2"/>
  <c r="S450" i="2" s="1"/>
  <c r="S45" i="14" s="1"/>
  <c r="S46" i="14" s="1"/>
  <c r="S454" i="2"/>
  <c r="S455" i="2" s="1"/>
  <c r="AC713" i="2"/>
  <c r="AC461" i="2"/>
  <c r="AC463" i="2" s="1"/>
  <c r="AC715" i="2" s="1"/>
  <c r="AC720" i="2" s="1"/>
  <c r="AJ294" i="7"/>
  <c r="AJ297" i="7" s="1"/>
  <c r="AI299" i="7"/>
  <c r="AI302" i="7" s="1"/>
  <c r="S506" i="7"/>
  <c r="AE260" i="7"/>
  <c r="AE268" i="7" s="1"/>
  <c r="AE184" i="7"/>
  <c r="AE185" i="7" s="1"/>
  <c r="AE519" i="7"/>
  <c r="AE520" i="7" s="1"/>
  <c r="AF58" i="7"/>
  <c r="AK609" i="2"/>
  <c r="AR610" i="2" s="1"/>
  <c r="AK595" i="2"/>
  <c r="AL590" i="2" s="1"/>
  <c r="AL593" i="2" s="1"/>
  <c r="AL597" i="2" s="1"/>
  <c r="AL624" i="2" s="1"/>
  <c r="AC644" i="2" l="1"/>
  <c r="AC775" i="2" s="1"/>
  <c r="AD617" i="2"/>
  <c r="AD619" i="2" s="1"/>
  <c r="AE615" i="2" s="1"/>
  <c r="AD621" i="2"/>
  <c r="AD625" i="2" s="1"/>
  <c r="AD626" i="2" s="1"/>
  <c r="AD640" i="2" s="1"/>
  <c r="AF608" i="2"/>
  <c r="AF611" i="2" s="1"/>
  <c r="AE613" i="2"/>
  <c r="AO717" i="2"/>
  <c r="AO56" i="14"/>
  <c r="AO58" i="14" s="1"/>
  <c r="AO62" i="14" s="1"/>
  <c r="AO63" i="14" s="1"/>
  <c r="R717" i="2"/>
  <c r="R56" i="14"/>
  <c r="R58" i="14" s="1"/>
  <c r="R62" i="14" s="1"/>
  <c r="R63" i="14" s="1"/>
  <c r="AR717" i="2"/>
  <c r="AR56" i="14"/>
  <c r="AR58" i="14" s="1"/>
  <c r="AR62" i="14" s="1"/>
  <c r="AR63" i="14" s="1"/>
  <c r="AS717" i="2"/>
  <c r="AS56" i="14"/>
  <c r="AS58" i="14" s="1"/>
  <c r="AS62" i="14" s="1"/>
  <c r="AS63" i="14" s="1"/>
  <c r="X717" i="2"/>
  <c r="X56" i="14"/>
  <c r="X58" i="14" s="1"/>
  <c r="X62" i="14" s="1"/>
  <c r="X63" i="14" s="1"/>
  <c r="AQ717" i="2"/>
  <c r="AQ56" i="14"/>
  <c r="AQ58" i="14" s="1"/>
  <c r="AQ62" i="14" s="1"/>
  <c r="AQ63" i="14" s="1"/>
  <c r="AB717" i="2"/>
  <c r="AB56" i="14"/>
  <c r="AB58" i="14" s="1"/>
  <c r="AB62" i="14" s="1"/>
  <c r="AB63" i="14" s="1"/>
  <c r="AG717" i="2"/>
  <c r="AG56" i="14"/>
  <c r="AG58" i="14" s="1"/>
  <c r="AG62" i="14" s="1"/>
  <c r="AG63" i="14" s="1"/>
  <c r="AI717" i="2"/>
  <c r="AI56" i="14"/>
  <c r="AI58" i="14" s="1"/>
  <c r="AI62" i="14" s="1"/>
  <c r="AI63" i="14" s="1"/>
  <c r="AE717" i="2"/>
  <c r="AE56" i="14"/>
  <c r="AE58" i="14" s="1"/>
  <c r="AE62" i="14" s="1"/>
  <c r="AE63" i="14" s="1"/>
  <c r="AM717" i="2"/>
  <c r="AM56" i="14"/>
  <c r="AM58" i="14" s="1"/>
  <c r="AM62" i="14" s="1"/>
  <c r="AM63" i="14" s="1"/>
  <c r="P717" i="2"/>
  <c r="P56" i="14"/>
  <c r="P58" i="14" s="1"/>
  <c r="P62" i="14" s="1"/>
  <c r="P63" i="14" s="1"/>
  <c r="Y717" i="2"/>
  <c r="Y56" i="14"/>
  <c r="Y58" i="14" s="1"/>
  <c r="Y62" i="14" s="1"/>
  <c r="Y63" i="14" s="1"/>
  <c r="AN717" i="2"/>
  <c r="AN56" i="14"/>
  <c r="AN58" i="14" s="1"/>
  <c r="AN62" i="14" s="1"/>
  <c r="AN63" i="14" s="1"/>
  <c r="L717" i="2"/>
  <c r="L56" i="14"/>
  <c r="L58" i="14" s="1"/>
  <c r="L62" i="14" s="1"/>
  <c r="L63" i="14" s="1"/>
  <c r="Z717" i="2"/>
  <c r="Z56" i="14"/>
  <c r="Z58" i="14" s="1"/>
  <c r="Z62" i="14" s="1"/>
  <c r="Z63" i="14" s="1"/>
  <c r="AL717" i="2"/>
  <c r="AL56" i="14"/>
  <c r="AL58" i="14" s="1"/>
  <c r="AL62" i="14" s="1"/>
  <c r="AL63" i="14" s="1"/>
  <c r="O717" i="2"/>
  <c r="O56" i="14"/>
  <c r="O58" i="14" s="1"/>
  <c r="O62" i="14" s="1"/>
  <c r="O63" i="14" s="1"/>
  <c r="T717" i="2"/>
  <c r="T56" i="14"/>
  <c r="T58" i="14" s="1"/>
  <c r="T62" i="14" s="1"/>
  <c r="T63" i="14" s="1"/>
  <c r="AD717" i="2"/>
  <c r="AD56" i="14"/>
  <c r="AD58" i="14" s="1"/>
  <c r="AD62" i="14" s="1"/>
  <c r="AD63" i="14" s="1"/>
  <c r="AF717" i="2"/>
  <c r="AF56" i="14"/>
  <c r="AF58" i="14" s="1"/>
  <c r="AF62" i="14" s="1"/>
  <c r="AF63" i="14" s="1"/>
  <c r="AH717" i="2"/>
  <c r="AH56" i="14"/>
  <c r="AH58" i="14" s="1"/>
  <c r="AH62" i="14" s="1"/>
  <c r="AH63" i="14" s="1"/>
  <c r="AJ717" i="2"/>
  <c r="AJ56" i="14"/>
  <c r="AJ58" i="14" s="1"/>
  <c r="AJ62" i="14" s="1"/>
  <c r="AJ63" i="14" s="1"/>
  <c r="M717" i="2"/>
  <c r="M56" i="14"/>
  <c r="M58" i="14" s="1"/>
  <c r="M62" i="14" s="1"/>
  <c r="M63" i="14" s="1"/>
  <c r="S717" i="2"/>
  <c r="S56" i="14"/>
  <c r="S58" i="14" s="1"/>
  <c r="S62" i="14" s="1"/>
  <c r="S63" i="14" s="1"/>
  <c r="N717" i="2"/>
  <c r="N56" i="14"/>
  <c r="N58" i="14" s="1"/>
  <c r="N62" i="14" s="1"/>
  <c r="N63" i="14" s="1"/>
  <c r="AA717" i="2"/>
  <c r="AA56" i="14"/>
  <c r="AA58" i="14" s="1"/>
  <c r="AA62" i="14" s="1"/>
  <c r="AA63" i="14" s="1"/>
  <c r="AC717" i="2"/>
  <c r="AC56" i="14"/>
  <c r="AC58" i="14" s="1"/>
  <c r="AC62" i="14" s="1"/>
  <c r="AC63" i="14" s="1"/>
  <c r="AK717" i="2"/>
  <c r="AK56" i="14"/>
  <c r="AK58" i="14" s="1"/>
  <c r="AK62" i="14" s="1"/>
  <c r="AK63" i="14" s="1"/>
  <c r="U717" i="2"/>
  <c r="U56" i="14"/>
  <c r="U58" i="14" s="1"/>
  <c r="U62" i="14" s="1"/>
  <c r="U63" i="14" s="1"/>
  <c r="AP717" i="2"/>
  <c r="AP56" i="14"/>
  <c r="AP58" i="14" s="1"/>
  <c r="AP62" i="14" s="1"/>
  <c r="AP63" i="14" s="1"/>
  <c r="W717" i="2"/>
  <c r="W56" i="14"/>
  <c r="W58" i="14" s="1"/>
  <c r="W62" i="14" s="1"/>
  <c r="W63" i="14" s="1"/>
  <c r="V717" i="2"/>
  <c r="V56" i="14"/>
  <c r="V58" i="14" s="1"/>
  <c r="V62" i="14" s="1"/>
  <c r="V63" i="14" s="1"/>
  <c r="Q717" i="2"/>
  <c r="Q56" i="14"/>
  <c r="Q58" i="14" s="1"/>
  <c r="Q62" i="14" s="1"/>
  <c r="Q63" i="14" s="1"/>
  <c r="AP924" i="2"/>
  <c r="AP925" i="2" s="1"/>
  <c r="AP58" i="16" s="1"/>
  <c r="AP929" i="2"/>
  <c r="AP912" i="2"/>
  <c r="AQ907" i="2" s="1"/>
  <c r="AQ908" i="2" s="1"/>
  <c r="AO1006" i="2"/>
  <c r="AO1096" i="2"/>
  <c r="AO931" i="2"/>
  <c r="AR101" i="14"/>
  <c r="AR102" i="14" s="1"/>
  <c r="AR321" i="4" s="1"/>
  <c r="AR322" i="4" s="1"/>
  <c r="AR718" i="2"/>
  <c r="AR720" i="2" s="1"/>
  <c r="AR828" i="2"/>
  <c r="AR840" i="2" s="1"/>
  <c r="AR846" i="2" s="1"/>
  <c r="AR848" i="2" s="1"/>
  <c r="AR659" i="2"/>
  <c r="AR661" i="2" s="1"/>
  <c r="AR1016" i="2" s="1"/>
  <c r="AR1129" i="2" s="1"/>
  <c r="AR95" i="17"/>
  <c r="AR100" i="17" s="1"/>
  <c r="AR774" i="2"/>
  <c r="AR28" i="16"/>
  <c r="AR1050" i="2"/>
  <c r="AR816" i="2"/>
  <c r="AR853" i="2"/>
  <c r="AR84" i="14"/>
  <c r="AR90" i="14" s="1"/>
  <c r="AR653" i="2"/>
  <c r="AR655" i="2" s="1"/>
  <c r="AS661" i="2"/>
  <c r="AS1016" i="2" s="1"/>
  <c r="AS1129" i="2" s="1"/>
  <c r="AS720" i="2"/>
  <c r="AS721" i="2" s="1"/>
  <c r="AS842" i="2"/>
  <c r="AS846" i="2"/>
  <c r="AS848" i="2" s="1"/>
  <c r="AS991" i="2" s="1"/>
  <c r="AS830" i="2"/>
  <c r="AS818" i="2"/>
  <c r="AS30" i="16"/>
  <c r="AS1052" i="2"/>
  <c r="AS1054" i="2" s="1"/>
  <c r="AS86" i="14"/>
  <c r="AS92" i="14" s="1"/>
  <c r="AS312" i="4" s="1"/>
  <c r="G57" i="18"/>
  <c r="D72" i="18" a="1"/>
  <c r="D72" i="18" s="1"/>
  <c r="G73" i="18" s="1"/>
  <c r="D83" i="18" a="1"/>
  <c r="D83" i="18" s="1"/>
  <c r="G84" i="18" s="1"/>
  <c r="R506" i="7"/>
  <c r="AD271" i="7"/>
  <c r="AD276" i="7" s="1"/>
  <c r="AD278" i="7" s="1"/>
  <c r="AD279" i="7" s="1"/>
  <c r="U482" i="7"/>
  <c r="U503" i="7" s="1"/>
  <c r="AL594" i="2"/>
  <c r="AL602" i="2" s="1"/>
  <c r="AL603" i="2" s="1"/>
  <c r="AL616" i="2" s="1"/>
  <c r="S713" i="2"/>
  <c r="S461" i="2"/>
  <c r="S463" i="2" s="1"/>
  <c r="S715" i="2" s="1"/>
  <c r="AM721" i="2"/>
  <c r="AM722" i="2"/>
  <c r="Y769" i="2"/>
  <c r="Y770" i="2" s="1"/>
  <c r="V1089" i="2"/>
  <c r="V804" i="2"/>
  <c r="V38" i="14"/>
  <c r="V39" i="14" s="1"/>
  <c r="F42" i="14" s="1"/>
  <c r="P22" i="22" s="1"/>
  <c r="I22" i="22" s="1"/>
  <c r="V494" i="2"/>
  <c r="V495" i="2" s="1"/>
  <c r="V498" i="2" s="1"/>
  <c r="V500" i="2" s="1"/>
  <c r="V506" i="2" s="1"/>
  <c r="V509" i="2" s="1"/>
  <c r="V999" i="2"/>
  <c r="V773" i="2"/>
  <c r="AS1090" i="2"/>
  <c r="AS1000" i="2"/>
  <c r="AS805" i="2"/>
  <c r="AR1090" i="2"/>
  <c r="AR1000" i="2"/>
  <c r="AR805" i="2"/>
  <c r="X280" i="7"/>
  <c r="X283" i="7" s="1"/>
  <c r="X301" i="7" s="1"/>
  <c r="X303" i="7" s="1"/>
  <c r="I436" i="2"/>
  <c r="I453" i="2"/>
  <c r="I1045" i="2"/>
  <c r="I23" i="16"/>
  <c r="Y494" i="7"/>
  <c r="Y354" i="7"/>
  <c r="Y355" i="7" s="1"/>
  <c r="Y451" i="7" s="1"/>
  <c r="Y454" i="7" s="1"/>
  <c r="AN722" i="2"/>
  <c r="AN721" i="2"/>
  <c r="AD721" i="2"/>
  <c r="AD722" i="2"/>
  <c r="AD740" i="2" s="1"/>
  <c r="AD745" i="2" s="1"/>
  <c r="Z1016" i="2"/>
  <c r="Z33" i="16"/>
  <c r="Z36" i="16" s="1"/>
  <c r="Z98" i="17"/>
  <c r="AJ769" i="2"/>
  <c r="AJ770" i="2" s="1"/>
  <c r="AL769" i="2"/>
  <c r="AL770" i="2" s="1"/>
  <c r="P1090" i="2"/>
  <c r="P1000" i="2"/>
  <c r="P40" i="16" s="1"/>
  <c r="P805" i="2"/>
  <c r="Y721" i="2"/>
  <c r="Y722" i="2"/>
  <c r="X1016" i="2"/>
  <c r="X33" i="16"/>
  <c r="X36" i="16" s="1"/>
  <c r="X98" i="17"/>
  <c r="AG98" i="17"/>
  <c r="AG1016" i="2"/>
  <c r="AG1129" i="2" s="1"/>
  <c r="AG33" i="16"/>
  <c r="AG36" i="16" s="1"/>
  <c r="AE1090" i="2"/>
  <c r="AE805" i="2"/>
  <c r="AE1000" i="2"/>
  <c r="N804" i="2"/>
  <c r="N1089" i="2"/>
  <c r="N773" i="2"/>
  <c r="N999" i="2"/>
  <c r="N38" i="14"/>
  <c r="N494" i="2"/>
  <c r="N495" i="2" s="1"/>
  <c r="N498" i="2" s="1"/>
  <c r="N500" i="2" s="1"/>
  <c r="N506" i="2" s="1"/>
  <c r="N509" i="2" s="1"/>
  <c r="Z721" i="2"/>
  <c r="Z722" i="2"/>
  <c r="S804" i="2"/>
  <c r="S494" i="2"/>
  <c r="S495" i="2" s="1"/>
  <c r="S498" i="2" s="1"/>
  <c r="S500" i="2" s="1"/>
  <c r="S506" i="2" s="1"/>
  <c r="S509" i="2" s="1"/>
  <c r="S1089" i="2"/>
  <c r="S773" i="2"/>
  <c r="S38" i="14"/>
  <c r="S999" i="2"/>
  <c r="V713" i="2"/>
  <c r="V461" i="2"/>
  <c r="V463" i="2" s="1"/>
  <c r="V715" i="2" s="1"/>
  <c r="R494" i="2"/>
  <c r="R495" i="2" s="1"/>
  <c r="R498" i="2" s="1"/>
  <c r="R500" i="2" s="1"/>
  <c r="R506" i="2" s="1"/>
  <c r="R509" i="2" s="1"/>
  <c r="R38" i="14"/>
  <c r="R999" i="2"/>
  <c r="R773" i="2"/>
  <c r="R804" i="2"/>
  <c r="R1089" i="2"/>
  <c r="AO1090" i="2"/>
  <c r="AO1000" i="2"/>
  <c r="AO805" i="2"/>
  <c r="K668" i="2"/>
  <c r="K788" i="2"/>
  <c r="K790" i="2" s="1"/>
  <c r="K768" i="2"/>
  <c r="K25" i="16"/>
  <c r="K658" i="2"/>
  <c r="I409" i="2"/>
  <c r="K802" i="2"/>
  <c r="K1047" i="2"/>
  <c r="AM98" i="17"/>
  <c r="AM33" i="16"/>
  <c r="AM36" i="16" s="1"/>
  <c r="AM1016" i="2"/>
  <c r="AM1129" i="2" s="1"/>
  <c r="Z1090" i="2"/>
  <c r="Z1000" i="2"/>
  <c r="Z805" i="2"/>
  <c r="AL1090" i="2"/>
  <c r="AL1000" i="2"/>
  <c r="AL805" i="2"/>
  <c r="O461" i="2"/>
  <c r="O463" i="2" s="1"/>
  <c r="O715" i="2" s="1"/>
  <c r="O713" i="2"/>
  <c r="AQ769" i="2"/>
  <c r="AQ770" i="2" s="1"/>
  <c r="R1090" i="2"/>
  <c r="R1000" i="2"/>
  <c r="R40" i="16" s="1"/>
  <c r="R805" i="2"/>
  <c r="AC769" i="2"/>
  <c r="AC770" i="2" s="1"/>
  <c r="AF98" i="17"/>
  <c r="AF33" i="16"/>
  <c r="AF36" i="16" s="1"/>
  <c r="AF1016" i="2"/>
  <c r="AF1129" i="2" s="1"/>
  <c r="N461" i="2"/>
  <c r="N463" i="2" s="1"/>
  <c r="N715" i="2" s="1"/>
  <c r="N713" i="2"/>
  <c r="AE270" i="7"/>
  <c r="AE269" i="7"/>
  <c r="T1089" i="2"/>
  <c r="T38" i="14"/>
  <c r="T494" i="2"/>
  <c r="T495" i="2" s="1"/>
  <c r="T498" i="2" s="1"/>
  <c r="T500" i="2" s="1"/>
  <c r="T506" i="2" s="1"/>
  <c r="T509" i="2" s="1"/>
  <c r="T804" i="2"/>
  <c r="T999" i="2"/>
  <c r="T773" i="2"/>
  <c r="AP1090" i="2"/>
  <c r="AP1000" i="2"/>
  <c r="AP805" i="2"/>
  <c r="Y1090" i="2"/>
  <c r="Y1000" i="2"/>
  <c r="Y805" i="2"/>
  <c r="W769" i="2"/>
  <c r="W770" i="2" s="1"/>
  <c r="R461" i="2"/>
  <c r="R463" i="2" s="1"/>
  <c r="R715" i="2" s="1"/>
  <c r="R713" i="2"/>
  <c r="L461" i="2"/>
  <c r="L463" i="2" s="1"/>
  <c r="L715" i="2" s="1"/>
  <c r="L713" i="2"/>
  <c r="K440" i="2"/>
  <c r="I437" i="2"/>
  <c r="P38" i="14"/>
  <c r="P773" i="2"/>
  <c r="P804" i="2"/>
  <c r="P999" i="2"/>
  <c r="P1089" i="2"/>
  <c r="P494" i="2"/>
  <c r="P495" i="2" s="1"/>
  <c r="P498" i="2" s="1"/>
  <c r="P500" i="2" s="1"/>
  <c r="P506" i="2" s="1"/>
  <c r="P509" i="2" s="1"/>
  <c r="U461" i="2"/>
  <c r="U463" i="2" s="1"/>
  <c r="U715" i="2" s="1"/>
  <c r="U713" i="2"/>
  <c r="AH1090" i="2"/>
  <c r="AH1000" i="2"/>
  <c r="AH805" i="2"/>
  <c r="M1089" i="2"/>
  <c r="M773" i="2"/>
  <c r="M804" i="2"/>
  <c r="M494" i="2"/>
  <c r="M495" i="2" s="1"/>
  <c r="M498" i="2" s="1"/>
  <c r="M500" i="2" s="1"/>
  <c r="M506" i="2" s="1"/>
  <c r="M509" i="2" s="1"/>
  <c r="M999" i="2"/>
  <c r="M38" i="14"/>
  <c r="AJ1090" i="2"/>
  <c r="AJ1000" i="2"/>
  <c r="AJ805" i="2"/>
  <c r="O1090" i="2"/>
  <c r="O1000" i="2"/>
  <c r="O40" i="16" s="1"/>
  <c r="O805" i="2"/>
  <c r="X721" i="2"/>
  <c r="X722" i="2"/>
  <c r="O494" i="2"/>
  <c r="O495" i="2" s="1"/>
  <c r="O498" i="2" s="1"/>
  <c r="O500" i="2" s="1"/>
  <c r="O506" i="2" s="1"/>
  <c r="O509" i="2" s="1"/>
  <c r="O1089" i="2"/>
  <c r="O999" i="2"/>
  <c r="O804" i="2"/>
  <c r="O38" i="14"/>
  <c r="O773" i="2"/>
  <c r="X1090" i="2"/>
  <c r="X1000" i="2"/>
  <c r="X805" i="2"/>
  <c r="AQ1090" i="2"/>
  <c r="AQ1000" i="2"/>
  <c r="AQ805" i="2"/>
  <c r="AF769" i="2"/>
  <c r="AF770" i="2" s="1"/>
  <c r="AB1090" i="2"/>
  <c r="AB1000" i="2"/>
  <c r="AB805" i="2"/>
  <c r="T461" i="2"/>
  <c r="T463" i="2" s="1"/>
  <c r="T715" i="2" s="1"/>
  <c r="T713" i="2"/>
  <c r="AK769" i="2"/>
  <c r="AK770" i="2" s="1"/>
  <c r="AR769" i="2"/>
  <c r="AR770" i="2" s="1"/>
  <c r="L773" i="2"/>
  <c r="L804" i="2"/>
  <c r="L1089" i="2"/>
  <c r="L999" i="2"/>
  <c r="L494" i="2"/>
  <c r="L495" i="2" s="1"/>
  <c r="L498" i="2" s="1"/>
  <c r="L500" i="2" s="1"/>
  <c r="L506" i="2" s="1"/>
  <c r="L509" i="2" s="1"/>
  <c r="L38" i="14"/>
  <c r="AN98" i="17"/>
  <c r="AN1016" i="2"/>
  <c r="AN1129" i="2" s="1"/>
  <c r="AN33" i="16"/>
  <c r="AN36" i="16" s="1"/>
  <c r="AA769" i="2"/>
  <c r="AA770" i="2" s="1"/>
  <c r="P461" i="2"/>
  <c r="P463" i="2" s="1"/>
  <c r="P715" i="2" s="1"/>
  <c r="P713" i="2"/>
  <c r="U999" i="2"/>
  <c r="U1089" i="2"/>
  <c r="U494" i="2"/>
  <c r="U495" i="2" s="1"/>
  <c r="U498" i="2" s="1"/>
  <c r="U500" i="2" s="1"/>
  <c r="U506" i="2" s="1"/>
  <c r="U509" i="2" s="1"/>
  <c r="U773" i="2"/>
  <c r="U804" i="2"/>
  <c r="U38" i="14"/>
  <c r="Z769" i="2"/>
  <c r="Z770" i="2" s="1"/>
  <c r="M461" i="2"/>
  <c r="M463" i="2" s="1"/>
  <c r="M715" i="2" s="1"/>
  <c r="M713" i="2"/>
  <c r="AL33" i="16"/>
  <c r="AL36" i="16" s="1"/>
  <c r="AL98" i="17"/>
  <c r="AL1016" i="2"/>
  <c r="AL1129" i="2" s="1"/>
  <c r="AB722" i="2"/>
  <c r="AB721" i="2"/>
  <c r="Q713" i="2"/>
  <c r="Q461" i="2"/>
  <c r="Q463" i="2" s="1"/>
  <c r="Q715" i="2" s="1"/>
  <c r="M1090" i="2"/>
  <c r="M1000" i="2"/>
  <c r="M40" i="16" s="1"/>
  <c r="M805" i="2"/>
  <c r="AD1016" i="2"/>
  <c r="AD33" i="16"/>
  <c r="AD36" i="16" s="1"/>
  <c r="AD98" i="17"/>
  <c r="AG1090" i="2"/>
  <c r="AG1000" i="2"/>
  <c r="AG805" i="2"/>
  <c r="AE98" i="17"/>
  <c r="AE33" i="16"/>
  <c r="AE36" i="16" s="1"/>
  <c r="AE1016" i="2"/>
  <c r="AE1129" i="2" s="1"/>
  <c r="G1077" i="2"/>
  <c r="D139" i="18" s="1"/>
  <c r="D77" i="18" s="1" a="1"/>
  <c r="D77" i="18" s="1"/>
  <c r="G78" i="18" s="1"/>
  <c r="AI1090" i="2"/>
  <c r="AI1000" i="2"/>
  <c r="AI805" i="2"/>
  <c r="AA721" i="2"/>
  <c r="AA722" i="2"/>
  <c r="AA740" i="2" s="1"/>
  <c r="AA745" i="2" s="1"/>
  <c r="AE722" i="2"/>
  <c r="AE740" i="2" s="1"/>
  <c r="AE745" i="2" s="1"/>
  <c r="AE721" i="2"/>
  <c r="Y1016" i="2"/>
  <c r="Y33" i="16"/>
  <c r="Y36" i="16" s="1"/>
  <c r="Y98" i="17"/>
  <c r="W721" i="2"/>
  <c r="W722" i="2"/>
  <c r="W740" i="2" s="1"/>
  <c r="W745" i="2" s="1"/>
  <c r="U1090" i="2"/>
  <c r="U1000" i="2"/>
  <c r="U40" i="16" s="1"/>
  <c r="U805" i="2"/>
  <c r="AL721" i="2"/>
  <c r="AL722" i="2"/>
  <c r="AN1090" i="2"/>
  <c r="AN1000" i="2"/>
  <c r="AN805" i="2"/>
  <c r="AM1090" i="2"/>
  <c r="AM1000" i="2"/>
  <c r="AM805" i="2"/>
  <c r="Q999" i="2"/>
  <c r="Q773" i="2"/>
  <c r="Q804" i="2"/>
  <c r="Q1089" i="2"/>
  <c r="Q494" i="2"/>
  <c r="Q495" i="2" s="1"/>
  <c r="Q498" i="2" s="1"/>
  <c r="Q500" i="2" s="1"/>
  <c r="Q506" i="2" s="1"/>
  <c r="Q509" i="2" s="1"/>
  <c r="Q38" i="14"/>
  <c r="T1090" i="2"/>
  <c r="T1000" i="2"/>
  <c r="T40" i="16" s="1"/>
  <c r="T805" i="2"/>
  <c r="AD1090" i="2"/>
  <c r="AD1000" i="2"/>
  <c r="AD805" i="2"/>
  <c r="AQ33" i="16"/>
  <c r="AQ36" i="16" s="1"/>
  <c r="AQ98" i="17"/>
  <c r="AQ1016" i="2"/>
  <c r="AQ1129" i="2" s="1"/>
  <c r="AF1090" i="2"/>
  <c r="AF1000" i="2"/>
  <c r="AF805" i="2"/>
  <c r="AB33" i="16"/>
  <c r="AB36" i="16" s="1"/>
  <c r="AB98" i="17"/>
  <c r="AB1016" i="2"/>
  <c r="AP33" i="16"/>
  <c r="AP36" i="16" s="1"/>
  <c r="AP1016" i="2"/>
  <c r="AP1129" i="2" s="1"/>
  <c r="AP98" i="17"/>
  <c r="AO769" i="2"/>
  <c r="AO770" i="2" s="1"/>
  <c r="AA1016" i="2"/>
  <c r="AA33" i="16"/>
  <c r="AA36" i="16" s="1"/>
  <c r="AA98" i="17"/>
  <c r="AH769" i="2"/>
  <c r="AH770" i="2" s="1"/>
  <c r="AG722" i="2"/>
  <c r="AG740" i="2" s="1"/>
  <c r="AG745" i="2" s="1"/>
  <c r="AG721" i="2"/>
  <c r="AK722" i="2"/>
  <c r="AK740" i="2" s="1"/>
  <c r="AK745" i="2" s="1"/>
  <c r="AK721" i="2"/>
  <c r="W475" i="7"/>
  <c r="W476" i="7" s="1"/>
  <c r="W495" i="7"/>
  <c r="AC33" i="16"/>
  <c r="AC36" i="16" s="1"/>
  <c r="AC98" i="17"/>
  <c r="AC1016" i="2"/>
  <c r="S1090" i="2"/>
  <c r="S1000" i="2"/>
  <c r="S40" i="16" s="1"/>
  <c r="S805" i="2"/>
  <c r="AI98" i="17"/>
  <c r="AI33" i="16"/>
  <c r="AI36" i="16" s="1"/>
  <c r="AI1016" i="2"/>
  <c r="AI1129" i="2" s="1"/>
  <c r="AJ721" i="2"/>
  <c r="AJ722" i="2"/>
  <c r="AJ740" i="2" s="1"/>
  <c r="AJ745" i="2" s="1"/>
  <c r="N1090" i="2"/>
  <c r="N805" i="2"/>
  <c r="N1000" i="2"/>
  <c r="N40" i="16" s="1"/>
  <c r="AK294" i="7"/>
  <c r="AK297" i="7" s="1"/>
  <c r="AJ299" i="7"/>
  <c r="AJ302" i="7" s="1"/>
  <c r="AN769" i="2"/>
  <c r="AN770" i="2" s="1"/>
  <c r="AJ98" i="17"/>
  <c r="AJ1016" i="2"/>
  <c r="AJ1129" i="2" s="1"/>
  <c r="AJ33" i="16"/>
  <c r="AJ36" i="16" s="1"/>
  <c r="AG769" i="2"/>
  <c r="AG770" i="2" s="1"/>
  <c r="AE770" i="2"/>
  <c r="AC1090" i="2"/>
  <c r="AC1000" i="2"/>
  <c r="AC805" i="2"/>
  <c r="AF722" i="2"/>
  <c r="AF740" i="2" s="1"/>
  <c r="AF745" i="2" s="1"/>
  <c r="AF721" i="2"/>
  <c r="V480" i="7"/>
  <c r="V496" i="7" s="1"/>
  <c r="V498" i="7" s="1"/>
  <c r="AK98" i="17"/>
  <c r="AK1016" i="2"/>
  <c r="AK1129" i="2" s="1"/>
  <c r="AK33" i="16"/>
  <c r="AK36" i="16" s="1"/>
  <c r="AC722" i="2"/>
  <c r="AC721" i="2"/>
  <c r="AP769" i="2"/>
  <c r="AP770" i="2" s="1"/>
  <c r="AH722" i="2"/>
  <c r="AH740" i="2" s="1"/>
  <c r="AH745" i="2" s="1"/>
  <c r="AH721" i="2"/>
  <c r="W1016" i="2"/>
  <c r="W98" i="17"/>
  <c r="W33" i="16"/>
  <c r="W36" i="16" s="1"/>
  <c r="AO98" i="17"/>
  <c r="AO1016" i="2"/>
  <c r="AO1129" i="2" s="1"/>
  <c r="AO33" i="16"/>
  <c r="AO36" i="16" s="1"/>
  <c r="AF184" i="7"/>
  <c r="AF185" i="7" s="1"/>
  <c r="AF519" i="7"/>
  <c r="AF520" i="7" s="1"/>
  <c r="AF260" i="7"/>
  <c r="AF268" i="7" s="1"/>
  <c r="AG58" i="7"/>
  <c r="AO721" i="2"/>
  <c r="AO722" i="2"/>
  <c r="AK1090" i="2"/>
  <c r="AK1000" i="2"/>
  <c r="AK805" i="2"/>
  <c r="AS769" i="2"/>
  <c r="AS770" i="2" s="1"/>
  <c r="W1090" i="2"/>
  <c r="W1000" i="2"/>
  <c r="W805" i="2"/>
  <c r="AI722" i="2"/>
  <c r="AI740" i="2" s="1"/>
  <c r="AI745" i="2" s="1"/>
  <c r="AI721" i="2"/>
  <c r="AA1090" i="2"/>
  <c r="AA1000" i="2"/>
  <c r="AA805" i="2"/>
  <c r="AM769" i="2"/>
  <c r="AM770" i="2" s="1"/>
  <c r="AA335" i="7"/>
  <c r="AA336" i="7" s="1"/>
  <c r="Z339" i="7"/>
  <c r="L1090" i="2"/>
  <c r="L1000" i="2"/>
  <c r="L40" i="16" s="1"/>
  <c r="L805" i="2"/>
  <c r="I670" i="2"/>
  <c r="X473" i="7"/>
  <c r="X466" i="7"/>
  <c r="X467" i="7" s="1"/>
  <c r="AH98" i="17"/>
  <c r="AH33" i="16"/>
  <c r="AH36" i="16" s="1"/>
  <c r="AH1016" i="2"/>
  <c r="AH1129" i="2" s="1"/>
  <c r="K1169" i="2"/>
  <c r="L1169" i="2" a="1"/>
  <c r="L1169" i="2" s="1"/>
  <c r="M1169" i="2" a="1"/>
  <c r="M1169" i="2" s="1"/>
  <c r="N1169" i="2" a="1"/>
  <c r="N1169" i="2" s="1"/>
  <c r="D25" i="11" s="1"/>
  <c r="F31" i="15" s="1"/>
  <c r="J31" i="15" s="1"/>
  <c r="I31" i="15" s="1"/>
  <c r="AQ722" i="2"/>
  <c r="AQ721" i="2"/>
  <c r="X769" i="2"/>
  <c r="X770" i="2" s="1"/>
  <c r="V1090" i="2"/>
  <c r="V1000" i="2"/>
  <c r="V40" i="16" s="1"/>
  <c r="V805" i="2"/>
  <c r="AD769" i="2"/>
  <c r="AD770" i="2" s="1"/>
  <c r="Q1090" i="2"/>
  <c r="Q1000" i="2"/>
  <c r="Q40" i="16" s="1"/>
  <c r="Q805" i="2"/>
  <c r="AI769" i="2"/>
  <c r="AI770" i="2" s="1"/>
  <c r="AP722" i="2"/>
  <c r="AP721" i="2"/>
  <c r="AB769" i="2"/>
  <c r="AB770" i="2" s="1"/>
  <c r="U502" i="7"/>
  <c r="AD644" i="2" l="1"/>
  <c r="AD775" i="2" s="1"/>
  <c r="AE617" i="2"/>
  <c r="AE619" i="2" s="1"/>
  <c r="AF615" i="2" s="1"/>
  <c r="AE621" i="2"/>
  <c r="AE625" i="2" s="1"/>
  <c r="AE626" i="2" s="1"/>
  <c r="AE640" i="2" s="1"/>
  <c r="AF613" i="2"/>
  <c r="AG608" i="2"/>
  <c r="AG611" i="2" s="1"/>
  <c r="AR1008" i="2"/>
  <c r="AR48" i="16" s="1"/>
  <c r="AR991" i="2"/>
  <c r="F64" i="14"/>
  <c r="P23" i="22" s="1"/>
  <c r="I63" i="14"/>
  <c r="I58" i="14"/>
  <c r="I62" i="14" s="1"/>
  <c r="I717" i="2"/>
  <c r="I56" i="14"/>
  <c r="AP937" i="2"/>
  <c r="AO932" i="2"/>
  <c r="AO1021" i="2" s="1"/>
  <c r="AO1134" i="2" s="1"/>
  <c r="AO79" i="16" s="1"/>
  <c r="AQ911" i="2"/>
  <c r="AP761" i="2"/>
  <c r="AP918" i="2"/>
  <c r="AQ420" i="7"/>
  <c r="AQ425" i="7" s="1"/>
  <c r="AO148" i="17"/>
  <c r="AO46" i="16"/>
  <c r="AR865" i="2"/>
  <c r="AR722" i="2"/>
  <c r="AR721" i="2"/>
  <c r="AR842" i="2"/>
  <c r="AR1098" i="2"/>
  <c r="AR98" i="17"/>
  <c r="AR33" i="16"/>
  <c r="AR830" i="2"/>
  <c r="AR30" i="16"/>
  <c r="AR1052" i="2"/>
  <c r="AR1054" i="2" s="1"/>
  <c r="AR1057" i="2" s="1"/>
  <c r="AR86" i="14"/>
  <c r="AR92" i="14" s="1"/>
  <c r="AR312" i="4" s="1"/>
  <c r="AR818" i="2"/>
  <c r="W752" i="2"/>
  <c r="W753" i="2" s="1"/>
  <c r="W746" i="2"/>
  <c r="W777" i="2" s="1"/>
  <c r="I39" i="14"/>
  <c r="AS33" i="16"/>
  <c r="AS36" i="16" s="1"/>
  <c r="AS98" i="17"/>
  <c r="AS722" i="2"/>
  <c r="AJ746" i="2"/>
  <c r="AJ777" i="2" s="1"/>
  <c r="AJ752" i="2"/>
  <c r="AJ753" i="2" s="1"/>
  <c r="AG752" i="2"/>
  <c r="AG753" i="2" s="1"/>
  <c r="AG746" i="2"/>
  <c r="AG777" i="2" s="1"/>
  <c r="AA746" i="2"/>
  <c r="AA752" i="2"/>
  <c r="AD752" i="2"/>
  <c r="AD753" i="2" s="1"/>
  <c r="AD746" i="2"/>
  <c r="AD777" i="2" s="1"/>
  <c r="AI752" i="2"/>
  <c r="AI753" i="2" s="1"/>
  <c r="AI746" i="2"/>
  <c r="AI777" i="2" s="1"/>
  <c r="AH752" i="2"/>
  <c r="AH753" i="2" s="1"/>
  <c r="AH746" i="2"/>
  <c r="AH777" i="2" s="1"/>
  <c r="AF752" i="2"/>
  <c r="AF753" i="2" s="1"/>
  <c r="AF746" i="2"/>
  <c r="AF777" i="2" s="1"/>
  <c r="AE752" i="2"/>
  <c r="AE753" i="2" s="1"/>
  <c r="AE746" i="2"/>
  <c r="AE777" i="2" s="1"/>
  <c r="AK752" i="2"/>
  <c r="AK753" i="2" s="1"/>
  <c r="AK746" i="2"/>
  <c r="AK777" i="2" s="1"/>
  <c r="AS1098" i="2"/>
  <c r="AS1008" i="2"/>
  <c r="AS48" i="16" s="1"/>
  <c r="AS865" i="2"/>
  <c r="L515" i="2"/>
  <c r="S515" i="2"/>
  <c r="R515" i="2"/>
  <c r="M515" i="2"/>
  <c r="V515" i="2"/>
  <c r="P515" i="2"/>
  <c r="N515" i="2"/>
  <c r="U515" i="2"/>
  <c r="O515" i="2"/>
  <c r="T515" i="2"/>
  <c r="Q515" i="2"/>
  <c r="F1113" i="2" a="1"/>
  <c r="F1113" i="2" s="1"/>
  <c r="C151" i="18" s="1"/>
  <c r="AM40" i="16"/>
  <c r="AK40" i="16"/>
  <c r="AJ40" i="16"/>
  <c r="AS40" i="16"/>
  <c r="AN40" i="16"/>
  <c r="AH40" i="16"/>
  <c r="AI40" i="16"/>
  <c r="AP40" i="16"/>
  <c r="AQ40" i="16"/>
  <c r="AL40" i="16"/>
  <c r="AO40" i="16"/>
  <c r="AR40" i="16"/>
  <c r="AL595" i="2"/>
  <c r="AM590" i="2" s="1"/>
  <c r="AM593" i="2" s="1"/>
  <c r="AM597" i="2" s="1"/>
  <c r="AM624" i="2" s="1"/>
  <c r="AM626" i="2" s="1"/>
  <c r="AM640" i="2" s="1"/>
  <c r="AM644" i="2" s="1"/>
  <c r="AL609" i="2"/>
  <c r="AS610" i="2" s="1"/>
  <c r="I610" i="2" s="1"/>
  <c r="X281" i="7"/>
  <c r="Y277" i="7" s="1"/>
  <c r="Y280" i="7" s="1"/>
  <c r="Y283" i="7" s="1"/>
  <c r="Y301" i="7" s="1"/>
  <c r="Y303" i="7" s="1"/>
  <c r="U506" i="7"/>
  <c r="K1181" i="2"/>
  <c r="L1181" i="2" a="1"/>
  <c r="L1181" i="2" s="1"/>
  <c r="M1181" i="2" a="1"/>
  <c r="M1181" i="2" s="1"/>
  <c r="N1181" i="2" a="1"/>
  <c r="N1181" i="2" s="1"/>
  <c r="D48" i="11" s="1"/>
  <c r="F60" i="15" s="1"/>
  <c r="J60" i="15" s="1"/>
  <c r="I60" i="15" s="1"/>
  <c r="F770" i="2"/>
  <c r="F1228" i="2" s="1"/>
  <c r="AH74" i="16"/>
  <c r="AH1057" i="2"/>
  <c r="AK1057" i="2"/>
  <c r="AK74" i="16"/>
  <c r="AC1129" i="2"/>
  <c r="AA1129" i="2"/>
  <c r="O39" i="16"/>
  <c r="O142" i="17"/>
  <c r="K448" i="2"/>
  <c r="K450" i="2" s="1"/>
  <c r="K45" i="14" s="1"/>
  <c r="K46" i="14" s="1"/>
  <c r="K454" i="2"/>
  <c r="K455" i="2" s="1"/>
  <c r="I440" i="2"/>
  <c r="AR74" i="16"/>
  <c r="K794" i="2"/>
  <c r="I790" i="2"/>
  <c r="I794" i="2" s="1"/>
  <c r="R39" i="16"/>
  <c r="R142" i="17"/>
  <c r="G1112" i="2"/>
  <c r="D150" i="18" s="1"/>
  <c r="AG74" i="16"/>
  <c r="AG1057" i="2"/>
  <c r="Z1129" i="2"/>
  <c r="AO1057" i="2"/>
  <c r="AO74" i="16"/>
  <c r="AB40" i="16"/>
  <c r="AB335" i="7"/>
  <c r="AB336" i="7" s="1"/>
  <c r="AA339" i="7"/>
  <c r="V482" i="7"/>
  <c r="AC40" i="16"/>
  <c r="AI74" i="16"/>
  <c r="AI1057" i="2"/>
  <c r="AF40" i="16"/>
  <c r="AN1057" i="2"/>
  <c r="AN74" i="16"/>
  <c r="K1180" i="2"/>
  <c r="L1180" i="2" a="1"/>
  <c r="L1180" i="2" s="1"/>
  <c r="M1180" i="2" a="1"/>
  <c r="M1180" i="2" s="1"/>
  <c r="N1180" i="2" a="1"/>
  <c r="N1180" i="2" s="1"/>
  <c r="D47" i="11" s="1"/>
  <c r="F59" i="15" s="1"/>
  <c r="J59" i="15" s="1"/>
  <c r="I59" i="15" s="1"/>
  <c r="T39" i="16"/>
  <c r="T142" i="17"/>
  <c r="Z354" i="7"/>
  <c r="Z355" i="7" s="1"/>
  <c r="Z451" i="7" s="1"/>
  <c r="Z454" i="7" s="1"/>
  <c r="Z494" i="7"/>
  <c r="X495" i="7"/>
  <c r="X475" i="7"/>
  <c r="X476" i="7" s="1"/>
  <c r="W40" i="16"/>
  <c r="V502" i="7"/>
  <c r="W480" i="7"/>
  <c r="W496" i="7" s="1"/>
  <c r="W498" i="7" s="1"/>
  <c r="AG40" i="16"/>
  <c r="U142" i="17"/>
  <c r="U39" i="16"/>
  <c r="X40" i="16"/>
  <c r="P142" i="17"/>
  <c r="P39" i="16"/>
  <c r="AF74" i="16"/>
  <c r="AF1057" i="2"/>
  <c r="AE40" i="16"/>
  <c r="AD40" i="16"/>
  <c r="AG519" i="7"/>
  <c r="AG520" i="7" s="1"/>
  <c r="AG260" i="7"/>
  <c r="AG268" i="7" s="1"/>
  <c r="AG184" i="7"/>
  <c r="AG185" i="7" s="1"/>
  <c r="AH58" i="7"/>
  <c r="AJ74" i="16"/>
  <c r="AJ1057" i="2"/>
  <c r="AL294" i="7"/>
  <c r="AL297" i="7" s="1"/>
  <c r="AK299" i="7"/>
  <c r="AK302" i="7" s="1"/>
  <c r="AP74" i="16"/>
  <c r="AP1057" i="2"/>
  <c r="Q142" i="17"/>
  <c r="Q39" i="16"/>
  <c r="Y1129" i="2"/>
  <c r="Y40" i="16"/>
  <c r="I668" i="2"/>
  <c r="I1047" i="2"/>
  <c r="I768" i="2"/>
  <c r="I658" i="2"/>
  <c r="I802" i="2"/>
  <c r="I25" i="16"/>
  <c r="I788" i="2"/>
  <c r="X1129" i="2"/>
  <c r="V142" i="17"/>
  <c r="V39" i="16"/>
  <c r="I1090" i="2"/>
  <c r="I1000" i="2"/>
  <c r="I40" i="16" s="1"/>
  <c r="I805" i="2"/>
  <c r="AF269" i="7"/>
  <c r="AF270" i="7"/>
  <c r="W1129" i="2"/>
  <c r="AQ74" i="16"/>
  <c r="AQ1057" i="2"/>
  <c r="Z40" i="16"/>
  <c r="S142" i="17"/>
  <c r="S39" i="16"/>
  <c r="Y466" i="7"/>
  <c r="Y467" i="7" s="1"/>
  <c r="Y473" i="7"/>
  <c r="AA40" i="16"/>
  <c r="L142" i="17"/>
  <c r="L39" i="16"/>
  <c r="AS74" i="16"/>
  <c r="AS1057" i="2"/>
  <c r="AB1129" i="2"/>
  <c r="G1113" i="2"/>
  <c r="D151" i="18" s="1"/>
  <c r="AE1057" i="2"/>
  <c r="AE74" i="16"/>
  <c r="AD1129" i="2"/>
  <c r="AL1057" i="2"/>
  <c r="AL74" i="16"/>
  <c r="M39" i="16"/>
  <c r="M142" i="17"/>
  <c r="AE271" i="7"/>
  <c r="AE276" i="7" s="1"/>
  <c r="AE278" i="7" s="1"/>
  <c r="AE279" i="7" s="1"/>
  <c r="AM74" i="16"/>
  <c r="AM1057" i="2"/>
  <c r="K769" i="2"/>
  <c r="K770" i="2" s="1"/>
  <c r="N142" i="17"/>
  <c r="N39" i="16"/>
  <c r="AE644" i="2" l="1"/>
  <c r="AE775" i="2" s="1"/>
  <c r="AH608" i="2"/>
  <c r="AH611" i="2" s="1"/>
  <c r="AG613" i="2"/>
  <c r="AF617" i="2"/>
  <c r="AF619" i="2" s="1"/>
  <c r="AG615" i="2" s="1"/>
  <c r="AF621" i="2"/>
  <c r="AF625" i="2" s="1"/>
  <c r="AF626" i="2" s="1"/>
  <c r="AF640" i="2" s="1"/>
  <c r="AQ924" i="2"/>
  <c r="AQ925" i="2" s="1"/>
  <c r="AQ937" i="2" s="1"/>
  <c r="AQ929" i="2"/>
  <c r="AQ912" i="2"/>
  <c r="AR907" i="2" s="1"/>
  <c r="AR908" i="2" s="1"/>
  <c r="AF271" i="7"/>
  <c r="AF276" i="7" s="1"/>
  <c r="AF278" i="7" s="1"/>
  <c r="AF279" i="7" s="1"/>
  <c r="AP1096" i="2"/>
  <c r="AP931" i="2"/>
  <c r="AP1006" i="2"/>
  <c r="AR36" i="16"/>
  <c r="W1002" i="2"/>
  <c r="W1092" i="2"/>
  <c r="W809" i="2"/>
  <c r="I46" i="14"/>
  <c r="AM775" i="2"/>
  <c r="AF1092" i="2"/>
  <c r="AF809" i="2"/>
  <c r="AF1002" i="2"/>
  <c r="AA753" i="2"/>
  <c r="AA777" i="2"/>
  <c r="AE1002" i="2"/>
  <c r="AE809" i="2"/>
  <c r="AE1092" i="2"/>
  <c r="AH809" i="2"/>
  <c r="AH1002" i="2"/>
  <c r="AH1092" i="2"/>
  <c r="AG1002" i="2"/>
  <c r="AG1092" i="2"/>
  <c r="AG809" i="2"/>
  <c r="AD1092" i="2"/>
  <c r="AD809" i="2"/>
  <c r="AD1002" i="2"/>
  <c r="AK1002" i="2"/>
  <c r="AK809" i="2"/>
  <c r="AK1092" i="2"/>
  <c r="AI1092" i="2"/>
  <c r="AI1002" i="2"/>
  <c r="AI809" i="2"/>
  <c r="AJ1002" i="2"/>
  <c r="AJ1092" i="2"/>
  <c r="AJ809" i="2"/>
  <c r="T518" i="2"/>
  <c r="T520" i="2" s="1"/>
  <c r="P518" i="2"/>
  <c r="P520" i="2" s="1"/>
  <c r="S518" i="2"/>
  <c r="S520" i="2" s="1"/>
  <c r="O518" i="2"/>
  <c r="O520" i="2" s="1"/>
  <c r="V518" i="2"/>
  <c r="V520" i="2" s="1"/>
  <c r="L518" i="2"/>
  <c r="L520" i="2" s="1"/>
  <c r="U518" i="2"/>
  <c r="U520" i="2" s="1"/>
  <c r="M518" i="2"/>
  <c r="M520" i="2" s="1"/>
  <c r="Q518" i="2"/>
  <c r="Q520" i="2" s="1"/>
  <c r="N518" i="2"/>
  <c r="N520" i="2" s="1"/>
  <c r="R518" i="2"/>
  <c r="R520" i="2" s="1"/>
  <c r="Y281" i="7"/>
  <c r="Z277" i="7" s="1"/>
  <c r="AM594" i="2"/>
  <c r="I841" i="2"/>
  <c r="Y74" i="16"/>
  <c r="Y1057" i="2"/>
  <c r="K38" i="14"/>
  <c r="K494" i="2"/>
  <c r="K495" i="2" s="1"/>
  <c r="K999" i="2"/>
  <c r="K804" i="2"/>
  <c r="K773" i="2"/>
  <c r="I450" i="2"/>
  <c r="I45" i="14" s="1"/>
  <c r="K1089" i="2"/>
  <c r="X74" i="16"/>
  <c r="X1057" i="2"/>
  <c r="V503" i="7"/>
  <c r="V506" i="7" s="1"/>
  <c r="AC74" i="16"/>
  <c r="AC1057" i="2"/>
  <c r="AH184" i="7"/>
  <c r="AH185" i="7" s="1"/>
  <c r="AH519" i="7"/>
  <c r="AH520" i="7" s="1"/>
  <c r="AH260" i="7"/>
  <c r="AH268" i="7" s="1"/>
  <c r="AI58" i="7"/>
  <c r="AA494" i="7"/>
  <c r="AA354" i="7"/>
  <c r="AA355" i="7" s="1"/>
  <c r="AA451" i="7" s="1"/>
  <c r="AA454" i="7" s="1"/>
  <c r="Z1057" i="2"/>
  <c r="Z74" i="16"/>
  <c r="AC335" i="7"/>
  <c r="AC336" i="7" s="1"/>
  <c r="AB339" i="7"/>
  <c r="AG270" i="7"/>
  <c r="AG269" i="7"/>
  <c r="Z280" i="7"/>
  <c r="Z283" i="7" s="1"/>
  <c r="Z301" i="7" s="1"/>
  <c r="Z303" i="7" s="1"/>
  <c r="AB1057" i="2"/>
  <c r="AB74" i="16"/>
  <c r="Y475" i="7"/>
  <c r="Y476" i="7" s="1"/>
  <c r="Y495" i="7"/>
  <c r="X480" i="7"/>
  <c r="X496" i="7" s="1"/>
  <c r="X498" i="7" s="1"/>
  <c r="W482" i="7"/>
  <c r="W503" i="7" s="1"/>
  <c r="I448" i="2"/>
  <c r="I454" i="2"/>
  <c r="AD74" i="16"/>
  <c r="AD1057" i="2"/>
  <c r="W74" i="16"/>
  <c r="W1057" i="2"/>
  <c r="AM294" i="7"/>
  <c r="AM297" i="7" s="1"/>
  <c r="AL299" i="7"/>
  <c r="AL302" i="7" s="1"/>
  <c r="W502" i="7"/>
  <c r="Z466" i="7"/>
  <c r="Z467" i="7" s="1"/>
  <c r="Z473" i="7"/>
  <c r="K713" i="2"/>
  <c r="K461" i="2"/>
  <c r="K463" i="2" s="1"/>
  <c r="I455" i="2"/>
  <c r="AA1057" i="2"/>
  <c r="AA74" i="16"/>
  <c r="AF644" i="2" l="1"/>
  <c r="AF775" i="2" s="1"/>
  <c r="AG621" i="2"/>
  <c r="AG625" i="2" s="1"/>
  <c r="AG626" i="2" s="1"/>
  <c r="AG640" i="2" s="1"/>
  <c r="AG617" i="2"/>
  <c r="AG619" i="2" s="1"/>
  <c r="AH615" i="2" s="1"/>
  <c r="AI608" i="2"/>
  <c r="AI611" i="2" s="1"/>
  <c r="AH613" i="2"/>
  <c r="AQ58" i="16"/>
  <c r="AP932" i="2"/>
  <c r="AP1021" i="2" s="1"/>
  <c r="AP1134" i="2" s="1"/>
  <c r="AP79" i="16" s="1"/>
  <c r="AR911" i="2"/>
  <c r="AP46" i="16"/>
  <c r="AP148" i="17"/>
  <c r="AR420" i="7"/>
  <c r="AR425" i="7" s="1"/>
  <c r="AQ761" i="2"/>
  <c r="AQ918" i="2"/>
  <c r="W42" i="16"/>
  <c r="W144" i="17"/>
  <c r="AI144" i="17"/>
  <c r="AI42" i="16"/>
  <c r="AE42" i="16"/>
  <c r="AE144" i="17"/>
  <c r="AA809" i="2"/>
  <c r="AA1002" i="2"/>
  <c r="AA1092" i="2"/>
  <c r="AK42" i="16"/>
  <c r="AK144" i="17"/>
  <c r="AH144" i="17"/>
  <c r="AH42" i="16"/>
  <c r="AD144" i="17"/>
  <c r="AD42" i="16"/>
  <c r="AF144" i="17"/>
  <c r="AF42" i="16"/>
  <c r="AG42" i="16"/>
  <c r="AG144" i="17"/>
  <c r="AJ42" i="16"/>
  <c r="AJ144" i="17"/>
  <c r="R1050" i="2"/>
  <c r="R774" i="2"/>
  <c r="R659" i="2"/>
  <c r="R661" i="2" s="1"/>
  <c r="R101" i="14"/>
  <c r="R102" i="14" s="1"/>
  <c r="R321" i="4" s="1"/>
  <c r="R322" i="4" s="1"/>
  <c r="R84" i="14"/>
  <c r="R90" i="14" s="1"/>
  <c r="R95" i="17"/>
  <c r="R100" i="17" s="1"/>
  <c r="R28" i="16"/>
  <c r="R853" i="2"/>
  <c r="R816" i="2"/>
  <c r="R828" i="2"/>
  <c r="R840" i="2" s="1"/>
  <c r="R806" i="2"/>
  <c r="R718" i="2"/>
  <c r="R720" i="2" s="1"/>
  <c r="R653" i="2"/>
  <c r="R655" i="2" s="1"/>
  <c r="N659" i="2"/>
  <c r="N661" i="2" s="1"/>
  <c r="N853" i="2"/>
  <c r="N806" i="2"/>
  <c r="N95" i="17"/>
  <c r="N100" i="17" s="1"/>
  <c r="N28" i="16"/>
  <c r="N816" i="2"/>
  <c r="N774" i="2"/>
  <c r="N1050" i="2"/>
  <c r="N718" i="2"/>
  <c r="N720" i="2" s="1"/>
  <c r="N84" i="14"/>
  <c r="N90" i="14" s="1"/>
  <c r="N653" i="2"/>
  <c r="N655" i="2" s="1"/>
  <c r="N101" i="14"/>
  <c r="N102" i="14" s="1"/>
  <c r="N321" i="4" s="1"/>
  <c r="N322" i="4" s="1"/>
  <c r="N828" i="2"/>
  <c r="N840" i="2" s="1"/>
  <c r="U718" i="2"/>
  <c r="U720" i="2" s="1"/>
  <c r="U806" i="2"/>
  <c r="U828" i="2"/>
  <c r="U840" i="2" s="1"/>
  <c r="U774" i="2"/>
  <c r="U853" i="2"/>
  <c r="U28" i="16"/>
  <c r="U816" i="2"/>
  <c r="U95" i="17"/>
  <c r="U100" i="17" s="1"/>
  <c r="U659" i="2"/>
  <c r="U661" i="2" s="1"/>
  <c r="U1050" i="2"/>
  <c r="U84" i="14"/>
  <c r="U90" i="14" s="1"/>
  <c r="U653" i="2"/>
  <c r="U655" i="2" s="1"/>
  <c r="U101" i="14"/>
  <c r="U102" i="14" s="1"/>
  <c r="U321" i="4" s="1"/>
  <c r="U322" i="4" s="1"/>
  <c r="V84" i="14"/>
  <c r="V90" i="14" s="1"/>
  <c r="V653" i="2"/>
  <c r="V655" i="2" s="1"/>
  <c r="V659" i="2"/>
  <c r="V661" i="2" s="1"/>
  <c r="V816" i="2"/>
  <c r="V774" i="2"/>
  <c r="V95" i="17"/>
  <c r="V100" i="17" s="1"/>
  <c r="V828" i="2"/>
  <c r="V840" i="2" s="1"/>
  <c r="V101" i="14"/>
  <c r="V102" i="14" s="1"/>
  <c r="V321" i="4" s="1"/>
  <c r="V322" i="4" s="1"/>
  <c r="V718" i="2"/>
  <c r="V720" i="2" s="1"/>
  <c r="V1050" i="2"/>
  <c r="V806" i="2"/>
  <c r="V28" i="16"/>
  <c r="V853" i="2"/>
  <c r="Q653" i="2"/>
  <c r="Q655" i="2" s="1"/>
  <c r="Q95" i="17"/>
  <c r="Q100" i="17" s="1"/>
  <c r="Q774" i="2"/>
  <c r="Q718" i="2"/>
  <c r="Q720" i="2" s="1"/>
  <c r="Q84" i="14"/>
  <c r="Q90" i="14" s="1"/>
  <c r="Q28" i="16"/>
  <c r="Q806" i="2"/>
  <c r="Q101" i="14"/>
  <c r="Q102" i="14" s="1"/>
  <c r="Q321" i="4" s="1"/>
  <c r="Q322" i="4" s="1"/>
  <c r="Q828" i="2"/>
  <c r="Q840" i="2" s="1"/>
  <c r="Q659" i="2"/>
  <c r="Q661" i="2" s="1"/>
  <c r="Q1050" i="2"/>
  <c r="Q816" i="2"/>
  <c r="Q853" i="2"/>
  <c r="M718" i="2"/>
  <c r="M720" i="2" s="1"/>
  <c r="M828" i="2"/>
  <c r="M840" i="2" s="1"/>
  <c r="M28" i="16"/>
  <c r="M84" i="14"/>
  <c r="M90" i="14" s="1"/>
  <c r="M95" i="17"/>
  <c r="M100" i="17" s="1"/>
  <c r="M659" i="2"/>
  <c r="M661" i="2" s="1"/>
  <c r="M101" i="14"/>
  <c r="M102" i="14" s="1"/>
  <c r="M321" i="4" s="1"/>
  <c r="M322" i="4" s="1"/>
  <c r="M1050" i="2"/>
  <c r="M853" i="2"/>
  <c r="M816" i="2"/>
  <c r="M653" i="2"/>
  <c r="M655" i="2" s="1"/>
  <c r="M774" i="2"/>
  <c r="M806" i="2"/>
  <c r="P806" i="2"/>
  <c r="P1050" i="2"/>
  <c r="P853" i="2"/>
  <c r="P84" i="14"/>
  <c r="P90" i="14" s="1"/>
  <c r="P95" i="17"/>
  <c r="P100" i="17" s="1"/>
  <c r="P659" i="2"/>
  <c r="P661" i="2" s="1"/>
  <c r="P816" i="2"/>
  <c r="P28" i="16"/>
  <c r="P653" i="2"/>
  <c r="P655" i="2" s="1"/>
  <c r="P828" i="2"/>
  <c r="P840" i="2" s="1"/>
  <c r="P774" i="2"/>
  <c r="P101" i="14"/>
  <c r="P102" i="14" s="1"/>
  <c r="P321" i="4" s="1"/>
  <c r="P322" i="4" s="1"/>
  <c r="P718" i="2"/>
  <c r="P720" i="2" s="1"/>
  <c r="S84" i="14"/>
  <c r="S90" i="14" s="1"/>
  <c r="S806" i="2"/>
  <c r="S95" i="17"/>
  <c r="S100" i="17" s="1"/>
  <c r="S101" i="14"/>
  <c r="S102" i="14" s="1"/>
  <c r="S321" i="4" s="1"/>
  <c r="S322" i="4" s="1"/>
  <c r="S653" i="2"/>
  <c r="S655" i="2" s="1"/>
  <c r="S853" i="2"/>
  <c r="S828" i="2"/>
  <c r="S840" i="2" s="1"/>
  <c r="S718" i="2"/>
  <c r="S720" i="2" s="1"/>
  <c r="S774" i="2"/>
  <c r="S1050" i="2"/>
  <c r="S659" i="2"/>
  <c r="S661" i="2" s="1"/>
  <c r="S28" i="16"/>
  <c r="S816" i="2"/>
  <c r="L718" i="2"/>
  <c r="L720" i="2" s="1"/>
  <c r="L1050" i="2"/>
  <c r="L653" i="2"/>
  <c r="L655" i="2" s="1"/>
  <c r="L659" i="2"/>
  <c r="L661" i="2" s="1"/>
  <c r="L853" i="2"/>
  <c r="L95" i="17"/>
  <c r="L100" i="17" s="1"/>
  <c r="L816" i="2"/>
  <c r="L774" i="2"/>
  <c r="L28" i="16"/>
  <c r="L101" i="14"/>
  <c r="L102" i="14" s="1"/>
  <c r="L321" i="4" s="1"/>
  <c r="L322" i="4" s="1"/>
  <c r="L828" i="2"/>
  <c r="L840" i="2" s="1"/>
  <c r="L806" i="2"/>
  <c r="L84" i="14"/>
  <c r="L90" i="14" s="1"/>
  <c r="O28" i="16"/>
  <c r="O806" i="2"/>
  <c r="O1050" i="2"/>
  <c r="O95" i="17"/>
  <c r="O100" i="17" s="1"/>
  <c r="O101" i="14"/>
  <c r="O102" i="14" s="1"/>
  <c r="O321" i="4" s="1"/>
  <c r="O322" i="4" s="1"/>
  <c r="O853" i="2"/>
  <c r="O718" i="2"/>
  <c r="O720" i="2" s="1"/>
  <c r="O828" i="2"/>
  <c r="O840" i="2" s="1"/>
  <c r="O659" i="2"/>
  <c r="O661" i="2" s="1"/>
  <c r="O774" i="2"/>
  <c r="O816" i="2"/>
  <c r="O653" i="2"/>
  <c r="O655" i="2" s="1"/>
  <c r="O84" i="14"/>
  <c r="O90" i="14" s="1"/>
  <c r="T853" i="2"/>
  <c r="T95" i="17"/>
  <c r="T100" i="17" s="1"/>
  <c r="T718" i="2"/>
  <c r="T720" i="2" s="1"/>
  <c r="T653" i="2"/>
  <c r="T655" i="2" s="1"/>
  <c r="T774" i="2"/>
  <c r="T816" i="2"/>
  <c r="T806" i="2"/>
  <c r="T84" i="14"/>
  <c r="T90" i="14" s="1"/>
  <c r="T101" i="14"/>
  <c r="T102" i="14" s="1"/>
  <c r="T321" i="4" s="1"/>
  <c r="T322" i="4" s="1"/>
  <c r="T828" i="2"/>
  <c r="T840" i="2" s="1"/>
  <c r="T659" i="2"/>
  <c r="T661" i="2" s="1"/>
  <c r="T28" i="16"/>
  <c r="T1050" i="2"/>
  <c r="AM602" i="2"/>
  <c r="AM603" i="2" s="1"/>
  <c r="AM595" i="2"/>
  <c r="AN590" i="2" s="1"/>
  <c r="AN593" i="2" s="1"/>
  <c r="AN597" i="2" s="1"/>
  <c r="AN624" i="2" s="1"/>
  <c r="AN626" i="2" s="1"/>
  <c r="AN640" i="2" s="1"/>
  <c r="AN644" i="2" s="1"/>
  <c r="W506" i="7"/>
  <c r="X502" i="7"/>
  <c r="Y480" i="7"/>
  <c r="Y496" i="7" s="1"/>
  <c r="Y498" i="7" s="1"/>
  <c r="Y502" i="7" s="1"/>
  <c r="AH269" i="7"/>
  <c r="AH270" i="7"/>
  <c r="I463" i="2"/>
  <c r="I715" i="2" s="1"/>
  <c r="K715" i="2"/>
  <c r="AB494" i="7"/>
  <c r="AB354" i="7"/>
  <c r="AB355" i="7" s="1"/>
  <c r="AB451" i="7" s="1"/>
  <c r="AB454" i="7" s="1"/>
  <c r="K142" i="17"/>
  <c r="K39" i="16"/>
  <c r="AN294" i="7"/>
  <c r="AN297" i="7" s="1"/>
  <c r="AM299" i="7"/>
  <c r="AM302" i="7" s="1"/>
  <c r="Z281" i="7"/>
  <c r="AA277" i="7" s="1"/>
  <c r="AD335" i="7"/>
  <c r="AD336" i="7" s="1"/>
  <c r="AC339" i="7"/>
  <c r="I495" i="2"/>
  <c r="I498" i="2" s="1"/>
  <c r="K498" i="2"/>
  <c r="K500" i="2" s="1"/>
  <c r="I461" i="2"/>
  <c r="I713" i="2"/>
  <c r="Z475" i="7"/>
  <c r="Z476" i="7" s="1"/>
  <c r="Z495" i="7"/>
  <c r="AG271" i="7"/>
  <c r="AG276" i="7" s="1"/>
  <c r="AG278" i="7" s="1"/>
  <c r="AG279" i="7" s="1"/>
  <c r="AA466" i="7"/>
  <c r="AA467" i="7" s="1"/>
  <c r="AA473" i="7"/>
  <c r="X482" i="7"/>
  <c r="X503" i="7" s="1"/>
  <c r="AI519" i="7"/>
  <c r="AI520" i="7" s="1"/>
  <c r="AI184" i="7"/>
  <c r="AI185" i="7" s="1"/>
  <c r="AI260" i="7"/>
  <c r="AI268" i="7" s="1"/>
  <c r="AJ58" i="7"/>
  <c r="I38" i="14"/>
  <c r="I494" i="2"/>
  <c r="I1089" i="2"/>
  <c r="I999" i="2"/>
  <c r="I773" i="2"/>
  <c r="I804" i="2"/>
  <c r="AG644" i="2" l="1"/>
  <c r="AG775" i="2" s="1"/>
  <c r="AH617" i="2"/>
  <c r="AH619" i="2" s="1"/>
  <c r="AI615" i="2" s="1"/>
  <c r="AH621" i="2"/>
  <c r="AH625" i="2" s="1"/>
  <c r="AH626" i="2" s="1"/>
  <c r="AH640" i="2" s="1"/>
  <c r="AI613" i="2"/>
  <c r="AJ608" i="2"/>
  <c r="AJ611" i="2" s="1"/>
  <c r="AR924" i="2"/>
  <c r="AR925" i="2" s="1"/>
  <c r="AR937" i="2" s="1"/>
  <c r="AR929" i="2"/>
  <c r="AR912" i="2"/>
  <c r="AS907" i="2" s="1"/>
  <c r="AS908" i="2" s="1"/>
  <c r="AQ1096" i="2"/>
  <c r="AQ931" i="2"/>
  <c r="AQ1006" i="2"/>
  <c r="AN775" i="2"/>
  <c r="G1115" i="2"/>
  <c r="D153" i="18" s="1"/>
  <c r="AA144" i="17"/>
  <c r="AA42" i="16"/>
  <c r="AN594" i="2"/>
  <c r="AN602" i="2" s="1"/>
  <c r="AN603" i="2" s="1"/>
  <c r="AN616" i="2" s="1"/>
  <c r="J100" i="17"/>
  <c r="G1080" i="2"/>
  <c r="D142" i="18" s="1"/>
  <c r="N830" i="2"/>
  <c r="N30" i="16"/>
  <c r="N86" i="14"/>
  <c r="N92" i="14" s="1"/>
  <c r="N312" i="4" s="1"/>
  <c r="N818" i="2"/>
  <c r="N1052" i="2"/>
  <c r="N1054" i="2" s="1"/>
  <c r="P830" i="2"/>
  <c r="P1052" i="2"/>
  <c r="P86" i="14"/>
  <c r="P92" i="14" s="1"/>
  <c r="P312" i="4" s="1"/>
  <c r="P818" i="2"/>
  <c r="P30" i="16"/>
  <c r="M33" i="16"/>
  <c r="M98" i="17"/>
  <c r="M1016" i="2"/>
  <c r="M1129" i="2" s="1"/>
  <c r="M74" i="16" s="1"/>
  <c r="P842" i="2"/>
  <c r="P846" i="2"/>
  <c r="P848" i="2" s="1"/>
  <c r="P991" i="2" s="1"/>
  <c r="T830" i="2"/>
  <c r="T818" i="2"/>
  <c r="T30" i="16"/>
  <c r="T86" i="14"/>
  <c r="T92" i="14" s="1"/>
  <c r="T312" i="4" s="1"/>
  <c r="T1052" i="2"/>
  <c r="T1054" i="2" s="1"/>
  <c r="O33" i="16"/>
  <c r="O1016" i="2"/>
  <c r="O1129" i="2" s="1"/>
  <c r="O74" i="16" s="1"/>
  <c r="O98" i="17"/>
  <c r="F662" i="2"/>
  <c r="F34" i="16" s="1"/>
  <c r="S33" i="16"/>
  <c r="S98" i="17"/>
  <c r="S1016" i="2"/>
  <c r="S1129" i="2" s="1"/>
  <c r="S74" i="16" s="1"/>
  <c r="Q98" i="17"/>
  <c r="Q33" i="16"/>
  <c r="Q1016" i="2"/>
  <c r="Q1129" i="2" s="1"/>
  <c r="V842" i="2"/>
  <c r="V846" i="2"/>
  <c r="V848" i="2" s="1"/>
  <c r="V991" i="2" s="1"/>
  <c r="U830" i="2"/>
  <c r="U30" i="16"/>
  <c r="U818" i="2"/>
  <c r="U86" i="14"/>
  <c r="U92" i="14" s="1"/>
  <c r="U312" i="4" s="1"/>
  <c r="U1052" i="2"/>
  <c r="U1054" i="2" s="1"/>
  <c r="N722" i="2"/>
  <c r="N721" i="2"/>
  <c r="N1016" i="2"/>
  <c r="N1129" i="2" s="1"/>
  <c r="N74" i="16" s="1"/>
  <c r="N98" i="17"/>
  <c r="N33" i="16"/>
  <c r="S830" i="2"/>
  <c r="S1052" i="2"/>
  <c r="S30" i="16"/>
  <c r="S818" i="2"/>
  <c r="S86" i="14"/>
  <c r="S92" i="14" s="1"/>
  <c r="S312" i="4" s="1"/>
  <c r="Q721" i="2"/>
  <c r="Q722" i="2"/>
  <c r="O846" i="2"/>
  <c r="O848" i="2" s="1"/>
  <c r="O991" i="2" s="1"/>
  <c r="O842" i="2"/>
  <c r="Q842" i="2"/>
  <c r="Q846" i="2"/>
  <c r="Q848" i="2" s="1"/>
  <c r="Q991" i="2" s="1"/>
  <c r="Q830" i="2"/>
  <c r="Q1052" i="2"/>
  <c r="Q1054" i="2" s="1"/>
  <c r="Q818" i="2"/>
  <c r="Q86" i="14"/>
  <c r="Q92" i="14" s="1"/>
  <c r="Q312" i="4" s="1"/>
  <c r="Q30" i="16"/>
  <c r="U846" i="2"/>
  <c r="U848" i="2" s="1"/>
  <c r="U991" i="2" s="1"/>
  <c r="U842" i="2"/>
  <c r="R830" i="2"/>
  <c r="R30" i="16"/>
  <c r="R86" i="14"/>
  <c r="R92" i="14" s="1"/>
  <c r="R312" i="4" s="1"/>
  <c r="R818" i="2"/>
  <c r="R1052" i="2"/>
  <c r="R1054" i="2" s="1"/>
  <c r="V721" i="2"/>
  <c r="V722" i="2"/>
  <c r="V740" i="2" s="1"/>
  <c r="V745" i="2" s="1"/>
  <c r="T842" i="2"/>
  <c r="T846" i="2"/>
  <c r="T848" i="2" s="1"/>
  <c r="T991" i="2" s="1"/>
  <c r="O721" i="2"/>
  <c r="O722" i="2"/>
  <c r="L98" i="17"/>
  <c r="L1016" i="2"/>
  <c r="L1129" i="2" s="1"/>
  <c r="L74" i="16" s="1"/>
  <c r="L33" i="16"/>
  <c r="P98" i="17"/>
  <c r="P33" i="16"/>
  <c r="P1016" i="2"/>
  <c r="P1129" i="2" s="1"/>
  <c r="M830" i="2"/>
  <c r="M818" i="2"/>
  <c r="M30" i="16"/>
  <c r="M86" i="14"/>
  <c r="M92" i="14" s="1"/>
  <c r="M312" i="4" s="1"/>
  <c r="M1052" i="2"/>
  <c r="M1054" i="2" s="1"/>
  <c r="R722" i="2"/>
  <c r="R721" i="2"/>
  <c r="T1016" i="2"/>
  <c r="T1129" i="2" s="1"/>
  <c r="T74" i="16" s="1"/>
  <c r="T33" i="16"/>
  <c r="T98" i="17"/>
  <c r="T721" i="2"/>
  <c r="T722" i="2"/>
  <c r="L846" i="2"/>
  <c r="L848" i="2" s="1"/>
  <c r="L991" i="2" s="1"/>
  <c r="L842" i="2"/>
  <c r="L830" i="2"/>
  <c r="L30" i="16"/>
  <c r="L86" i="14"/>
  <c r="L92" i="14" s="1"/>
  <c r="L312" i="4" s="1"/>
  <c r="L818" i="2"/>
  <c r="L1052" i="2"/>
  <c r="L1054" i="2" s="1"/>
  <c r="S722" i="2"/>
  <c r="S721" i="2"/>
  <c r="P721" i="2"/>
  <c r="P722" i="2"/>
  <c r="I840" i="2"/>
  <c r="M846" i="2"/>
  <c r="M848" i="2" s="1"/>
  <c r="M991" i="2" s="1"/>
  <c r="M842" i="2"/>
  <c r="U98" i="17"/>
  <c r="U33" i="16"/>
  <c r="U1016" i="2"/>
  <c r="U1129" i="2" s="1"/>
  <c r="U721" i="2"/>
  <c r="U722" i="2"/>
  <c r="R1016" i="2"/>
  <c r="R1129" i="2" s="1"/>
  <c r="R98" i="17"/>
  <c r="R33" i="16"/>
  <c r="M722" i="2"/>
  <c r="M721" i="2"/>
  <c r="V33" i="16"/>
  <c r="V98" i="17"/>
  <c r="V1016" i="2"/>
  <c r="V1129" i="2" s="1"/>
  <c r="V74" i="16" s="1"/>
  <c r="N842" i="2"/>
  <c r="N846" i="2"/>
  <c r="N848" i="2" s="1"/>
  <c r="N991" i="2" s="1"/>
  <c r="R842" i="2"/>
  <c r="R846" i="2"/>
  <c r="R848" i="2" s="1"/>
  <c r="R991" i="2" s="1"/>
  <c r="K1171" i="2"/>
  <c r="L1171" i="2" a="1"/>
  <c r="L1171" i="2" s="1"/>
  <c r="M1171" i="2" a="1"/>
  <c r="M1171" i="2" s="1"/>
  <c r="N1171" i="2" a="1"/>
  <c r="N1171" i="2" s="1"/>
  <c r="D26" i="11" s="1"/>
  <c r="F32" i="15" s="1"/>
  <c r="J32" i="15" s="1"/>
  <c r="I32" i="15" s="1"/>
  <c r="S842" i="2"/>
  <c r="S846" i="2"/>
  <c r="S848" i="2" s="1"/>
  <c r="S991" i="2" s="1"/>
  <c r="O830" i="2"/>
  <c r="O1052" i="2"/>
  <c r="O1054" i="2" s="1"/>
  <c r="O30" i="16"/>
  <c r="O86" i="14"/>
  <c r="O92" i="14" s="1"/>
  <c r="O312" i="4" s="1"/>
  <c r="O818" i="2"/>
  <c r="L721" i="2"/>
  <c r="L722" i="2"/>
  <c r="V830" i="2"/>
  <c r="V86" i="14"/>
  <c r="V92" i="14" s="1"/>
  <c r="V312" i="4" s="1"/>
  <c r="V1052" i="2"/>
  <c r="V1054" i="2" s="1"/>
  <c r="V30" i="16"/>
  <c r="V818" i="2"/>
  <c r="AM616" i="2"/>
  <c r="AM609" i="2"/>
  <c r="Y482" i="7"/>
  <c r="Y503" i="7" s="1"/>
  <c r="Y506" i="7" s="1"/>
  <c r="AI269" i="7"/>
  <c r="AI270" i="7"/>
  <c r="I500" i="2"/>
  <c r="I506" i="2" s="1"/>
  <c r="K506" i="2"/>
  <c r="K509" i="2" s="1"/>
  <c r="AA495" i="7"/>
  <c r="AA475" i="7"/>
  <c r="AA476" i="7" s="1"/>
  <c r="AO294" i="7"/>
  <c r="AO297" i="7" s="1"/>
  <c r="AN299" i="7"/>
  <c r="AN302" i="7" s="1"/>
  <c r="AB466" i="7"/>
  <c r="AB467" i="7" s="1"/>
  <c r="AB473" i="7"/>
  <c r="Z480" i="7"/>
  <c r="Z496" i="7" s="1"/>
  <c r="Z498" i="7" s="1"/>
  <c r="Z502" i="7" s="1"/>
  <c r="I39" i="16"/>
  <c r="I142" i="17"/>
  <c r="AC354" i="7"/>
  <c r="AC355" i="7" s="1"/>
  <c r="AC451" i="7" s="1"/>
  <c r="AC454" i="7" s="1"/>
  <c r="AC494" i="7"/>
  <c r="AA280" i="7"/>
  <c r="AA283" i="7" s="1"/>
  <c r="AA301" i="7" s="1"/>
  <c r="AA303" i="7" s="1"/>
  <c r="AJ519" i="7"/>
  <c r="AJ520" i="7" s="1"/>
  <c r="AJ260" i="7"/>
  <c r="AJ268" i="7" s="1"/>
  <c r="AJ184" i="7"/>
  <c r="AJ185" i="7" s="1"/>
  <c r="AK58" i="7"/>
  <c r="AE335" i="7"/>
  <c r="AE336" i="7" s="1"/>
  <c r="AD339" i="7"/>
  <c r="AH271" i="7"/>
  <c r="AH276" i="7" s="1"/>
  <c r="AH278" i="7" s="1"/>
  <c r="AH279" i="7" s="1"/>
  <c r="X506" i="7"/>
  <c r="AH644" i="2" l="1"/>
  <c r="AH775" i="2" s="1"/>
  <c r="AJ613" i="2"/>
  <c r="AK608" i="2"/>
  <c r="AK611" i="2" s="1"/>
  <c r="AI617" i="2"/>
  <c r="AI619" i="2" s="1"/>
  <c r="AJ615" i="2" s="1"/>
  <c r="AI621" i="2"/>
  <c r="AI625" i="2" s="1"/>
  <c r="AI626" i="2" s="1"/>
  <c r="AI640" i="2" s="1"/>
  <c r="AR58" i="16"/>
  <c r="AQ932" i="2"/>
  <c r="AQ1021" i="2" s="1"/>
  <c r="AQ1134" i="2" s="1"/>
  <c r="AQ79" i="16" s="1"/>
  <c r="AS911" i="2"/>
  <c r="AS929" i="2" s="1"/>
  <c r="AR918" i="2"/>
  <c r="AR761" i="2"/>
  <c r="AS420" i="7"/>
  <c r="AS425" i="7" s="1"/>
  <c r="AQ148" i="17"/>
  <c r="AQ46" i="16"/>
  <c r="V752" i="2"/>
  <c r="V746" i="2"/>
  <c r="J745" i="2"/>
  <c r="AN609" i="2"/>
  <c r="AN595" i="2"/>
  <c r="AO590" i="2" s="1"/>
  <c r="AO593" i="2" s="1"/>
  <c r="AO594" i="2" s="1"/>
  <c r="AO602" i="2" s="1"/>
  <c r="AO603" i="2" s="1"/>
  <c r="S36" i="16"/>
  <c r="R1057" i="2"/>
  <c r="N1057" i="2"/>
  <c r="M1212" i="2"/>
  <c r="O36" i="16"/>
  <c r="U1057" i="2"/>
  <c r="Q36" i="16"/>
  <c r="V1057" i="2"/>
  <c r="M36" i="16"/>
  <c r="L1212" i="2"/>
  <c r="Q74" i="16"/>
  <c r="U74" i="16"/>
  <c r="R74" i="16"/>
  <c r="Q1057" i="2"/>
  <c r="N1212" i="2"/>
  <c r="E33" i="11" s="1"/>
  <c r="P74" i="16"/>
  <c r="M1199" i="2" a="1"/>
  <c r="M1199" i="2" s="1"/>
  <c r="P1098" i="2"/>
  <c r="P1008" i="2"/>
  <c r="P48" i="16" s="1"/>
  <c r="P865" i="2"/>
  <c r="K1173" i="2"/>
  <c r="L1173" i="2" a="1"/>
  <c r="L1173" i="2" s="1"/>
  <c r="M1173" i="2" a="1"/>
  <c r="M1173" i="2" s="1"/>
  <c r="P1054" i="2"/>
  <c r="N1173" i="2" a="1"/>
  <c r="N1173" i="2" s="1"/>
  <c r="D28" i="11" s="1"/>
  <c r="F34" i="15" s="1"/>
  <c r="J34" i="15" s="1"/>
  <c r="I34" i="15" s="1"/>
  <c r="V1098" i="2"/>
  <c r="V865" i="2"/>
  <c r="V1008" i="2"/>
  <c r="V48" i="16" s="1"/>
  <c r="S1098" i="2"/>
  <c r="S865" i="2"/>
  <c r="S1008" i="2"/>
  <c r="S48" i="16" s="1"/>
  <c r="N1098" i="2"/>
  <c r="N1008" i="2"/>
  <c r="N48" i="16" s="1"/>
  <c r="N865" i="2"/>
  <c r="M1098" i="2"/>
  <c r="M1008" i="2"/>
  <c r="M48" i="16" s="1"/>
  <c r="M865" i="2"/>
  <c r="R36" i="16"/>
  <c r="O1057" i="2"/>
  <c r="R1098" i="2"/>
  <c r="R865" i="2"/>
  <c r="R1008" i="2"/>
  <c r="R48" i="16" s="1"/>
  <c r="K1199" i="2"/>
  <c r="L36" i="16"/>
  <c r="T1057" i="2"/>
  <c r="T1098" i="2"/>
  <c r="T1008" i="2"/>
  <c r="T48" i="16" s="1"/>
  <c r="T865" i="2"/>
  <c r="Q1098" i="2"/>
  <c r="Q1008" i="2"/>
  <c r="Q48" i="16" s="1"/>
  <c r="Q865" i="2"/>
  <c r="M1057" i="2"/>
  <c r="G1082" i="2"/>
  <c r="D144" i="18" s="1"/>
  <c r="S1054" i="2"/>
  <c r="L1199" i="2" a="1"/>
  <c r="L1199" i="2" s="1"/>
  <c r="I842" i="2"/>
  <c r="U1098" i="2"/>
  <c r="U1008" i="2"/>
  <c r="U48" i="16" s="1"/>
  <c r="U865" i="2"/>
  <c r="O1098" i="2"/>
  <c r="O1008" i="2"/>
  <c r="O48" i="16" s="1"/>
  <c r="O865" i="2"/>
  <c r="U36" i="16"/>
  <c r="T36" i="16"/>
  <c r="P36" i="16"/>
  <c r="N36" i="16"/>
  <c r="L1098" i="2"/>
  <c r="L1008" i="2"/>
  <c r="L48" i="16" s="1"/>
  <c r="L865" i="2"/>
  <c r="N1199" i="2" a="1"/>
  <c r="N1199" i="2" s="1"/>
  <c r="D33" i="11" s="1"/>
  <c r="V36" i="16"/>
  <c r="L1057" i="2"/>
  <c r="K515" i="2"/>
  <c r="Z482" i="7"/>
  <c r="Z503" i="7" s="1"/>
  <c r="Z506" i="7" s="1"/>
  <c r="AA480" i="7"/>
  <c r="AA496" i="7" s="1"/>
  <c r="AA498" i="7" s="1"/>
  <c r="AA502" i="7" s="1"/>
  <c r="AP294" i="7"/>
  <c r="AP297" i="7" s="1"/>
  <c r="AO299" i="7"/>
  <c r="AO302" i="7" s="1"/>
  <c r="AC473" i="7"/>
  <c r="AC466" i="7"/>
  <c r="AC467" i="7" s="1"/>
  <c r="AF335" i="7"/>
  <c r="AF336" i="7" s="1"/>
  <c r="AE339" i="7"/>
  <c r="AK519" i="7"/>
  <c r="AK520" i="7" s="1"/>
  <c r="AK184" i="7"/>
  <c r="AK185" i="7" s="1"/>
  <c r="AK260" i="7"/>
  <c r="AK268" i="7" s="1"/>
  <c r="AL58" i="7"/>
  <c r="AJ269" i="7"/>
  <c r="AJ270" i="7"/>
  <c r="AB495" i="7"/>
  <c r="AB475" i="7"/>
  <c r="AB476" i="7" s="1"/>
  <c r="AD354" i="7"/>
  <c r="AD355" i="7" s="1"/>
  <c r="AD451" i="7" s="1"/>
  <c r="AD454" i="7" s="1"/>
  <c r="AD494" i="7"/>
  <c r="AA281" i="7"/>
  <c r="AB277" i="7" s="1"/>
  <c r="AI271" i="7"/>
  <c r="AI276" i="7" s="1"/>
  <c r="AI278" i="7" s="1"/>
  <c r="AI279" i="7" s="1"/>
  <c r="AI644" i="2" l="1"/>
  <c r="AI775" i="2" s="1"/>
  <c r="AK613" i="2"/>
  <c r="AL608" i="2"/>
  <c r="AL611" i="2" s="1"/>
  <c r="AM608" i="2" s="1"/>
  <c r="AM611" i="2" s="1"/>
  <c r="AN608" i="2" s="1"/>
  <c r="AN611" i="2" s="1"/>
  <c r="AO608" i="2" s="1"/>
  <c r="AJ617" i="2"/>
  <c r="AJ619" i="2" s="1"/>
  <c r="AK615" i="2" s="1"/>
  <c r="AJ621" i="2"/>
  <c r="AJ625" i="2" s="1"/>
  <c r="AJ626" i="2" s="1"/>
  <c r="AJ640" i="2" s="1"/>
  <c r="I908" i="2"/>
  <c r="AS912" i="2"/>
  <c r="I911" i="2"/>
  <c r="AS924" i="2"/>
  <c r="AS925" i="2" s="1"/>
  <c r="AR1006" i="2"/>
  <c r="AR931" i="2"/>
  <c r="AR1096" i="2"/>
  <c r="V777" i="2"/>
  <c r="J746" i="2"/>
  <c r="J777" i="2" s="1"/>
  <c r="V753" i="2"/>
  <c r="J752" i="2"/>
  <c r="K1189" i="2"/>
  <c r="L1189" i="2" a="1"/>
  <c r="L1189" i="2" s="1"/>
  <c r="M1189" i="2" a="1"/>
  <c r="M1189" i="2" s="1"/>
  <c r="N1189" i="2" a="1"/>
  <c r="N1189" i="2" s="1"/>
  <c r="D56" i="11" s="1"/>
  <c r="F68" i="15" s="1"/>
  <c r="J68" i="15" s="1"/>
  <c r="I68" i="15" s="1"/>
  <c r="I515" i="2"/>
  <c r="L1175" i="2" a="1"/>
  <c r="L1175" i="2" s="1"/>
  <c r="N1175" i="2" a="1"/>
  <c r="N1175" i="2" s="1"/>
  <c r="D29" i="11" s="1"/>
  <c r="D30" i="11" s="1"/>
  <c r="K1175" i="2"/>
  <c r="P1057" i="2"/>
  <c r="M1175" i="2" a="1"/>
  <c r="M1175" i="2" s="1"/>
  <c r="F36" i="16"/>
  <c r="F84" i="16" s="1"/>
  <c r="G1121" i="2"/>
  <c r="D159" i="18" s="1"/>
  <c r="S1057" i="2"/>
  <c r="F1057" i="2" s="1"/>
  <c r="F1230" i="2" s="1"/>
  <c r="F1055" i="2"/>
  <c r="G1084" i="2"/>
  <c r="D146" i="18" s="1"/>
  <c r="I509" i="2"/>
  <c r="K518" i="2"/>
  <c r="I518" i="2" s="1"/>
  <c r="AB480" i="7"/>
  <c r="AB496" i="7" s="1"/>
  <c r="AB498" i="7" s="1"/>
  <c r="AB502" i="7" s="1"/>
  <c r="AK269" i="7"/>
  <c r="AK270" i="7"/>
  <c r="AC475" i="7"/>
  <c r="AC476" i="7" s="1"/>
  <c r="AC495" i="7"/>
  <c r="AL184" i="7"/>
  <c r="AL185" i="7" s="1"/>
  <c r="AL260" i="7"/>
  <c r="AL268" i="7" s="1"/>
  <c r="AL519" i="7"/>
  <c r="AL520" i="7" s="1"/>
  <c r="AM58" i="7"/>
  <c r="AD473" i="7"/>
  <c r="AD466" i="7"/>
  <c r="AD467" i="7" s="1"/>
  <c r="AB280" i="7"/>
  <c r="AB283" i="7" s="1"/>
  <c r="AB301" i="7" s="1"/>
  <c r="AB303" i="7" s="1"/>
  <c r="AE494" i="7"/>
  <c r="AE354" i="7"/>
  <c r="AE355" i="7" s="1"/>
  <c r="AE451" i="7" s="1"/>
  <c r="AE454" i="7" s="1"/>
  <c r="AQ294" i="7"/>
  <c r="AQ297" i="7" s="1"/>
  <c r="AP299" i="7"/>
  <c r="AP302" i="7" s="1"/>
  <c r="AJ271" i="7"/>
  <c r="AJ276" i="7" s="1"/>
  <c r="AJ278" i="7" s="1"/>
  <c r="AJ279" i="7" s="1"/>
  <c r="AG335" i="7"/>
  <c r="AG336" i="7" s="1"/>
  <c r="AF339" i="7"/>
  <c r="AA482" i="7"/>
  <c r="AA503" i="7" s="1"/>
  <c r="AA506" i="7" s="1"/>
  <c r="AO616" i="2"/>
  <c r="AO609" i="2"/>
  <c r="AO597" i="2"/>
  <c r="AO624" i="2" s="1"/>
  <c r="AO626" i="2" s="1"/>
  <c r="AO640" i="2" s="1"/>
  <c r="AO644" i="2" s="1"/>
  <c r="AO595" i="2"/>
  <c r="AP590" i="2" s="1"/>
  <c r="AJ644" i="2" l="1"/>
  <c r="AJ775" i="2" s="1"/>
  <c r="I613" i="2"/>
  <c r="I617" i="2" s="1"/>
  <c r="AK617" i="2"/>
  <c r="AR932" i="2"/>
  <c r="AR1021" i="2" s="1"/>
  <c r="AR1134" i="2" s="1"/>
  <c r="AR79" i="16" s="1"/>
  <c r="I924" i="2"/>
  <c r="I929" i="2"/>
  <c r="AS58" i="16"/>
  <c r="AS937" i="2"/>
  <c r="I925" i="2"/>
  <c r="I761" i="2"/>
  <c r="AO611" i="2"/>
  <c r="AP608" i="2" s="1"/>
  <c r="AS918" i="2"/>
  <c r="AS761" i="2"/>
  <c r="AR148" i="17"/>
  <c r="AR46" i="16"/>
  <c r="V809" i="2"/>
  <c r="V1092" i="2"/>
  <c r="V1002" i="2"/>
  <c r="J753" i="2"/>
  <c r="AO775" i="2"/>
  <c r="K520" i="2"/>
  <c r="K1050" i="2" s="1"/>
  <c r="F35" i="15"/>
  <c r="J35" i="15" s="1"/>
  <c r="I35" i="15" s="1"/>
  <c r="D68" i="11"/>
  <c r="AB281" i="7"/>
  <c r="AC277" i="7" s="1"/>
  <c r="AC280" i="7" s="1"/>
  <c r="AC283" i="7" s="1"/>
  <c r="AC301" i="7" s="1"/>
  <c r="AC303" i="7" s="1"/>
  <c r="AB482" i="7"/>
  <c r="AB503" i="7" s="1"/>
  <c r="AB506" i="7" s="1"/>
  <c r="AM519" i="7"/>
  <c r="AM520" i="7" s="1"/>
  <c r="AM184" i="7"/>
  <c r="AM185" i="7" s="1"/>
  <c r="AM260" i="7"/>
  <c r="AM268" i="7" s="1"/>
  <c r="AN58" i="7"/>
  <c r="AF494" i="7"/>
  <c r="AF354" i="7"/>
  <c r="AF355" i="7" s="1"/>
  <c r="AF451" i="7" s="1"/>
  <c r="AF454" i="7" s="1"/>
  <c r="AC480" i="7"/>
  <c r="AC496" i="7" s="1"/>
  <c r="AC498" i="7" s="1"/>
  <c r="AC502" i="7" s="1"/>
  <c r="AG339" i="7"/>
  <c r="AH335" i="7"/>
  <c r="AH336" i="7" s="1"/>
  <c r="AL269" i="7"/>
  <c r="AL270" i="7"/>
  <c r="AQ299" i="7"/>
  <c r="AQ302" i="7" s="1"/>
  <c r="AR294" i="7"/>
  <c r="AR297" i="7" s="1"/>
  <c r="AE466" i="7"/>
  <c r="AE467" i="7" s="1"/>
  <c r="AE473" i="7"/>
  <c r="AD495" i="7"/>
  <c r="AD475" i="7"/>
  <c r="AD476" i="7" s="1"/>
  <c r="AK271" i="7"/>
  <c r="AK276" i="7" s="1"/>
  <c r="AK278" i="7" s="1"/>
  <c r="AK279" i="7" s="1"/>
  <c r="AP593" i="2"/>
  <c r="AP594" i="2" s="1"/>
  <c r="AP602" i="2" s="1"/>
  <c r="AP603" i="2" s="1"/>
  <c r="AK618" i="2" l="1"/>
  <c r="AK621" i="2" s="1"/>
  <c r="AK625" i="2" s="1"/>
  <c r="AK626" i="2" s="1"/>
  <c r="AK640" i="2" s="1"/>
  <c r="I58" i="16"/>
  <c r="I937" i="2"/>
  <c r="AS1006" i="2"/>
  <c r="AS1096" i="2"/>
  <c r="AS931" i="2"/>
  <c r="AS932" i="2" s="1"/>
  <c r="I918" i="2"/>
  <c r="V42" i="16"/>
  <c r="V144" i="17"/>
  <c r="K1183" i="2"/>
  <c r="M1183" i="2" a="1"/>
  <c r="M1183" i="2" s="1"/>
  <c r="N1183" i="2" a="1"/>
  <c r="N1183" i="2" s="1"/>
  <c r="D50" i="11" s="1"/>
  <c r="F62" i="15" s="1"/>
  <c r="J62" i="15" s="1"/>
  <c r="I62" i="15" s="1"/>
  <c r="L1183" i="2" a="1"/>
  <c r="L1183" i="2" s="1"/>
  <c r="J1002" i="2"/>
  <c r="J1092" i="2"/>
  <c r="J809" i="2"/>
  <c r="K28" i="16"/>
  <c r="K816" i="2"/>
  <c r="K101" i="14"/>
  <c r="K102" i="14" s="1"/>
  <c r="K321" i="4" s="1"/>
  <c r="K322" i="4" s="1"/>
  <c r="F322" i="4" s="1"/>
  <c r="AK325" i="4" s="1"/>
  <c r="AK855" i="2" s="1"/>
  <c r="AK858" i="2" s="1"/>
  <c r="K84" i="14"/>
  <c r="K90" i="14" s="1"/>
  <c r="K853" i="2"/>
  <c r="K659" i="2"/>
  <c r="K661" i="2" s="1"/>
  <c r="K1016" i="2" s="1"/>
  <c r="K1129" i="2" s="1"/>
  <c r="I520" i="2"/>
  <c r="I828" i="2" s="1"/>
  <c r="K806" i="2"/>
  <c r="K774" i="2"/>
  <c r="K653" i="2"/>
  <c r="K655" i="2" s="1"/>
  <c r="K1052" i="2" s="1"/>
  <c r="K1054" i="2" s="1"/>
  <c r="I1054" i="2" s="1"/>
  <c r="K95" i="17"/>
  <c r="K718" i="2"/>
  <c r="K720" i="2" s="1"/>
  <c r="K721" i="2" s="1"/>
  <c r="I721" i="2" s="1"/>
  <c r="K828" i="2"/>
  <c r="K840" i="2" s="1"/>
  <c r="K842" i="2" s="1"/>
  <c r="AL271" i="7"/>
  <c r="AL276" i="7" s="1"/>
  <c r="AL278" i="7" s="1"/>
  <c r="AL279" i="7" s="1"/>
  <c r="AC482" i="7"/>
  <c r="AC503" i="7" s="1"/>
  <c r="AC506" i="7" s="1"/>
  <c r="AD480" i="7"/>
  <c r="AD496" i="7" s="1"/>
  <c r="AD498" i="7" s="1"/>
  <c r="AD502" i="7" s="1"/>
  <c r="AE495" i="7"/>
  <c r="AE475" i="7"/>
  <c r="AE476" i="7" s="1"/>
  <c r="AI335" i="7"/>
  <c r="AI336" i="7" s="1"/>
  <c r="AH339" i="7"/>
  <c r="AF466" i="7"/>
  <c r="AF467" i="7" s="1"/>
  <c r="AF473" i="7"/>
  <c r="AG354" i="7"/>
  <c r="AG355" i="7" s="1"/>
  <c r="AG451" i="7" s="1"/>
  <c r="AG454" i="7" s="1"/>
  <c r="AG494" i="7"/>
  <c r="AC281" i="7"/>
  <c r="AD277" i="7" s="1"/>
  <c r="AN519" i="7"/>
  <c r="AN520" i="7" s="1"/>
  <c r="AN260" i="7"/>
  <c r="AN268" i="7" s="1"/>
  <c r="AN184" i="7"/>
  <c r="AN185" i="7" s="1"/>
  <c r="AO58" i="7"/>
  <c r="AS294" i="7"/>
  <c r="AS297" i="7" s="1"/>
  <c r="AS299" i="7" s="1"/>
  <c r="AR299" i="7"/>
  <c r="AR302" i="7" s="1"/>
  <c r="AM269" i="7"/>
  <c r="AM270" i="7"/>
  <c r="AP597" i="2"/>
  <c r="AP624" i="2" s="1"/>
  <c r="AP626" i="2" s="1"/>
  <c r="AP640" i="2" s="1"/>
  <c r="AP644" i="2" s="1"/>
  <c r="AP595" i="2"/>
  <c r="AQ590" i="2" s="1"/>
  <c r="AP616" i="2"/>
  <c r="AP609" i="2"/>
  <c r="AP611" i="2" s="1"/>
  <c r="AQ608" i="2" s="1"/>
  <c r="AK644" i="2" l="1"/>
  <c r="AK775" i="2" s="1"/>
  <c r="AK619" i="2"/>
  <c r="AL615" i="2" s="1"/>
  <c r="AL618" i="2" s="1"/>
  <c r="AL619" i="2" s="1"/>
  <c r="AM615" i="2" s="1"/>
  <c r="AM619" i="2" s="1"/>
  <c r="AN615" i="2" s="1"/>
  <c r="AN619" i="2" s="1"/>
  <c r="AO615" i="2" s="1"/>
  <c r="AO619" i="2" s="1"/>
  <c r="AP615" i="2" s="1"/>
  <c r="AP619" i="2" s="1"/>
  <c r="AQ615" i="2" s="1"/>
  <c r="AS1021" i="2"/>
  <c r="AS1134" i="2" s="1"/>
  <c r="I932" i="2"/>
  <c r="I1021" i="2" s="1"/>
  <c r="I1134" i="2" s="1"/>
  <c r="I79" i="16" s="1"/>
  <c r="AS148" i="17"/>
  <c r="AS46" i="16"/>
  <c r="I1096" i="2"/>
  <c r="I1006" i="2"/>
  <c r="I931" i="2"/>
  <c r="N1187" i="2" a="1"/>
  <c r="N1187" i="2" s="1"/>
  <c r="D54" i="11" s="1"/>
  <c r="F66" i="15" s="1"/>
  <c r="J66" i="15" s="1"/>
  <c r="I66" i="15" s="1"/>
  <c r="K1187" i="2"/>
  <c r="M1187" i="2" a="1"/>
  <c r="M1187" i="2" s="1"/>
  <c r="L1187" i="2" a="1"/>
  <c r="L1187" i="2" s="1"/>
  <c r="G1119" i="2"/>
  <c r="D157" i="18" s="1"/>
  <c r="J42" i="16"/>
  <c r="J144" i="17"/>
  <c r="AP775" i="2"/>
  <c r="AA325" i="4"/>
  <c r="AA855" i="2" s="1"/>
  <c r="AA858" i="2" s="1"/>
  <c r="AA108" i="14" s="1"/>
  <c r="AA109" i="14" s="1"/>
  <c r="R325" i="4"/>
  <c r="R855" i="2" s="1"/>
  <c r="R858" i="2" s="1"/>
  <c r="R108" i="14" s="1"/>
  <c r="R109" i="14" s="1"/>
  <c r="AJ325" i="4"/>
  <c r="AJ855" i="2" s="1"/>
  <c r="AJ858" i="2" s="1"/>
  <c r="AJ863" i="2" s="1"/>
  <c r="AC325" i="4"/>
  <c r="AC855" i="2" s="1"/>
  <c r="AC858" i="2" s="1"/>
  <c r="AC108" i="14" s="1"/>
  <c r="N325" i="4"/>
  <c r="N855" i="2" s="1"/>
  <c r="N858" i="2" s="1"/>
  <c r="N108" i="14" s="1"/>
  <c r="AD325" i="4"/>
  <c r="AD855" i="2" s="1"/>
  <c r="AD858" i="2" s="1"/>
  <c r="AD863" i="2" s="1"/>
  <c r="AN325" i="4"/>
  <c r="AN855" i="2" s="1"/>
  <c r="AN858" i="2" s="1"/>
  <c r="AN863" i="2" s="1"/>
  <c r="X325" i="4"/>
  <c r="X855" i="2" s="1"/>
  <c r="X858" i="2" s="1"/>
  <c r="X108" i="14" s="1"/>
  <c r="X109" i="14" s="1"/>
  <c r="AF325" i="4"/>
  <c r="AF855" i="2" s="1"/>
  <c r="AF858" i="2" s="1"/>
  <c r="AF863" i="2" s="1"/>
  <c r="U325" i="4"/>
  <c r="U855" i="2" s="1"/>
  <c r="U858" i="2" s="1"/>
  <c r="U863" i="2" s="1"/>
  <c r="AR325" i="4"/>
  <c r="AR855" i="2" s="1"/>
  <c r="AR858" i="2" s="1"/>
  <c r="AR108" i="14" s="1"/>
  <c r="T325" i="4"/>
  <c r="T855" i="2" s="1"/>
  <c r="T858" i="2" s="1"/>
  <c r="T108" i="14" s="1"/>
  <c r="T109" i="14" s="1"/>
  <c r="Z325" i="4"/>
  <c r="Z855" i="2" s="1"/>
  <c r="Z858" i="2" s="1"/>
  <c r="Z863" i="2" s="1"/>
  <c r="M325" i="4"/>
  <c r="M855" i="2" s="1"/>
  <c r="M858" i="2" s="1"/>
  <c r="M863" i="2" s="1"/>
  <c r="V325" i="4"/>
  <c r="V855" i="2" s="1"/>
  <c r="V858" i="2" s="1"/>
  <c r="V108" i="14" s="1"/>
  <c r="V109" i="14" s="1"/>
  <c r="AQ325" i="4"/>
  <c r="AQ855" i="2" s="1"/>
  <c r="AQ858" i="2" s="1"/>
  <c r="AQ108" i="14" s="1"/>
  <c r="AL325" i="4"/>
  <c r="AL855" i="2" s="1"/>
  <c r="AL858" i="2" s="1"/>
  <c r="AL863" i="2" s="1"/>
  <c r="AO325" i="4"/>
  <c r="AO855" i="2" s="1"/>
  <c r="AO858" i="2" s="1"/>
  <c r="AO108" i="14" s="1"/>
  <c r="P325" i="4"/>
  <c r="P855" i="2" s="1"/>
  <c r="P858" i="2" s="1"/>
  <c r="P108" i="14" s="1"/>
  <c r="S325" i="4"/>
  <c r="S855" i="2" s="1"/>
  <c r="S858" i="2" s="1"/>
  <c r="S108" i="14" s="1"/>
  <c r="S109" i="14" s="1"/>
  <c r="K33" i="16"/>
  <c r="K98" i="17"/>
  <c r="AP325" i="4"/>
  <c r="AP855" i="2" s="1"/>
  <c r="AP858" i="2" s="1"/>
  <c r="AP863" i="2" s="1"/>
  <c r="W325" i="4"/>
  <c r="W855" i="2" s="1"/>
  <c r="W858" i="2" s="1"/>
  <c r="W863" i="2" s="1"/>
  <c r="AS325" i="4"/>
  <c r="AS855" i="2" s="1"/>
  <c r="AS858" i="2" s="1"/>
  <c r="AS863" i="2" s="1"/>
  <c r="AG325" i="4"/>
  <c r="AG855" i="2" s="1"/>
  <c r="AG858" i="2" s="1"/>
  <c r="AG863" i="2" s="1"/>
  <c r="AI325" i="4"/>
  <c r="AI855" i="2" s="1"/>
  <c r="AI858" i="2" s="1"/>
  <c r="AI108" i="14" s="1"/>
  <c r="L325" i="4"/>
  <c r="L855" i="2" s="1"/>
  <c r="L858" i="2" s="1"/>
  <c r="L108" i="14" s="1"/>
  <c r="AB325" i="4"/>
  <c r="AB855" i="2" s="1"/>
  <c r="AB858" i="2" s="1"/>
  <c r="AB108" i="14" s="1"/>
  <c r="Q325" i="4"/>
  <c r="Q855" i="2" s="1"/>
  <c r="Q858" i="2" s="1"/>
  <c r="Q108" i="14" s="1"/>
  <c r="Q109" i="14" s="1"/>
  <c r="AM325" i="4"/>
  <c r="AM855" i="2" s="1"/>
  <c r="AM858" i="2" s="1"/>
  <c r="AM863" i="2" s="1"/>
  <c r="Y325" i="4"/>
  <c r="Y855" i="2" s="1"/>
  <c r="Y858" i="2" s="1"/>
  <c r="Y863" i="2" s="1"/>
  <c r="AE325" i="4"/>
  <c r="AE855" i="2" s="1"/>
  <c r="AE858" i="2" s="1"/>
  <c r="AE108" i="14" s="1"/>
  <c r="I661" i="2"/>
  <c r="I33" i="16" s="1"/>
  <c r="AH325" i="4"/>
  <c r="AH855" i="2" s="1"/>
  <c r="AH858" i="2" s="1"/>
  <c r="AH863" i="2" s="1"/>
  <c r="O325" i="4"/>
  <c r="O855" i="2" s="1"/>
  <c r="O858" i="2" s="1"/>
  <c r="O863" i="2" s="1"/>
  <c r="K325" i="4"/>
  <c r="K855" i="2" s="1"/>
  <c r="K858" i="2" s="1"/>
  <c r="I84" i="14"/>
  <c r="I853" i="2"/>
  <c r="I774" i="2"/>
  <c r="I101" i="14"/>
  <c r="I653" i="2"/>
  <c r="I816" i="2"/>
  <c r="I718" i="2"/>
  <c r="I806" i="2"/>
  <c r="I659" i="2"/>
  <c r="I95" i="17"/>
  <c r="I1050" i="2"/>
  <c r="I28" i="16"/>
  <c r="I655" i="2"/>
  <c r="I818" i="2" s="1"/>
  <c r="K818" i="2"/>
  <c r="K30" i="16"/>
  <c r="K86" i="14"/>
  <c r="K92" i="14" s="1"/>
  <c r="K312" i="4" s="1"/>
  <c r="K313" i="4" s="1"/>
  <c r="K316" i="4" s="1"/>
  <c r="K820" i="2" s="1"/>
  <c r="K722" i="2"/>
  <c r="I722" i="2" s="1"/>
  <c r="K830" i="2"/>
  <c r="K846" i="2"/>
  <c r="I846" i="2" s="1"/>
  <c r="I720" i="2"/>
  <c r="K1057" i="2"/>
  <c r="I1057" i="2" s="1"/>
  <c r="K74" i="16"/>
  <c r="AK108" i="14"/>
  <c r="AK863" i="2"/>
  <c r="AD482" i="7"/>
  <c r="AD503" i="7" s="1"/>
  <c r="AD506" i="7" s="1"/>
  <c r="AM271" i="7"/>
  <c r="AM276" i="7" s="1"/>
  <c r="AM278" i="7" s="1"/>
  <c r="AM279" i="7" s="1"/>
  <c r="AH494" i="7"/>
  <c r="AH354" i="7"/>
  <c r="AH355" i="7" s="1"/>
  <c r="AH451" i="7" s="1"/>
  <c r="AH454" i="7" s="1"/>
  <c r="AI339" i="7"/>
  <c r="AJ335" i="7"/>
  <c r="AJ336" i="7" s="1"/>
  <c r="AE480" i="7"/>
  <c r="AE496" i="7" s="1"/>
  <c r="AE498" i="7" s="1"/>
  <c r="AE502" i="7" s="1"/>
  <c r="AS302" i="7"/>
  <c r="I299" i="7"/>
  <c r="I302" i="7" s="1"/>
  <c r="AD280" i="7"/>
  <c r="AD283" i="7" s="1"/>
  <c r="AD301" i="7" s="1"/>
  <c r="AD303" i="7" s="1"/>
  <c r="AF495" i="7"/>
  <c r="AF475" i="7"/>
  <c r="AF476" i="7" s="1"/>
  <c r="AO519" i="7"/>
  <c r="AO520" i="7" s="1"/>
  <c r="AO260" i="7"/>
  <c r="AO268" i="7" s="1"/>
  <c r="AO184" i="7"/>
  <c r="AO185" i="7" s="1"/>
  <c r="AP58" i="7"/>
  <c r="AG466" i="7"/>
  <c r="AG467" i="7" s="1"/>
  <c r="AG473" i="7"/>
  <c r="AN270" i="7"/>
  <c r="AN269" i="7"/>
  <c r="AQ593" i="2"/>
  <c r="AQ594" i="2" s="1"/>
  <c r="AQ602" i="2" s="1"/>
  <c r="AQ603" i="2" s="1"/>
  <c r="AL621" i="2" l="1"/>
  <c r="AL625" i="2" s="1"/>
  <c r="AL626" i="2" s="1"/>
  <c r="AL640" i="2" s="1"/>
  <c r="I618" i="2"/>
  <c r="AS79" i="16"/>
  <c r="K1204" i="2"/>
  <c r="M1217" i="2"/>
  <c r="L1217" i="2"/>
  <c r="N1217" i="2"/>
  <c r="E38" i="11" s="1"/>
  <c r="F53" i="15" s="1"/>
  <c r="J53" i="15" s="1"/>
  <c r="I53" i="15" s="1"/>
  <c r="N1204" i="2" a="1"/>
  <c r="N1204" i="2" s="1"/>
  <c r="D38" i="11" s="1"/>
  <c r="F42" i="15" s="1"/>
  <c r="J42" i="15" s="1"/>
  <c r="I42" i="15" s="1"/>
  <c r="L1204" i="2" a="1"/>
  <c r="L1204" i="2" s="1"/>
  <c r="M1204" i="2" a="1"/>
  <c r="M1204" i="2" s="1"/>
  <c r="I46" i="16"/>
  <c r="I148" i="17"/>
  <c r="K823" i="2"/>
  <c r="K96" i="14" s="1"/>
  <c r="AJ108" i="14"/>
  <c r="AA863" i="2"/>
  <c r="AA1094" i="2" s="1"/>
  <c r="AC863" i="2"/>
  <c r="AC1004" i="2" s="1"/>
  <c r="T863" i="2"/>
  <c r="T1094" i="2" s="1"/>
  <c r="AS108" i="14"/>
  <c r="AD108" i="14"/>
  <c r="AR863" i="2"/>
  <c r="AR1094" i="2" s="1"/>
  <c r="R863" i="2"/>
  <c r="R1004" i="2" s="1"/>
  <c r="M108" i="14"/>
  <c r="AN108" i="14"/>
  <c r="V863" i="2"/>
  <c r="V1004" i="2" s="1"/>
  <c r="W108" i="14"/>
  <c r="W109" i="14" s="1"/>
  <c r="N863" i="2"/>
  <c r="N1094" i="2" s="1"/>
  <c r="AQ863" i="2"/>
  <c r="AQ1094" i="2" s="1"/>
  <c r="K36" i="16"/>
  <c r="X863" i="2"/>
  <c r="X1094" i="2" s="1"/>
  <c r="Z108" i="14"/>
  <c r="Z109" i="14" s="1"/>
  <c r="AB863" i="2"/>
  <c r="AB1004" i="2" s="1"/>
  <c r="Q863" i="2"/>
  <c r="Q1004" i="2" s="1"/>
  <c r="AO863" i="2"/>
  <c r="AO1004" i="2" s="1"/>
  <c r="U108" i="14"/>
  <c r="U109" i="14" s="1"/>
  <c r="AP108" i="14"/>
  <c r="I1016" i="2"/>
  <c r="I1129" i="2" s="1"/>
  <c r="I74" i="16" s="1"/>
  <c r="I98" i="17"/>
  <c r="AG108" i="14"/>
  <c r="AM108" i="14"/>
  <c r="AF108" i="14"/>
  <c r="AL108" i="14"/>
  <c r="AI863" i="2"/>
  <c r="AI1094" i="2" s="1"/>
  <c r="O108" i="14"/>
  <c r="S863" i="2"/>
  <c r="S1004" i="2" s="1"/>
  <c r="AH108" i="14"/>
  <c r="Y108" i="14"/>
  <c r="Y109" i="14" s="1"/>
  <c r="L863" i="2"/>
  <c r="L1094" i="2" s="1"/>
  <c r="P863" i="2"/>
  <c r="P1004" i="2" s="1"/>
  <c r="AE863" i="2"/>
  <c r="AE1094" i="2" s="1"/>
  <c r="I858" i="2"/>
  <c r="I108" i="14" s="1"/>
  <c r="I30" i="16"/>
  <c r="I830" i="2"/>
  <c r="I86" i="14"/>
  <c r="I1052" i="2"/>
  <c r="K848" i="2"/>
  <c r="K108" i="14"/>
  <c r="L313" i="4"/>
  <c r="L316" i="4" s="1"/>
  <c r="L820" i="2" s="1"/>
  <c r="L823" i="2" s="1"/>
  <c r="K863" i="2"/>
  <c r="K1004" i="2" s="1"/>
  <c r="AP1094" i="2"/>
  <c r="AP1004" i="2"/>
  <c r="AM1094" i="2"/>
  <c r="AM1004" i="2"/>
  <c r="AJ1004" i="2"/>
  <c r="AJ1094" i="2"/>
  <c r="AN1094" i="2"/>
  <c r="AN1004" i="2"/>
  <c r="AS1004" i="2"/>
  <c r="AS1094" i="2"/>
  <c r="AD1094" i="2"/>
  <c r="AD1004" i="2"/>
  <c r="AG1094" i="2"/>
  <c r="AG1004" i="2"/>
  <c r="M1094" i="2"/>
  <c r="M1004" i="2"/>
  <c r="Z1004" i="2"/>
  <c r="Z1094" i="2"/>
  <c r="F1117" i="2" s="1" a="1"/>
  <c r="F1117" i="2" s="1"/>
  <c r="C155" i="18" s="1"/>
  <c r="O1004" i="2"/>
  <c r="O1094" i="2"/>
  <c r="AL1094" i="2"/>
  <c r="AL1004" i="2"/>
  <c r="AF1094" i="2"/>
  <c r="AF1004" i="2"/>
  <c r="AH1004" i="2"/>
  <c r="AH1094" i="2"/>
  <c r="W1004" i="2"/>
  <c r="W1094" i="2"/>
  <c r="Y1004" i="2"/>
  <c r="Y1094" i="2"/>
  <c r="U1094" i="2"/>
  <c r="U1004" i="2"/>
  <c r="AK1094" i="2"/>
  <c r="AK1004" i="2"/>
  <c r="AD281" i="7"/>
  <c r="AE277" i="7" s="1"/>
  <c r="AE280" i="7" s="1"/>
  <c r="AE283" i="7" s="1"/>
  <c r="AE301" i="7" s="1"/>
  <c r="AE303" i="7" s="1"/>
  <c r="AF480" i="7"/>
  <c r="AF496" i="7" s="1"/>
  <c r="AF498" i="7" s="1"/>
  <c r="AF502" i="7" s="1"/>
  <c r="AO270" i="7"/>
  <c r="AO269" i="7"/>
  <c r="AN271" i="7"/>
  <c r="AN276" i="7" s="1"/>
  <c r="AN278" i="7" s="1"/>
  <c r="AN279" i="7" s="1"/>
  <c r="AE482" i="7"/>
  <c r="AE503" i="7" s="1"/>
  <c r="AE506" i="7" s="1"/>
  <c r="AJ339" i="7"/>
  <c r="AK335" i="7"/>
  <c r="AK336" i="7" s="1"/>
  <c r="AI494" i="7"/>
  <c r="AI354" i="7"/>
  <c r="AI355" i="7" s="1"/>
  <c r="AI451" i="7" s="1"/>
  <c r="AI454" i="7" s="1"/>
  <c r="AG495" i="7"/>
  <c r="AG475" i="7"/>
  <c r="AG476" i="7" s="1"/>
  <c r="AH466" i="7"/>
  <c r="AH467" i="7" s="1"/>
  <c r="AH473" i="7"/>
  <c r="AP519" i="7"/>
  <c r="AP520" i="7" s="1"/>
  <c r="AP260" i="7"/>
  <c r="AP268" i="7" s="1"/>
  <c r="AP184" i="7"/>
  <c r="AP185" i="7" s="1"/>
  <c r="AQ58" i="7"/>
  <c r="AQ616" i="2"/>
  <c r="AQ619" i="2" s="1"/>
  <c r="AR615" i="2" s="1"/>
  <c r="AQ609" i="2"/>
  <c r="AQ611" i="2" s="1"/>
  <c r="AR608" i="2" s="1"/>
  <c r="AQ597" i="2"/>
  <c r="AQ624" i="2" s="1"/>
  <c r="AQ626" i="2" s="1"/>
  <c r="AQ640" i="2" s="1"/>
  <c r="AQ644" i="2" s="1"/>
  <c r="AQ595" i="2"/>
  <c r="AR590" i="2" s="1"/>
  <c r="I621" i="2" l="1"/>
  <c r="I625" i="2" s="1"/>
  <c r="AL644" i="2"/>
  <c r="AL775" i="2" s="1"/>
  <c r="I848" i="2"/>
  <c r="I991" i="2" s="1"/>
  <c r="K991" i="2"/>
  <c r="AQ775" i="2"/>
  <c r="AA1004" i="2"/>
  <c r="AA44" i="16" s="1"/>
  <c r="AC1094" i="2"/>
  <c r="T1004" i="2"/>
  <c r="T44" i="16" s="1"/>
  <c r="AR1004" i="2"/>
  <c r="AR44" i="16" s="1"/>
  <c r="R1094" i="2"/>
  <c r="Q1094" i="2"/>
  <c r="V1094" i="2"/>
  <c r="AQ1004" i="2"/>
  <c r="AQ146" i="17" s="1"/>
  <c r="AO1094" i="2"/>
  <c r="N1004" i="2"/>
  <c r="N44" i="16" s="1"/>
  <c r="I109" i="14"/>
  <c r="X1004" i="2"/>
  <c r="X44" i="16" s="1"/>
  <c r="K864" i="2"/>
  <c r="K1005" i="2" s="1"/>
  <c r="AB1094" i="2"/>
  <c r="AI1004" i="2"/>
  <c r="AI44" i="16" s="1"/>
  <c r="L1004" i="2"/>
  <c r="L146" i="17" s="1"/>
  <c r="S1094" i="2"/>
  <c r="J109" i="14"/>
  <c r="AE1004" i="2"/>
  <c r="AE44" i="16" s="1"/>
  <c r="I863" i="2"/>
  <c r="I1094" i="2" s="1"/>
  <c r="P1094" i="2"/>
  <c r="K1008" i="2"/>
  <c r="K48" i="16" s="1"/>
  <c r="K1098" i="2"/>
  <c r="M313" i="4"/>
  <c r="N313" i="4" s="1"/>
  <c r="K865" i="2"/>
  <c r="K1094" i="2"/>
  <c r="AL44" i="16"/>
  <c r="AL146" i="17"/>
  <c r="AG44" i="16"/>
  <c r="AG146" i="17"/>
  <c r="AM44" i="16"/>
  <c r="AM146" i="17"/>
  <c r="AH146" i="17"/>
  <c r="AH44" i="16"/>
  <c r="O146" i="17"/>
  <c r="O44" i="16"/>
  <c r="AB44" i="16"/>
  <c r="AB146" i="17"/>
  <c r="AS146" i="17"/>
  <c r="AS44" i="16"/>
  <c r="AD146" i="17"/>
  <c r="AD44" i="16"/>
  <c r="K146" i="17"/>
  <c r="K44" i="16"/>
  <c r="AP44" i="16"/>
  <c r="AP146" i="17"/>
  <c r="AO146" i="17"/>
  <c r="AO44" i="16"/>
  <c r="Z44" i="16"/>
  <c r="Z146" i="17"/>
  <c r="AN44" i="16"/>
  <c r="AN146" i="17"/>
  <c r="Q146" i="17"/>
  <c r="Q44" i="16"/>
  <c r="Y44" i="16"/>
  <c r="Y146" i="17"/>
  <c r="V44" i="16"/>
  <c r="V146" i="17"/>
  <c r="L96" i="14"/>
  <c r="L864" i="2"/>
  <c r="S146" i="17"/>
  <c r="S44" i="16"/>
  <c r="U146" i="17"/>
  <c r="U44" i="16"/>
  <c r="AK146" i="17"/>
  <c r="AK44" i="16"/>
  <c r="AF44" i="16"/>
  <c r="AF146" i="17"/>
  <c r="P146" i="17"/>
  <c r="P44" i="16"/>
  <c r="M146" i="17"/>
  <c r="M44" i="16"/>
  <c r="W44" i="16"/>
  <c r="W146" i="17"/>
  <c r="AC146" i="17"/>
  <c r="AC44" i="16"/>
  <c r="AJ44" i="16"/>
  <c r="AJ146" i="17"/>
  <c r="R44" i="16"/>
  <c r="R146" i="17"/>
  <c r="AF482" i="7"/>
  <c r="AF503" i="7" s="1"/>
  <c r="AF506" i="7" s="1"/>
  <c r="AO271" i="7"/>
  <c r="AO276" i="7" s="1"/>
  <c r="AO278" i="7" s="1"/>
  <c r="AO279" i="7" s="1"/>
  <c r="AG480" i="7"/>
  <c r="AG496" i="7" s="1"/>
  <c r="AG498" i="7" s="1"/>
  <c r="AG502" i="7" s="1"/>
  <c r="AI466" i="7"/>
  <c r="AI467" i="7" s="1"/>
  <c r="AI473" i="7"/>
  <c r="AL335" i="7"/>
  <c r="AL336" i="7" s="1"/>
  <c r="AK339" i="7"/>
  <c r="AQ184" i="7"/>
  <c r="AQ185" i="7" s="1"/>
  <c r="AQ260" i="7"/>
  <c r="AQ268" i="7" s="1"/>
  <c r="AQ519" i="7"/>
  <c r="AQ520" i="7" s="1"/>
  <c r="AR58" i="7"/>
  <c r="AJ354" i="7"/>
  <c r="AJ355" i="7" s="1"/>
  <c r="AJ451" i="7" s="1"/>
  <c r="AJ454" i="7" s="1"/>
  <c r="AJ494" i="7"/>
  <c r="AE281" i="7"/>
  <c r="AF277" i="7" s="1"/>
  <c r="AP269" i="7"/>
  <c r="AP270" i="7"/>
  <c r="AH495" i="7"/>
  <c r="AH475" i="7"/>
  <c r="AH476" i="7" s="1"/>
  <c r="AR593" i="2"/>
  <c r="AR594" i="2" s="1"/>
  <c r="AR602" i="2" s="1"/>
  <c r="AR603" i="2" s="1"/>
  <c r="I1098" i="2" l="1"/>
  <c r="I865" i="2"/>
  <c r="I1008" i="2"/>
  <c r="I48" i="16" s="1"/>
  <c r="AA146" i="17"/>
  <c r="T146" i="17"/>
  <c r="AR146" i="17"/>
  <c r="AQ44" i="16"/>
  <c r="N146" i="17"/>
  <c r="X146" i="17"/>
  <c r="K1095" i="2"/>
  <c r="K866" i="2"/>
  <c r="K1025" i="2" s="1"/>
  <c r="K1135" i="2" s="1"/>
  <c r="G1117" i="2"/>
  <c r="D155" i="18" s="1"/>
  <c r="K1185" i="2"/>
  <c r="AI146" i="17"/>
  <c r="N1185" i="2" a="1"/>
  <c r="N1185" i="2" s="1"/>
  <c r="D52" i="11" s="1"/>
  <c r="F64" i="15" s="1"/>
  <c r="J64" i="15" s="1"/>
  <c r="I64" i="15" s="1"/>
  <c r="L1185" i="2" a="1"/>
  <c r="L1185" i="2" s="1"/>
  <c r="M1185" i="2" a="1"/>
  <c r="M1185" i="2" s="1"/>
  <c r="L44" i="16"/>
  <c r="AE146" i="17"/>
  <c r="I1004" i="2"/>
  <c r="I44" i="16" s="1"/>
  <c r="M316" i="4"/>
  <c r="M820" i="2" s="1"/>
  <c r="M823" i="2" s="1"/>
  <c r="M864" i="2" s="1"/>
  <c r="K45" i="16"/>
  <c r="K147" i="17"/>
  <c r="O313" i="4"/>
  <c r="N316" i="4"/>
  <c r="N820" i="2" s="1"/>
  <c r="N823" i="2" s="1"/>
  <c r="L866" i="2"/>
  <c r="L1025" i="2" s="1"/>
  <c r="L1135" i="2" s="1"/>
  <c r="L1005" i="2"/>
  <c r="L1095" i="2"/>
  <c r="AG482" i="7"/>
  <c r="AG503" i="7" s="1"/>
  <c r="AG506" i="7" s="1"/>
  <c r="AP271" i="7"/>
  <c r="AP276" i="7" s="1"/>
  <c r="AP278" i="7" s="1"/>
  <c r="AP279" i="7" s="1"/>
  <c r="AH480" i="7"/>
  <c r="AH496" i="7" s="1"/>
  <c r="AH498" i="7" s="1"/>
  <c r="AH502" i="7" s="1"/>
  <c r="AJ473" i="7"/>
  <c r="AJ466" i="7"/>
  <c r="AJ467" i="7" s="1"/>
  <c r="AI495" i="7"/>
  <c r="AI475" i="7"/>
  <c r="AI476" i="7" s="1"/>
  <c r="AR519" i="7"/>
  <c r="AR520" i="7" s="1"/>
  <c r="AR184" i="7"/>
  <c r="AR185" i="7" s="1"/>
  <c r="AR260" i="7"/>
  <c r="AR268" i="7" s="1"/>
  <c r="AS58" i="7"/>
  <c r="AF280" i="7"/>
  <c r="AF283" i="7" s="1"/>
  <c r="AF301" i="7" s="1"/>
  <c r="AF303" i="7" s="1"/>
  <c r="AQ269" i="7"/>
  <c r="AQ270" i="7"/>
  <c r="AK494" i="7"/>
  <c r="AK354" i="7"/>
  <c r="AK355" i="7" s="1"/>
  <c r="AK451" i="7" s="1"/>
  <c r="AK454" i="7" s="1"/>
  <c r="AL339" i="7"/>
  <c r="AM335" i="7"/>
  <c r="AM336" i="7" s="1"/>
  <c r="AR595" i="2"/>
  <c r="AS590" i="2" s="1"/>
  <c r="AR616" i="2"/>
  <c r="AR619" i="2" s="1"/>
  <c r="AS615" i="2" s="1"/>
  <c r="AR609" i="2"/>
  <c r="AR611" i="2" s="1"/>
  <c r="AS608" i="2" s="1"/>
  <c r="AR597" i="2"/>
  <c r="AR624" i="2" s="1"/>
  <c r="AR626" i="2" s="1"/>
  <c r="I146" i="17" l="1"/>
  <c r="M96" i="14"/>
  <c r="M866" i="2"/>
  <c r="M1025" i="2" s="1"/>
  <c r="M1135" i="2" s="1"/>
  <c r="M1095" i="2"/>
  <c r="M1005" i="2"/>
  <c r="N96" i="14"/>
  <c r="N864" i="2"/>
  <c r="O316" i="4"/>
  <c r="O820" i="2" s="1"/>
  <c r="O823" i="2" s="1"/>
  <c r="P313" i="4"/>
  <c r="L45" i="16"/>
  <c r="L147" i="17"/>
  <c r="AF281" i="7"/>
  <c r="AG277" i="7" s="1"/>
  <c r="AG280" i="7" s="1"/>
  <c r="AG283" i="7" s="1"/>
  <c r="AG301" i="7" s="1"/>
  <c r="AG303" i="7" s="1"/>
  <c r="AI480" i="7"/>
  <c r="AI496" i="7" s="1"/>
  <c r="AI498" i="7" s="1"/>
  <c r="AI502" i="7" s="1"/>
  <c r="AS519" i="7"/>
  <c r="AS520" i="7" s="1"/>
  <c r="F523" i="7" s="1"/>
  <c r="AS184" i="7"/>
  <c r="AS185" i="7" s="1"/>
  <c r="F188" i="7" s="1"/>
  <c r="AS260" i="7"/>
  <c r="AS268" i="7" s="1"/>
  <c r="AJ475" i="7"/>
  <c r="AJ495" i="7"/>
  <c r="AR269" i="7"/>
  <c r="AR270" i="7"/>
  <c r="AJ476" i="7"/>
  <c r="AK473" i="7"/>
  <c r="AK466" i="7"/>
  <c r="AK467" i="7" s="1"/>
  <c r="AH482" i="7"/>
  <c r="AH503" i="7" s="1"/>
  <c r="AH506" i="7" s="1"/>
  <c r="AN335" i="7"/>
  <c r="AN336" i="7" s="1"/>
  <c r="AM339" i="7"/>
  <c r="AL354" i="7"/>
  <c r="AL355" i="7" s="1"/>
  <c r="AL451" i="7" s="1"/>
  <c r="AL454" i="7" s="1"/>
  <c r="AL494" i="7"/>
  <c r="AQ271" i="7"/>
  <c r="AQ276" i="7" s="1"/>
  <c r="AQ278" i="7" s="1"/>
  <c r="AQ279" i="7" s="1"/>
  <c r="AR640" i="2"/>
  <c r="AR644" i="2" s="1"/>
  <c r="AS593" i="2"/>
  <c r="AR271" i="7" l="1"/>
  <c r="AR276" i="7" s="1"/>
  <c r="AR278" i="7" s="1"/>
  <c r="AR279" i="7" s="1"/>
  <c r="AR775" i="2"/>
  <c r="N866" i="2"/>
  <c r="N1025" i="2" s="1"/>
  <c r="N1135" i="2" s="1"/>
  <c r="N1005" i="2"/>
  <c r="N1095" i="2"/>
  <c r="P316" i="4"/>
  <c r="P820" i="2" s="1"/>
  <c r="P823" i="2" s="1"/>
  <c r="Q313" i="4"/>
  <c r="M45" i="16"/>
  <c r="M147" i="17"/>
  <c r="O96" i="14"/>
  <c r="O864" i="2"/>
  <c r="AL466" i="7"/>
  <c r="AL467" i="7" s="1"/>
  <c r="AL473" i="7"/>
  <c r="AO335" i="7"/>
  <c r="AO336" i="7" s="1"/>
  <c r="AN339" i="7"/>
  <c r="AK475" i="7"/>
  <c r="AK476" i="7" s="1"/>
  <c r="AK495" i="7"/>
  <c r="AJ480" i="7"/>
  <c r="AJ496" i="7" s="1"/>
  <c r="AJ498" i="7" s="1"/>
  <c r="AJ502" i="7" s="1"/>
  <c r="AS269" i="7"/>
  <c r="AS270" i="7"/>
  <c r="AG281" i="7"/>
  <c r="AH277" i="7" s="1"/>
  <c r="AM354" i="7"/>
  <c r="AM355" i="7" s="1"/>
  <c r="AM451" i="7" s="1"/>
  <c r="AM454" i="7" s="1"/>
  <c r="AM494" i="7"/>
  <c r="AI482" i="7"/>
  <c r="AI503" i="7" s="1"/>
  <c r="AI506" i="7" s="1"/>
  <c r="AS594" i="2"/>
  <c r="AS597" i="2"/>
  <c r="I593" i="2"/>
  <c r="AJ482" i="7" l="1"/>
  <c r="AJ503" i="7" s="1"/>
  <c r="Q316" i="4"/>
  <c r="Q820" i="2" s="1"/>
  <c r="Q823" i="2" s="1"/>
  <c r="R313" i="4"/>
  <c r="P96" i="14"/>
  <c r="P864" i="2"/>
  <c r="N45" i="16"/>
  <c r="N147" i="17"/>
  <c r="O866" i="2"/>
  <c r="O1025" i="2" s="1"/>
  <c r="O1135" i="2" s="1"/>
  <c r="O1095" i="2"/>
  <c r="O1005" i="2"/>
  <c r="AK480" i="7"/>
  <c r="AK496" i="7" s="1"/>
  <c r="AK498" i="7" s="1"/>
  <c r="AK502" i="7" s="1"/>
  <c r="AN354" i="7"/>
  <c r="AN355" i="7" s="1"/>
  <c r="AN451" i="7" s="1"/>
  <c r="AN454" i="7" s="1"/>
  <c r="AN494" i="7"/>
  <c r="AP335" i="7"/>
  <c r="AP336" i="7" s="1"/>
  <c r="AO339" i="7"/>
  <c r="AM473" i="7"/>
  <c r="AM466" i="7"/>
  <c r="AM467" i="7" s="1"/>
  <c r="AH280" i="7"/>
  <c r="AH283" i="7" s="1"/>
  <c r="AH301" i="7" s="1"/>
  <c r="AH303" i="7" s="1"/>
  <c r="AL475" i="7"/>
  <c r="AL476" i="7" s="1"/>
  <c r="AL495" i="7"/>
  <c r="AJ506" i="7"/>
  <c r="AS271" i="7"/>
  <c r="AS276" i="7" s="1"/>
  <c r="AS278" i="7" s="1"/>
  <c r="AS279" i="7" s="1"/>
  <c r="AS624" i="2"/>
  <c r="AS626" i="2" s="1"/>
  <c r="I597" i="2"/>
  <c r="I624" i="2" s="1"/>
  <c r="AS602" i="2"/>
  <c r="AS603" i="2" s="1"/>
  <c r="I594" i="2"/>
  <c r="I602" i="2" s="1"/>
  <c r="AS595" i="2"/>
  <c r="P866" i="2" l="1"/>
  <c r="P1025" i="2" s="1"/>
  <c r="P1135" i="2" s="1"/>
  <c r="P1005" i="2"/>
  <c r="P1095" i="2"/>
  <c r="R316" i="4"/>
  <c r="R820" i="2" s="1"/>
  <c r="R823" i="2" s="1"/>
  <c r="S313" i="4"/>
  <c r="O147" i="17"/>
  <c r="O45" i="16"/>
  <c r="Q864" i="2"/>
  <c r="Q96" i="14"/>
  <c r="AK482" i="7"/>
  <c r="AK503" i="7" s="1"/>
  <c r="AK506" i="7" s="1"/>
  <c r="AL480" i="7"/>
  <c r="AL496" i="7" s="1"/>
  <c r="AL498" i="7" s="1"/>
  <c r="AL502" i="7" s="1"/>
  <c r="AM495" i="7"/>
  <c r="AM475" i="7"/>
  <c r="AM476" i="7" s="1"/>
  <c r="AO354" i="7"/>
  <c r="AO355" i="7" s="1"/>
  <c r="AO451" i="7" s="1"/>
  <c r="AO454" i="7" s="1"/>
  <c r="AO494" i="7"/>
  <c r="AQ335" i="7"/>
  <c r="AQ336" i="7" s="1"/>
  <c r="AP339" i="7"/>
  <c r="AH281" i="7"/>
  <c r="AI277" i="7" s="1"/>
  <c r="AN466" i="7"/>
  <c r="AN467" i="7" s="1"/>
  <c r="AN473" i="7"/>
  <c r="I603" i="2"/>
  <c r="AS616" i="2"/>
  <c r="AS619" i="2" s="1"/>
  <c r="AS609" i="2"/>
  <c r="AS611" i="2" s="1"/>
  <c r="AS640" i="2"/>
  <c r="AS644" i="2" s="1"/>
  <c r="I626" i="2"/>
  <c r="I640" i="2" s="1"/>
  <c r="AS775" i="2" l="1"/>
  <c r="I644" i="2"/>
  <c r="I775" i="2" s="1"/>
  <c r="F646" i="2"/>
  <c r="F648" i="2" s="1"/>
  <c r="F1227" i="2" s="1"/>
  <c r="T313" i="4"/>
  <c r="S316" i="4"/>
  <c r="S820" i="2" s="1"/>
  <c r="S823" i="2" s="1"/>
  <c r="P45" i="16"/>
  <c r="P147" i="17"/>
  <c r="R864" i="2"/>
  <c r="R96" i="14"/>
  <c r="R97" i="14" s="1"/>
  <c r="Q866" i="2"/>
  <c r="Q1025" i="2" s="1"/>
  <c r="Q1135" i="2" s="1"/>
  <c r="Q1005" i="2"/>
  <c r="Q1095" i="2"/>
  <c r="AN495" i="7"/>
  <c r="AN475" i="7"/>
  <c r="AN476" i="7" s="1"/>
  <c r="AQ339" i="7"/>
  <c r="AR335" i="7"/>
  <c r="AR336" i="7" s="1"/>
  <c r="AO466" i="7"/>
  <c r="AO467" i="7" s="1"/>
  <c r="AO473" i="7"/>
  <c r="AI280" i="7"/>
  <c r="AI283" i="7" s="1"/>
  <c r="AI301" i="7" s="1"/>
  <c r="AI303" i="7" s="1"/>
  <c r="AM480" i="7"/>
  <c r="AM496" i="7" s="1"/>
  <c r="AM498" i="7" s="1"/>
  <c r="AM502" i="7" s="1"/>
  <c r="AL482" i="7"/>
  <c r="AL503" i="7" s="1"/>
  <c r="AL506" i="7" s="1"/>
  <c r="AP354" i="7"/>
  <c r="AP355" i="7" s="1"/>
  <c r="AP451" i="7" s="1"/>
  <c r="AP454" i="7" s="1"/>
  <c r="AP494" i="7"/>
  <c r="I609" i="2"/>
  <c r="I616" i="2"/>
  <c r="S864" i="2" l="1"/>
  <c r="S96" i="14"/>
  <c r="T316" i="4"/>
  <c r="T820" i="2" s="1"/>
  <c r="T823" i="2" s="1"/>
  <c r="U313" i="4"/>
  <c r="R866" i="2"/>
  <c r="R1025" i="2" s="1"/>
  <c r="R1135" i="2" s="1"/>
  <c r="R1095" i="2"/>
  <c r="R1005" i="2"/>
  <c r="Q45" i="16"/>
  <c r="Q147" i="17"/>
  <c r="AM482" i="7"/>
  <c r="AM503" i="7" s="1"/>
  <c r="AM506" i="7" s="1"/>
  <c r="AS335" i="7"/>
  <c r="AS336" i="7" s="1"/>
  <c r="AR339" i="7"/>
  <c r="AQ494" i="7"/>
  <c r="AQ354" i="7"/>
  <c r="AQ355" i="7" s="1"/>
  <c r="AQ451" i="7" s="1"/>
  <c r="AQ454" i="7" s="1"/>
  <c r="AI281" i="7"/>
  <c r="AJ277" i="7" s="1"/>
  <c r="AN480" i="7"/>
  <c r="AN496" i="7" s="1"/>
  <c r="AN498" i="7" s="1"/>
  <c r="AN502" i="7" s="1"/>
  <c r="AP466" i="7"/>
  <c r="AP467" i="7" s="1"/>
  <c r="AP473" i="7"/>
  <c r="AO475" i="7"/>
  <c r="AO476" i="7" s="1"/>
  <c r="AO495" i="7"/>
  <c r="R45" i="16" l="1"/>
  <c r="R147" i="17"/>
  <c r="S866" i="2"/>
  <c r="S1025" i="2" s="1"/>
  <c r="S1135" i="2" s="1"/>
  <c r="S1095" i="2"/>
  <c r="S1005" i="2"/>
  <c r="U316" i="4"/>
  <c r="U820" i="2" s="1"/>
  <c r="U823" i="2" s="1"/>
  <c r="V313" i="4"/>
  <c r="T864" i="2"/>
  <c r="T96" i="14"/>
  <c r="T97" i="14" s="1"/>
  <c r="AN482" i="7"/>
  <c r="AN503" i="7" s="1"/>
  <c r="AN506" i="7" s="1"/>
  <c r="AO480" i="7"/>
  <c r="AO496" i="7" s="1"/>
  <c r="AO498" i="7" s="1"/>
  <c r="AO502" i="7" s="1"/>
  <c r="AJ280" i="7"/>
  <c r="AJ283" i="7" s="1"/>
  <c r="AJ301" i="7" s="1"/>
  <c r="AJ303" i="7" s="1"/>
  <c r="AR494" i="7"/>
  <c r="AR354" i="7"/>
  <c r="AR355" i="7" s="1"/>
  <c r="AR451" i="7" s="1"/>
  <c r="AR454" i="7" s="1"/>
  <c r="AQ473" i="7"/>
  <c r="AQ466" i="7"/>
  <c r="AQ467" i="7" s="1"/>
  <c r="AS339" i="7"/>
  <c r="I336" i="7"/>
  <c r="AP495" i="7"/>
  <c r="AP475" i="7"/>
  <c r="AP476" i="7" s="1"/>
  <c r="T866" i="2" l="1"/>
  <c r="T1025" i="2" s="1"/>
  <c r="T1135" i="2" s="1"/>
  <c r="T1005" i="2"/>
  <c r="T1095" i="2"/>
  <c r="V316" i="4"/>
  <c r="V820" i="2" s="1"/>
  <c r="V823" i="2" s="1"/>
  <c r="W313" i="4"/>
  <c r="S45" i="16"/>
  <c r="S147" i="17"/>
  <c r="U864" i="2"/>
  <c r="U96" i="14"/>
  <c r="U97" i="14" s="1"/>
  <c r="AO482" i="7"/>
  <c r="AO503" i="7" s="1"/>
  <c r="AO506" i="7" s="1"/>
  <c r="AP480" i="7"/>
  <c r="AP496" i="7" s="1"/>
  <c r="AP498" i="7" s="1"/>
  <c r="AP502" i="7" s="1"/>
  <c r="AJ281" i="7"/>
  <c r="AK277" i="7" s="1"/>
  <c r="AS354" i="7"/>
  <c r="AS355" i="7" s="1"/>
  <c r="AS494" i="7"/>
  <c r="I339" i="7"/>
  <c r="AQ475" i="7"/>
  <c r="AQ476" i="7" s="1"/>
  <c r="AQ495" i="7"/>
  <c r="AR466" i="7"/>
  <c r="AR467" i="7" s="1"/>
  <c r="AR473" i="7"/>
  <c r="U866" i="2" l="1"/>
  <c r="U1025" i="2" s="1"/>
  <c r="U1135" i="2" s="1"/>
  <c r="U1005" i="2"/>
  <c r="U1095" i="2"/>
  <c r="T147" i="17"/>
  <c r="T45" i="16"/>
  <c r="W316" i="4"/>
  <c r="W820" i="2" s="1"/>
  <c r="W823" i="2" s="1"/>
  <c r="X313" i="4"/>
  <c r="V864" i="2"/>
  <c r="V96" i="14"/>
  <c r="V97" i="14" s="1"/>
  <c r="AP482" i="7"/>
  <c r="AP503" i="7" s="1"/>
  <c r="AP506" i="7" s="1"/>
  <c r="AQ480" i="7"/>
  <c r="AQ496" i="7" s="1"/>
  <c r="AQ498" i="7" s="1"/>
  <c r="AQ502" i="7" s="1"/>
  <c r="I354" i="7"/>
  <c r="I494" i="7"/>
  <c r="AK280" i="7"/>
  <c r="AK283" i="7" s="1"/>
  <c r="AK301" i="7" s="1"/>
  <c r="AK303" i="7" s="1"/>
  <c r="AS451" i="7"/>
  <c r="AS454" i="7" s="1"/>
  <c r="I355" i="7"/>
  <c r="I451" i="7" s="1"/>
  <c r="AR475" i="7"/>
  <c r="AR476" i="7" s="1"/>
  <c r="AR495" i="7"/>
  <c r="U45" i="16" l="1"/>
  <c r="U147" i="17"/>
  <c r="X316" i="4"/>
  <c r="X820" i="2" s="1"/>
  <c r="X823" i="2" s="1"/>
  <c r="Y313" i="4"/>
  <c r="W96" i="14"/>
  <c r="W97" i="14" s="1"/>
  <c r="W864" i="2"/>
  <c r="V866" i="2"/>
  <c r="V1025" i="2" s="1"/>
  <c r="V1135" i="2" s="1"/>
  <c r="V1095" i="2"/>
  <c r="V1005" i="2"/>
  <c r="AK281" i="7"/>
  <c r="AL277" i="7" s="1"/>
  <c r="AR480" i="7"/>
  <c r="AR496" i="7" s="1"/>
  <c r="AR498" i="7" s="1"/>
  <c r="AR502" i="7" s="1"/>
  <c r="AQ482" i="7"/>
  <c r="AQ503" i="7" s="1"/>
  <c r="AQ506" i="7" s="1"/>
  <c r="AS473" i="7"/>
  <c r="AS466" i="7"/>
  <c r="AS467" i="7" s="1"/>
  <c r="I454" i="7"/>
  <c r="Y316" i="4" l="1"/>
  <c r="Y820" i="2" s="1"/>
  <c r="Y823" i="2" s="1"/>
  <c r="Z313" i="4"/>
  <c r="X864" i="2"/>
  <c r="X96" i="14"/>
  <c r="X97" i="14" s="1"/>
  <c r="V147" i="17"/>
  <c r="V45" i="16"/>
  <c r="W866" i="2"/>
  <c r="W1025" i="2" s="1"/>
  <c r="W1135" i="2" s="1"/>
  <c r="W1005" i="2"/>
  <c r="W1095" i="2"/>
  <c r="AR482" i="7"/>
  <c r="AR503" i="7" s="1"/>
  <c r="AR506" i="7" s="1"/>
  <c r="I466" i="7"/>
  <c r="I473" i="7"/>
  <c r="AS495" i="7"/>
  <c r="AS475" i="7"/>
  <c r="AS476" i="7" s="1"/>
  <c r="I467" i="7"/>
  <c r="AL280" i="7"/>
  <c r="AL283" i="7" s="1"/>
  <c r="AL301" i="7" s="1"/>
  <c r="AL303" i="7" s="1"/>
  <c r="W147" i="17" l="1"/>
  <c r="W45" i="16"/>
  <c r="X866" i="2"/>
  <c r="X1025" i="2" s="1"/>
  <c r="X1135" i="2" s="1"/>
  <c r="X1095" i="2"/>
  <c r="X1005" i="2"/>
  <c r="Z316" i="4"/>
  <c r="Z820" i="2" s="1"/>
  <c r="Z823" i="2" s="1"/>
  <c r="AA313" i="4"/>
  <c r="Y96" i="14"/>
  <c r="Y97" i="14" s="1"/>
  <c r="Y864" i="2"/>
  <c r="AS480" i="7"/>
  <c r="AS482" i="7" s="1"/>
  <c r="I476" i="7"/>
  <c r="AL281" i="7"/>
  <c r="AM277" i="7" s="1"/>
  <c r="I475" i="7"/>
  <c r="I495" i="7"/>
  <c r="Y866" i="2" l="1"/>
  <c r="Y1025" i="2" s="1"/>
  <c r="Y1135" i="2" s="1"/>
  <c r="Y1095" i="2"/>
  <c r="Y1005" i="2"/>
  <c r="X45" i="16"/>
  <c r="X147" i="17"/>
  <c r="AB313" i="4"/>
  <c r="AA316" i="4"/>
  <c r="AA820" i="2" s="1"/>
  <c r="AA823" i="2" s="1"/>
  <c r="Z864" i="2"/>
  <c r="Z96" i="14"/>
  <c r="AS496" i="7"/>
  <c r="AS498" i="7" s="1"/>
  <c r="I480" i="7"/>
  <c r="I496" i="7" s="1"/>
  <c r="AS503" i="7"/>
  <c r="I482" i="7"/>
  <c r="I503" i="7" s="1"/>
  <c r="F513" i="7"/>
  <c r="F525" i="7"/>
  <c r="AM280" i="7"/>
  <c r="AM283" i="7" s="1"/>
  <c r="AM301" i="7" s="1"/>
  <c r="AM303" i="7" s="1"/>
  <c r="Z866" i="2" l="1"/>
  <c r="Z1025" i="2" s="1"/>
  <c r="Z1135" i="2" s="1"/>
  <c r="Z1005" i="2"/>
  <c r="Z1095" i="2"/>
  <c r="F1118" i="2" s="1" a="1"/>
  <c r="F1118" i="2" s="1"/>
  <c r="C156" i="18" s="1"/>
  <c r="AA96" i="14"/>
  <c r="AA97" i="14" s="1"/>
  <c r="AA864" i="2"/>
  <c r="Y45" i="16"/>
  <c r="Y147" i="17"/>
  <c r="AC313" i="4"/>
  <c r="AB316" i="4"/>
  <c r="AB820" i="2" s="1"/>
  <c r="AB823" i="2" s="1"/>
  <c r="AS502" i="7"/>
  <c r="AS506" i="7" s="1"/>
  <c r="I506" i="7" s="1"/>
  <c r="I498" i="7"/>
  <c r="I502" i="7" s="1"/>
  <c r="F508" i="7" s="1"/>
  <c r="F512" i="7"/>
  <c r="F524" i="7"/>
  <c r="F527" i="7" s="1"/>
  <c r="AM281" i="7"/>
  <c r="AN277" i="7" s="1"/>
  <c r="AA866" i="2" l="1"/>
  <c r="AA1025" i="2" s="1"/>
  <c r="AA1135" i="2" s="1"/>
  <c r="AA1095" i="2"/>
  <c r="AA1005" i="2"/>
  <c r="I97" i="14"/>
  <c r="J97" i="14"/>
  <c r="AC316" i="4"/>
  <c r="AC820" i="2" s="1"/>
  <c r="AC823" i="2" s="1"/>
  <c r="AD313" i="4"/>
  <c r="Z147" i="17"/>
  <c r="Z45" i="16"/>
  <c r="AB864" i="2"/>
  <c r="AB96" i="14"/>
  <c r="AN280" i="7"/>
  <c r="AN283" i="7" s="1"/>
  <c r="AN301" i="7" s="1"/>
  <c r="AN303" i="7" s="1"/>
  <c r="AA147" i="17" l="1"/>
  <c r="AA45" i="16"/>
  <c r="AD316" i="4"/>
  <c r="AD820" i="2" s="1"/>
  <c r="AD823" i="2" s="1"/>
  <c r="AE313" i="4"/>
  <c r="AC864" i="2"/>
  <c r="AC96" i="14"/>
  <c r="AB866" i="2"/>
  <c r="AB1025" i="2" s="1"/>
  <c r="AB1135" i="2" s="1"/>
  <c r="AB1095" i="2"/>
  <c r="AB1005" i="2"/>
  <c r="AN281" i="7"/>
  <c r="AO277" i="7" s="1"/>
  <c r="AD96" i="14" l="1"/>
  <c r="AD864" i="2"/>
  <c r="AB147" i="17"/>
  <c r="AB45" i="16"/>
  <c r="AC866" i="2"/>
  <c r="AC1025" i="2" s="1"/>
  <c r="AC1135" i="2" s="1"/>
  <c r="AC1095" i="2"/>
  <c r="AC1005" i="2"/>
  <c r="AE316" i="4"/>
  <c r="AE820" i="2" s="1"/>
  <c r="AE823" i="2" s="1"/>
  <c r="AF313" i="4"/>
  <c r="AO280" i="7"/>
  <c r="AO283" i="7" s="1"/>
  <c r="AO301" i="7" s="1"/>
  <c r="AO303" i="7" s="1"/>
  <c r="AC147" i="17" l="1"/>
  <c r="AC45" i="16"/>
  <c r="AF316" i="4"/>
  <c r="AF820" i="2" s="1"/>
  <c r="AF823" i="2" s="1"/>
  <c r="AG313" i="4"/>
  <c r="AE864" i="2"/>
  <c r="AE96" i="14"/>
  <c r="AD866" i="2"/>
  <c r="AD1025" i="2" s="1"/>
  <c r="AD1135" i="2" s="1"/>
  <c r="AD1095" i="2"/>
  <c r="AD1005" i="2"/>
  <c r="AO281" i="7"/>
  <c r="AP277" i="7" s="1"/>
  <c r="AP280" i="7" s="1"/>
  <c r="AP283" i="7" s="1"/>
  <c r="AP301" i="7" s="1"/>
  <c r="AP303" i="7" s="1"/>
  <c r="AD147" i="17" l="1"/>
  <c r="AD45" i="16"/>
  <c r="AF864" i="2"/>
  <c r="AF96" i="14"/>
  <c r="AH313" i="4"/>
  <c r="AG316" i="4"/>
  <c r="AG820" i="2" s="1"/>
  <c r="AG823" i="2" s="1"/>
  <c r="AE866" i="2"/>
  <c r="AE1025" i="2" s="1"/>
  <c r="AE1135" i="2" s="1"/>
  <c r="AE1005" i="2"/>
  <c r="AE1095" i="2"/>
  <c r="AP281" i="7"/>
  <c r="AQ277" i="7" s="1"/>
  <c r="AG864" i="2" l="1"/>
  <c r="AG96" i="14"/>
  <c r="AH316" i="4"/>
  <c r="AH820" i="2" s="1"/>
  <c r="AH823" i="2" s="1"/>
  <c r="AI313" i="4"/>
  <c r="AE45" i="16"/>
  <c r="AE147" i="17"/>
  <c r="AF866" i="2"/>
  <c r="AF1025" i="2" s="1"/>
  <c r="AF1135" i="2" s="1"/>
  <c r="AF1005" i="2"/>
  <c r="AF1095" i="2"/>
  <c r="AQ280" i="7"/>
  <c r="AQ283" i="7" s="1"/>
  <c r="AQ301" i="7" s="1"/>
  <c r="AQ303" i="7" s="1"/>
  <c r="AJ313" i="4" l="1"/>
  <c r="AI316" i="4"/>
  <c r="AI820" i="2" s="1"/>
  <c r="AI823" i="2" s="1"/>
  <c r="AF45" i="16"/>
  <c r="AF147" i="17"/>
  <c r="AH96" i="14"/>
  <c r="AH864" i="2"/>
  <c r="AG866" i="2"/>
  <c r="AG1025" i="2" s="1"/>
  <c r="AG1135" i="2" s="1"/>
  <c r="AG1005" i="2"/>
  <c r="AG1095" i="2"/>
  <c r="AQ281" i="7"/>
  <c r="AR277" i="7" s="1"/>
  <c r="AR280" i="7" s="1"/>
  <c r="AR283" i="7" s="1"/>
  <c r="AR301" i="7" s="1"/>
  <c r="AR303" i="7" s="1"/>
  <c r="AG45" i="16" l="1"/>
  <c r="AG147" i="17"/>
  <c r="AI864" i="2"/>
  <c r="AI96" i="14"/>
  <c r="AJ316" i="4"/>
  <c r="AJ820" i="2" s="1"/>
  <c r="AJ823" i="2" s="1"/>
  <c r="AK313" i="4"/>
  <c r="AH866" i="2"/>
  <c r="AH1025" i="2" s="1"/>
  <c r="AH1135" i="2" s="1"/>
  <c r="AH1095" i="2"/>
  <c r="AH1005" i="2"/>
  <c r="AR281" i="7"/>
  <c r="AS277" i="7" s="1"/>
  <c r="AS280" i="7" s="1"/>
  <c r="AS283" i="7" s="1"/>
  <c r="AL313" i="4" l="1"/>
  <c r="AK316" i="4"/>
  <c r="AK820" i="2" s="1"/>
  <c r="AK823" i="2" s="1"/>
  <c r="AJ96" i="14"/>
  <c r="AJ864" i="2"/>
  <c r="AI866" i="2"/>
  <c r="AI1025" i="2" s="1"/>
  <c r="AI1135" i="2" s="1"/>
  <c r="AI1005" i="2"/>
  <c r="AI1095" i="2"/>
  <c r="AH147" i="17"/>
  <c r="AH45" i="16"/>
  <c r="AS281" i="7"/>
  <c r="AS301" i="7"/>
  <c r="AS303" i="7" s="1"/>
  <c r="I303" i="7" s="1"/>
  <c r="I283" i="7"/>
  <c r="I301" i="7" s="1"/>
  <c r="AJ866" i="2" l="1"/>
  <c r="AJ1025" i="2" s="1"/>
  <c r="AJ1135" i="2" s="1"/>
  <c r="AJ1095" i="2"/>
  <c r="AJ1005" i="2"/>
  <c r="AI45" i="16"/>
  <c r="AI147" i="17"/>
  <c r="AK864" i="2"/>
  <c r="AK96" i="14"/>
  <c r="AM313" i="4"/>
  <c r="AL316" i="4"/>
  <c r="AL820" i="2" s="1"/>
  <c r="AL823" i="2" s="1"/>
  <c r="AM316" i="4" l="1"/>
  <c r="AM820" i="2" s="1"/>
  <c r="AM823" i="2" s="1"/>
  <c r="AN313" i="4"/>
  <c r="AK866" i="2"/>
  <c r="AK1025" i="2" s="1"/>
  <c r="AK1135" i="2" s="1"/>
  <c r="AK1095" i="2"/>
  <c r="AK1005" i="2"/>
  <c r="AJ45" i="16"/>
  <c r="AJ147" i="17"/>
  <c r="AL96" i="14"/>
  <c r="AL864" i="2"/>
  <c r="AL866" i="2" l="1"/>
  <c r="AL1025" i="2" s="1"/>
  <c r="AL1135" i="2" s="1"/>
  <c r="AL1095" i="2"/>
  <c r="AL1005" i="2"/>
  <c r="AK147" i="17"/>
  <c r="AK45" i="16"/>
  <c r="AN316" i="4"/>
  <c r="AN820" i="2" s="1"/>
  <c r="AN823" i="2" s="1"/>
  <c r="AO313" i="4"/>
  <c r="AM96" i="14"/>
  <c r="AM864" i="2"/>
  <c r="AM866" i="2" l="1"/>
  <c r="AM1025" i="2" s="1"/>
  <c r="AM1135" i="2" s="1"/>
  <c r="AM1095" i="2"/>
  <c r="AM1005" i="2"/>
  <c r="AO316" i="4"/>
  <c r="AO820" i="2" s="1"/>
  <c r="AO823" i="2" s="1"/>
  <c r="AP313" i="4"/>
  <c r="AN864" i="2"/>
  <c r="AN96" i="14"/>
  <c r="AL147" i="17"/>
  <c r="AL45" i="16"/>
  <c r="AO96" i="14" l="1"/>
  <c r="AO864" i="2"/>
  <c r="AM147" i="17"/>
  <c r="AM45" i="16"/>
  <c r="AN866" i="2"/>
  <c r="AN1025" i="2" s="1"/>
  <c r="AN1135" i="2" s="1"/>
  <c r="AN1095" i="2"/>
  <c r="AN1005" i="2"/>
  <c r="AP316" i="4"/>
  <c r="AP820" i="2" s="1"/>
  <c r="AP823" i="2" s="1"/>
  <c r="AQ313" i="4"/>
  <c r="AQ316" i="4" l="1"/>
  <c r="AQ820" i="2" s="1"/>
  <c r="AQ823" i="2" s="1"/>
  <c r="AR313" i="4"/>
  <c r="AP864" i="2"/>
  <c r="AP96" i="14"/>
  <c r="AN45" i="16"/>
  <c r="AN147" i="17"/>
  <c r="AO866" i="2"/>
  <c r="AO1025" i="2" s="1"/>
  <c r="AO1135" i="2" s="1"/>
  <c r="AO1005" i="2"/>
  <c r="AO1095" i="2"/>
  <c r="AP866" i="2" l="1"/>
  <c r="AP1025" i="2" s="1"/>
  <c r="AP1135" i="2" s="1"/>
  <c r="AP1095" i="2"/>
  <c r="AP1005" i="2"/>
  <c r="AO147" i="17"/>
  <c r="AO45" i="16"/>
  <c r="AR316" i="4"/>
  <c r="AR820" i="2" s="1"/>
  <c r="AR823" i="2" s="1"/>
  <c r="AS313" i="4"/>
  <c r="AS316" i="4" s="1"/>
  <c r="AS820" i="2" s="1"/>
  <c r="AS823" i="2" s="1"/>
  <c r="AQ96" i="14"/>
  <c r="AQ864" i="2"/>
  <c r="AQ866" i="2" l="1"/>
  <c r="AQ1025" i="2" s="1"/>
  <c r="AQ1135" i="2" s="1"/>
  <c r="AQ1095" i="2"/>
  <c r="AQ1005" i="2"/>
  <c r="AP147" i="17"/>
  <c r="AP45" i="16"/>
  <c r="AS864" i="2"/>
  <c r="AS96" i="14"/>
  <c r="I823" i="2"/>
  <c r="J823" i="2"/>
  <c r="AR864" i="2"/>
  <c r="AR96" i="14"/>
  <c r="AS866" i="2" l="1"/>
  <c r="AS1025" i="2" s="1"/>
  <c r="AS1135" i="2" s="1"/>
  <c r="AS1005" i="2"/>
  <c r="AS1095" i="2"/>
  <c r="AR866" i="2"/>
  <c r="AR1095" i="2"/>
  <c r="AR1005" i="2"/>
  <c r="J864" i="2"/>
  <c r="J96" i="14"/>
  <c r="I864" i="2"/>
  <c r="I96" i="14"/>
  <c r="AQ45" i="16"/>
  <c r="AQ147" i="17"/>
  <c r="AR45" i="16" l="1"/>
  <c r="AR147" i="17"/>
  <c r="N1186" i="2" a="1"/>
  <c r="N1186" i="2" s="1"/>
  <c r="D53" i="11" s="1"/>
  <c r="F65" i="15" s="1"/>
  <c r="J65" i="15" s="1"/>
  <c r="I65" i="15" s="1"/>
  <c r="L1186" i="2" a="1"/>
  <c r="L1186" i="2" s="1"/>
  <c r="K1186" i="2"/>
  <c r="M1186" i="2" a="1"/>
  <c r="M1186" i="2" s="1"/>
  <c r="G1118" i="2"/>
  <c r="D156" i="18" s="1"/>
  <c r="I1005" i="2"/>
  <c r="I1095" i="2"/>
  <c r="AR1025" i="2"/>
  <c r="AR1135" i="2" s="1"/>
  <c r="I866" i="2"/>
  <c r="I1025" i="2" s="1"/>
  <c r="I1135" i="2" s="1"/>
  <c r="J1095" i="2"/>
  <c r="J1005" i="2"/>
  <c r="AS147" i="17"/>
  <c r="AS45" i="16"/>
  <c r="N1218" i="2" l="1"/>
  <c r="E39" i="11" s="1"/>
  <c r="F54" i="15" s="1"/>
  <c r="J54" i="15" s="1"/>
  <c r="I54" i="15" s="1"/>
  <c r="M1205" i="2" a="1"/>
  <c r="M1205" i="2" s="1"/>
  <c r="N1205" i="2" a="1"/>
  <c r="N1205" i="2" s="1"/>
  <c r="D39" i="11" s="1"/>
  <c r="F43" i="15" s="1"/>
  <c r="J43" i="15" s="1"/>
  <c r="I43" i="15" s="1"/>
  <c r="K1205" i="2"/>
  <c r="M1218" i="2"/>
  <c r="L1205" i="2" a="1"/>
  <c r="L1205" i="2" s="1"/>
  <c r="I147" i="17"/>
  <c r="I45" i="16"/>
  <c r="L1218" i="2"/>
  <c r="J45" i="16"/>
  <c r="J147" i="17"/>
  <c r="G762" i="2"/>
  <c r="E762" i="2"/>
  <c r="E763" i="2" s="1"/>
  <c r="E776" i="2" s="1"/>
  <c r="F762" i="2"/>
  <c r="U763" i="2" s="1"/>
  <c r="U776" i="2" s="1"/>
  <c r="U778" i="2" s="1"/>
  <c r="U780" i="2" s="1"/>
  <c r="M763" i="2" l="1"/>
  <c r="M776" i="2" s="1"/>
  <c r="M778" i="2" s="1"/>
  <c r="M780" i="2" s="1"/>
  <c r="AG763" i="2"/>
  <c r="AG776" i="2" s="1"/>
  <c r="AG778" i="2" s="1"/>
  <c r="AG780" i="2" s="1"/>
  <c r="W763" i="2"/>
  <c r="W776" i="2" s="1"/>
  <c r="W778" i="2" s="1"/>
  <c r="W780" i="2" s="1"/>
  <c r="N763" i="2"/>
  <c r="N776" i="2" s="1"/>
  <c r="N778" i="2" s="1"/>
  <c r="N780" i="2" s="1"/>
  <c r="AS763" i="2"/>
  <c r="AS776" i="2" s="1"/>
  <c r="AS778" i="2" s="1"/>
  <c r="AS780" i="2" s="1"/>
  <c r="AC763" i="2"/>
  <c r="AC776" i="2" s="1"/>
  <c r="AC778" i="2" s="1"/>
  <c r="AC780" i="2" s="1"/>
  <c r="O763" i="2"/>
  <c r="O776" i="2" s="1"/>
  <c r="O778" i="2" s="1"/>
  <c r="O780" i="2" s="1"/>
  <c r="L763" i="2"/>
  <c r="L776" i="2" s="1"/>
  <c r="L778" i="2" s="1"/>
  <c r="L780" i="2" s="1"/>
  <c r="K763" i="2"/>
  <c r="K776" i="2" s="1"/>
  <c r="K778" i="2" s="1"/>
  <c r="K780" i="2" s="1"/>
  <c r="AL763" i="2"/>
  <c r="AL776" i="2" s="1"/>
  <c r="AL778" i="2" s="1"/>
  <c r="AL780" i="2" s="1"/>
  <c r="Y763" i="2"/>
  <c r="Y776" i="2" s="1"/>
  <c r="Y778" i="2" s="1"/>
  <c r="Y780" i="2" s="1"/>
  <c r="V763" i="2"/>
  <c r="V776" i="2" s="1"/>
  <c r="V778" i="2" s="1"/>
  <c r="V780" i="2" s="1"/>
  <c r="Z763" i="2"/>
  <c r="Z776" i="2" s="1"/>
  <c r="Z778" i="2" s="1"/>
  <c r="Z780" i="2" s="1"/>
  <c r="AK763" i="2"/>
  <c r="AK776" i="2" s="1"/>
  <c r="AK778" i="2" s="1"/>
  <c r="AK780" i="2" s="1"/>
  <c r="AE763" i="2"/>
  <c r="AE776" i="2" s="1"/>
  <c r="AE778" i="2" s="1"/>
  <c r="AE780" i="2" s="1"/>
  <c r="AQ763" i="2"/>
  <c r="AQ776" i="2" s="1"/>
  <c r="AQ778" i="2" s="1"/>
  <c r="AQ780" i="2" s="1"/>
  <c r="AF763" i="2"/>
  <c r="AF776" i="2" s="1"/>
  <c r="AF778" i="2" s="1"/>
  <c r="AF780" i="2" s="1"/>
  <c r="Q763" i="2"/>
  <c r="Q776" i="2" s="1"/>
  <c r="Q778" i="2" s="1"/>
  <c r="Q780" i="2" s="1"/>
  <c r="AA763" i="2"/>
  <c r="AA776" i="2" s="1"/>
  <c r="AA778" i="2" s="1"/>
  <c r="AA780" i="2" s="1"/>
  <c r="S763" i="2"/>
  <c r="S776" i="2" s="1"/>
  <c r="S778" i="2" s="1"/>
  <c r="S780" i="2" s="1"/>
  <c r="X763" i="2"/>
  <c r="X776" i="2" s="1"/>
  <c r="X778" i="2" s="1"/>
  <c r="X780" i="2" s="1"/>
  <c r="AM763" i="2"/>
  <c r="AM776" i="2" s="1"/>
  <c r="AM778" i="2" s="1"/>
  <c r="AM780" i="2" s="1"/>
  <c r="AP763" i="2"/>
  <c r="AP776" i="2" s="1"/>
  <c r="AP778" i="2" s="1"/>
  <c r="AP780" i="2" s="1"/>
  <c r="AI763" i="2"/>
  <c r="AI776" i="2" s="1"/>
  <c r="AI778" i="2" s="1"/>
  <c r="AI780" i="2" s="1"/>
  <c r="AJ763" i="2"/>
  <c r="AJ776" i="2" s="1"/>
  <c r="AJ778" i="2" s="1"/>
  <c r="AJ780" i="2" s="1"/>
  <c r="AH763" i="2"/>
  <c r="AH776" i="2" s="1"/>
  <c r="AH778" i="2" s="1"/>
  <c r="AH780" i="2" s="1"/>
  <c r="P763" i="2"/>
  <c r="P776" i="2" s="1"/>
  <c r="P778" i="2" s="1"/>
  <c r="P780" i="2" s="1"/>
  <c r="AN763" i="2"/>
  <c r="AN776" i="2" s="1"/>
  <c r="AN778" i="2" s="1"/>
  <c r="AN780" i="2" s="1"/>
  <c r="AB763" i="2"/>
  <c r="AB776" i="2" s="1"/>
  <c r="AB778" i="2" s="1"/>
  <c r="AB780" i="2" s="1"/>
  <c r="T763" i="2"/>
  <c r="T776" i="2" s="1"/>
  <c r="T778" i="2" s="1"/>
  <c r="T780" i="2" s="1"/>
  <c r="AO763" i="2"/>
  <c r="AO776" i="2" s="1"/>
  <c r="AO778" i="2" s="1"/>
  <c r="AO780" i="2" s="1"/>
  <c r="R763" i="2"/>
  <c r="R776" i="2" s="1"/>
  <c r="R778" i="2" s="1"/>
  <c r="R780" i="2" s="1"/>
  <c r="AR763" i="2"/>
  <c r="AR776" i="2" s="1"/>
  <c r="AR778" i="2" s="1"/>
  <c r="AR780" i="2" s="1"/>
  <c r="AD763" i="2"/>
  <c r="AD776" i="2" s="1"/>
  <c r="AD778" i="2" s="1"/>
  <c r="AD780" i="2" s="1"/>
  <c r="I778" i="2" l="1"/>
  <c r="I763" i="2"/>
  <c r="I776" i="2" s="1"/>
  <c r="I780" i="2"/>
  <c r="K782" i="2"/>
  <c r="L781" i="2" l="1"/>
  <c r="L782" i="2" s="1"/>
  <c r="K785" i="2"/>
  <c r="K793" i="2" l="1"/>
  <c r="K795" i="2" s="1"/>
  <c r="M781" i="2"/>
  <c r="M782" i="2" s="1"/>
  <c r="L785" i="2"/>
  <c r="L793" i="2" s="1"/>
  <c r="L795" i="2" s="1"/>
  <c r="N781" i="2" l="1"/>
  <c r="N782" i="2" s="1"/>
  <c r="M785" i="2"/>
  <c r="M793" i="2" s="1"/>
  <c r="M795" i="2" s="1"/>
  <c r="L71" i="14"/>
  <c r="L1091" i="2"/>
  <c r="L808" i="2"/>
  <c r="L810" i="2" s="1"/>
  <c r="L812" i="2" s="1"/>
  <c r="L1001" i="2"/>
  <c r="K71" i="14"/>
  <c r="K1091" i="2"/>
  <c r="K1001" i="2"/>
  <c r="K808" i="2"/>
  <c r="K810" i="2" s="1"/>
  <c r="L55" i="16" l="1"/>
  <c r="L936" i="2"/>
  <c r="L938" i="2" s="1"/>
  <c r="L143" i="17"/>
  <c r="L41" i="16"/>
  <c r="K812" i="2"/>
  <c r="K143" i="17"/>
  <c r="K41" i="16"/>
  <c r="M1001" i="2"/>
  <c r="M71" i="14"/>
  <c r="M1091" i="2"/>
  <c r="M808" i="2"/>
  <c r="M810" i="2" s="1"/>
  <c r="M812" i="2" s="1"/>
  <c r="O781" i="2"/>
  <c r="O782" i="2" s="1"/>
  <c r="N785" i="2"/>
  <c r="M936" i="2" l="1"/>
  <c r="M938" i="2" s="1"/>
  <c r="M55" i="16"/>
  <c r="L59" i="16"/>
  <c r="L60" i="16" s="1"/>
  <c r="L977" i="2"/>
  <c r="L946" i="2"/>
  <c r="L947" i="2" s="1"/>
  <c r="K55" i="16"/>
  <c r="K936" i="2"/>
  <c r="K938" i="2" s="1"/>
  <c r="M143" i="17"/>
  <c r="M41" i="16"/>
  <c r="N793" i="2"/>
  <c r="N795" i="2" s="1"/>
  <c r="P781" i="2"/>
  <c r="P782" i="2" s="1"/>
  <c r="O785" i="2"/>
  <c r="O793" i="2" s="1"/>
  <c r="O795" i="2" s="1"/>
  <c r="N71" i="14" l="1"/>
  <c r="N1091" i="2"/>
  <c r="N808" i="2"/>
  <c r="N810" i="2" s="1"/>
  <c r="N1001" i="2"/>
  <c r="L950" i="2"/>
  <c r="L967" i="2"/>
  <c r="Q781" i="2"/>
  <c r="Q782" i="2" s="1"/>
  <c r="P785" i="2"/>
  <c r="P793" i="2" s="1"/>
  <c r="P795" i="2" s="1"/>
  <c r="M59" i="16"/>
  <c r="M946" i="2"/>
  <c r="M947" i="2" s="1"/>
  <c r="M977" i="2"/>
  <c r="O1091" i="2"/>
  <c r="O808" i="2"/>
  <c r="O810" i="2" s="1"/>
  <c r="O812" i="2" s="1"/>
  <c r="O71" i="14"/>
  <c r="O1001" i="2"/>
  <c r="K59" i="16"/>
  <c r="K977" i="2"/>
  <c r="K946" i="2"/>
  <c r="K947" i="2" s="1"/>
  <c r="P1091" i="2" l="1"/>
  <c r="P71" i="14"/>
  <c r="P1001" i="2"/>
  <c r="P808" i="2"/>
  <c r="P810" i="2" s="1"/>
  <c r="P812" i="2" s="1"/>
  <c r="N41" i="16"/>
  <c r="N143" i="17"/>
  <c r="R781" i="2"/>
  <c r="R782" i="2" s="1"/>
  <c r="Q785" i="2"/>
  <c r="Q793" i="2" s="1"/>
  <c r="Q795" i="2" s="1"/>
  <c r="O55" i="16"/>
  <c r="O936" i="2"/>
  <c r="O938" i="2" s="1"/>
  <c r="N812" i="2"/>
  <c r="K60" i="16"/>
  <c r="M60" i="16"/>
  <c r="M950" i="2"/>
  <c r="M967" i="2"/>
  <c r="O41" i="16"/>
  <c r="O143" i="17"/>
  <c r="K950" i="2"/>
  <c r="K967" i="2"/>
  <c r="O59" i="16" l="1"/>
  <c r="O60" i="16" s="1"/>
  <c r="O977" i="2"/>
  <c r="O946" i="2"/>
  <c r="O947" i="2" s="1"/>
  <c r="P55" i="16"/>
  <c r="P936" i="2"/>
  <c r="P938" i="2" s="1"/>
  <c r="S781" i="2"/>
  <c r="S782" i="2" s="1"/>
  <c r="R785" i="2"/>
  <c r="R793" i="2" s="1"/>
  <c r="R795" i="2" s="1"/>
  <c r="P41" i="16"/>
  <c r="P143" i="17"/>
  <c r="N55" i="16"/>
  <c r="N936" i="2"/>
  <c r="N938" i="2" s="1"/>
  <c r="K968" i="2"/>
  <c r="K969" i="2" s="1"/>
  <c r="L965" i="2" s="1"/>
  <c r="L966" i="2" s="1"/>
  <c r="Q1001" i="2"/>
  <c r="Q71" i="14"/>
  <c r="Q1091" i="2"/>
  <c r="Q808" i="2"/>
  <c r="Q810" i="2" s="1"/>
  <c r="Q812" i="2" s="1"/>
  <c r="K971" i="2" l="1"/>
  <c r="K114" i="14" s="1"/>
  <c r="K115" i="14" s="1"/>
  <c r="P946" i="2"/>
  <c r="P947" i="2" s="1"/>
  <c r="P59" i="16"/>
  <c r="P60" i="16" s="1"/>
  <c r="P977" i="2"/>
  <c r="O967" i="2"/>
  <c r="O950" i="2"/>
  <c r="L968" i="2"/>
  <c r="L971" i="2" s="1"/>
  <c r="N59" i="16"/>
  <c r="N946" i="2"/>
  <c r="N947" i="2" s="1"/>
  <c r="N977" i="2"/>
  <c r="Q55" i="16"/>
  <c r="Q936" i="2"/>
  <c r="Q938" i="2" s="1"/>
  <c r="Q41" i="16"/>
  <c r="Q143" i="17"/>
  <c r="R1091" i="2"/>
  <c r="R71" i="14"/>
  <c r="R72" i="14" s="1"/>
  <c r="R808" i="2"/>
  <c r="R810" i="2" s="1"/>
  <c r="R1001" i="2"/>
  <c r="T781" i="2"/>
  <c r="T782" i="2" s="1"/>
  <c r="S785" i="2"/>
  <c r="S793" i="2" s="1"/>
  <c r="S795" i="2" s="1"/>
  <c r="K978" i="2" l="1"/>
  <c r="K979" i="2" s="1"/>
  <c r="K1011" i="2"/>
  <c r="K152" i="17" s="1"/>
  <c r="K1101" i="2"/>
  <c r="K63" i="16"/>
  <c r="S71" i="14"/>
  <c r="S808" i="2"/>
  <c r="S810" i="2" s="1"/>
  <c r="S812" i="2" s="1"/>
  <c r="S1091" i="2"/>
  <c r="S1001" i="2"/>
  <c r="N967" i="2"/>
  <c r="N950" i="2"/>
  <c r="U781" i="2"/>
  <c r="U782" i="2" s="1"/>
  <c r="T785" i="2"/>
  <c r="T793" i="2" s="1"/>
  <c r="T795" i="2" s="1"/>
  <c r="L969" i="2"/>
  <c r="M965" i="2" s="1"/>
  <c r="M966" i="2" s="1"/>
  <c r="R812" i="2"/>
  <c r="L114" i="14"/>
  <c r="L115" i="14" s="1"/>
  <c r="L1101" i="2"/>
  <c r="L978" i="2"/>
  <c r="L979" i="2" s="1"/>
  <c r="L984" i="2" s="1"/>
  <c r="L1011" i="2"/>
  <c r="L63" i="16"/>
  <c r="R143" i="17"/>
  <c r="R41" i="16"/>
  <c r="N60" i="16"/>
  <c r="Q59" i="16"/>
  <c r="Q60" i="16" s="1"/>
  <c r="Q977" i="2"/>
  <c r="Q946" i="2"/>
  <c r="Q947" i="2" s="1"/>
  <c r="P950" i="2"/>
  <c r="P967" i="2"/>
  <c r="K983" i="2" l="1"/>
  <c r="K69" i="16" s="1"/>
  <c r="K984" i="2"/>
  <c r="K68" i="16"/>
  <c r="K64" i="16"/>
  <c r="K65" i="16" s="1"/>
  <c r="K1018" i="2"/>
  <c r="K1131" i="2" s="1"/>
  <c r="K76" i="16" s="1"/>
  <c r="K50" i="16"/>
  <c r="T808" i="2"/>
  <c r="T810" i="2" s="1"/>
  <c r="T812" i="2" s="1"/>
  <c r="T1091" i="2"/>
  <c r="T71" i="14"/>
  <c r="T1001" i="2"/>
  <c r="V781" i="2"/>
  <c r="V782" i="2" s="1"/>
  <c r="U785" i="2"/>
  <c r="U793" i="2" s="1"/>
  <c r="U795" i="2" s="1"/>
  <c r="R55" i="16"/>
  <c r="R936" i="2"/>
  <c r="R938" i="2" s="1"/>
  <c r="L68" i="16"/>
  <c r="L64" i="16"/>
  <c r="L65" i="16" s="1"/>
  <c r="L983" i="2"/>
  <c r="S143" i="17"/>
  <c r="S41" i="16"/>
  <c r="M968" i="2"/>
  <c r="L152" i="17"/>
  <c r="L50" i="16"/>
  <c r="L1018" i="2"/>
  <c r="L1131" i="2" s="1"/>
  <c r="Q967" i="2"/>
  <c r="Q950" i="2"/>
  <c r="S55" i="16"/>
  <c r="S936" i="2"/>
  <c r="S938" i="2" s="1"/>
  <c r="L987" i="2" l="1"/>
  <c r="L70" i="16" s="1"/>
  <c r="L985" i="2"/>
  <c r="L990" i="2" s="1"/>
  <c r="L992" i="2" s="1"/>
  <c r="K1007" i="2"/>
  <c r="K1010" i="2" s="1"/>
  <c r="K985" i="2"/>
  <c r="K990" i="2" s="1"/>
  <c r="K992" i="2" s="1"/>
  <c r="K79" i="14"/>
  <c r="K987" i="2"/>
  <c r="K70" i="16" s="1"/>
  <c r="K71" i="16" s="1"/>
  <c r="K1097" i="2"/>
  <c r="K1100" i="2" s="1"/>
  <c r="K1102" i="2" s="1"/>
  <c r="T143" i="17"/>
  <c r="T41" i="16"/>
  <c r="T55" i="16"/>
  <c r="T936" i="2"/>
  <c r="T938" i="2" s="1"/>
  <c r="M971" i="2"/>
  <c r="R59" i="16"/>
  <c r="R977" i="2"/>
  <c r="R946" i="2"/>
  <c r="R947" i="2" s="1"/>
  <c r="M969" i="2"/>
  <c r="N965" i="2" s="1"/>
  <c r="N966" i="2" s="1"/>
  <c r="U1091" i="2"/>
  <c r="U71" i="14"/>
  <c r="U72" i="14" s="1"/>
  <c r="U1001" i="2"/>
  <c r="U808" i="2"/>
  <c r="U810" i="2" s="1"/>
  <c r="U812" i="2" s="1"/>
  <c r="L76" i="16"/>
  <c r="L69" i="16"/>
  <c r="L79" i="14"/>
  <c r="L1097" i="2"/>
  <c r="L1100" i="2" s="1"/>
  <c r="L1007" i="2"/>
  <c r="L1010" i="2" s="1"/>
  <c r="S946" i="2"/>
  <c r="S947" i="2" s="1"/>
  <c r="S977" i="2"/>
  <c r="S59" i="16"/>
  <c r="S60" i="16" s="1"/>
  <c r="W781" i="2"/>
  <c r="W782" i="2" s="1"/>
  <c r="V785" i="2"/>
  <c r="V793" i="2" s="1"/>
  <c r="V795" i="2" s="1"/>
  <c r="K47" i="16" l="1"/>
  <c r="K149" i="17"/>
  <c r="L1020" i="2"/>
  <c r="L1133" i="2" s="1"/>
  <c r="L78" i="16" s="1"/>
  <c r="K1020" i="2"/>
  <c r="K1133" i="2" s="1"/>
  <c r="K78" i="16" s="1"/>
  <c r="L71" i="16"/>
  <c r="K49" i="16"/>
  <c r="K151" i="17"/>
  <c r="K1017" i="2"/>
  <c r="K1130" i="2" s="1"/>
  <c r="K1012" i="2"/>
  <c r="U55" i="16"/>
  <c r="U936" i="2"/>
  <c r="U938" i="2" s="1"/>
  <c r="V71" i="14"/>
  <c r="V72" i="14" s="1"/>
  <c r="V1091" i="2"/>
  <c r="V1001" i="2"/>
  <c r="V808" i="2"/>
  <c r="V810" i="2" s="1"/>
  <c r="V812" i="2" s="1"/>
  <c r="R60" i="16"/>
  <c r="S967" i="2"/>
  <c r="S950" i="2"/>
  <c r="U41" i="16"/>
  <c r="U143" i="17"/>
  <c r="L47" i="16"/>
  <c r="L149" i="17"/>
  <c r="L1102" i="2"/>
  <c r="R967" i="2"/>
  <c r="R950" i="2"/>
  <c r="M114" i="14"/>
  <c r="M115" i="14" s="1"/>
  <c r="M978" i="2"/>
  <c r="M979" i="2" s="1"/>
  <c r="M984" i="2" s="1"/>
  <c r="M63" i="16"/>
  <c r="M1101" i="2"/>
  <c r="M1011" i="2"/>
  <c r="X781" i="2"/>
  <c r="X782" i="2" s="1"/>
  <c r="W785" i="2"/>
  <c r="W793" i="2" s="1"/>
  <c r="W795" i="2" s="1"/>
  <c r="T946" i="2"/>
  <c r="T947" i="2" s="1"/>
  <c r="T977" i="2"/>
  <c r="T59" i="16"/>
  <c r="V55" i="16" l="1"/>
  <c r="V936" i="2"/>
  <c r="V938" i="2" s="1"/>
  <c r="K75" i="16"/>
  <c r="K1104" i="2"/>
  <c r="Y781" i="2"/>
  <c r="Y782" i="2" s="1"/>
  <c r="X785" i="2"/>
  <c r="X793" i="2" s="1"/>
  <c r="X795" i="2" s="1"/>
  <c r="V41" i="16"/>
  <c r="V143" i="17"/>
  <c r="M50" i="16"/>
  <c r="M1018" i="2"/>
  <c r="M1131" i="2" s="1"/>
  <c r="M152" i="17"/>
  <c r="K51" i="16"/>
  <c r="K52" i="16" s="1"/>
  <c r="K153" i="17"/>
  <c r="K1019" i="2"/>
  <c r="M68" i="16"/>
  <c r="M983" i="2"/>
  <c r="M64" i="16"/>
  <c r="M65" i="16" s="1"/>
  <c r="L1017" i="2"/>
  <c r="L1130" i="2" s="1"/>
  <c r="L151" i="17"/>
  <c r="L1012" i="2"/>
  <c r="L49" i="16"/>
  <c r="U59" i="16"/>
  <c r="U977" i="2"/>
  <c r="U946" i="2"/>
  <c r="U947" i="2" s="1"/>
  <c r="N968" i="2"/>
  <c r="T967" i="2"/>
  <c r="T950" i="2"/>
  <c r="W1091" i="2"/>
  <c r="W1001" i="2"/>
  <c r="W71" i="14"/>
  <c r="W72" i="14" s="1"/>
  <c r="W808" i="2"/>
  <c r="W810" i="2" s="1"/>
  <c r="W812" i="2" s="1"/>
  <c r="T60" i="16"/>
  <c r="M987" i="2" l="1"/>
  <c r="M1020" i="2" s="1"/>
  <c r="M1133" i="2" s="1"/>
  <c r="M78" i="16" s="1"/>
  <c r="M985" i="2"/>
  <c r="M990" i="2" s="1"/>
  <c r="M992" i="2" s="1"/>
  <c r="L75" i="16"/>
  <c r="L1104" i="2"/>
  <c r="U967" i="2"/>
  <c r="U950" i="2"/>
  <c r="M1097" i="2"/>
  <c r="M1100" i="2" s="1"/>
  <c r="M1007" i="2"/>
  <c r="M1010" i="2" s="1"/>
  <c r="M79" i="14"/>
  <c r="M69" i="16"/>
  <c r="X71" i="14"/>
  <c r="X72" i="14" s="1"/>
  <c r="X1091" i="2"/>
  <c r="X808" i="2"/>
  <c r="X810" i="2" s="1"/>
  <c r="X812" i="2" s="1"/>
  <c r="X1001" i="2"/>
  <c r="Z781" i="2"/>
  <c r="Z782" i="2" s="1"/>
  <c r="Y785" i="2"/>
  <c r="Y793" i="2" s="1"/>
  <c r="Y795" i="2" s="1"/>
  <c r="W41" i="16"/>
  <c r="W143" i="17"/>
  <c r="V59" i="16"/>
  <c r="V60" i="16" s="1"/>
  <c r="V946" i="2"/>
  <c r="V947" i="2" s="1"/>
  <c r="V977" i="2"/>
  <c r="W55" i="16"/>
  <c r="W936" i="2"/>
  <c r="W938" i="2" s="1"/>
  <c r="N971" i="2"/>
  <c r="L1019" i="2"/>
  <c r="L153" i="17"/>
  <c r="L51" i="16"/>
  <c r="L52" i="16" s="1"/>
  <c r="K1022" i="2"/>
  <c r="K1132" i="2"/>
  <c r="M76" i="16"/>
  <c r="U60" i="16"/>
  <c r="N969" i="2"/>
  <c r="O965" i="2" s="1"/>
  <c r="O966" i="2" s="1"/>
  <c r="M70" i="16" l="1"/>
  <c r="M71" i="16" s="1"/>
  <c r="AA781" i="2"/>
  <c r="AA782" i="2" s="1"/>
  <c r="Z785" i="2"/>
  <c r="Z793" i="2" s="1"/>
  <c r="Z795" i="2" s="1"/>
  <c r="L1132" i="2"/>
  <c r="L1022" i="2"/>
  <c r="L1027" i="2" s="1"/>
  <c r="L1028" i="2" s="1"/>
  <c r="V950" i="2"/>
  <c r="V968" i="2" s="1"/>
  <c r="V967" i="2"/>
  <c r="O968" i="2"/>
  <c r="X41" i="16"/>
  <c r="X143" i="17"/>
  <c r="K77" i="16"/>
  <c r="K1136" i="2"/>
  <c r="N114" i="14"/>
  <c r="N115" i="14" s="1"/>
  <c r="N1011" i="2"/>
  <c r="N978" i="2"/>
  <c r="N979" i="2" s="1"/>
  <c r="N984" i="2" s="1"/>
  <c r="N63" i="16"/>
  <c r="N1101" i="2"/>
  <c r="M47" i="16"/>
  <c r="M149" i="17"/>
  <c r="K1027" i="2"/>
  <c r="K1028" i="2" s="1"/>
  <c r="M1102" i="2"/>
  <c r="W59" i="16"/>
  <c r="W60" i="16" s="1"/>
  <c r="W946" i="2"/>
  <c r="W947" i="2" s="1"/>
  <c r="W977" i="2"/>
  <c r="Y71" i="14"/>
  <c r="Y72" i="14" s="1"/>
  <c r="Y808" i="2"/>
  <c r="Y810" i="2" s="1"/>
  <c r="Y812" i="2" s="1"/>
  <c r="Y1001" i="2"/>
  <c r="Y1091" i="2"/>
  <c r="X55" i="16"/>
  <c r="X936" i="2"/>
  <c r="X938" i="2" s="1"/>
  <c r="V969" i="2" l="1"/>
  <c r="W965" i="2" s="1"/>
  <c r="W966" i="2" s="1"/>
  <c r="V971" i="2"/>
  <c r="V114" i="14" s="1"/>
  <c r="V115" i="14" s="1"/>
  <c r="O971" i="2"/>
  <c r="L77" i="16"/>
  <c r="L1136" i="2"/>
  <c r="O969" i="2"/>
  <c r="P965" i="2" s="1"/>
  <c r="P966" i="2" s="1"/>
  <c r="M1017" i="2"/>
  <c r="M1130" i="2" s="1"/>
  <c r="M151" i="17"/>
  <c r="M1012" i="2"/>
  <c r="M49" i="16"/>
  <c r="W950" i="2"/>
  <c r="W967" i="2"/>
  <c r="N50" i="16"/>
  <c r="N152" i="17"/>
  <c r="N1018" i="2"/>
  <c r="N1131" i="2" s="1"/>
  <c r="Y41" i="16"/>
  <c r="Y143" i="17"/>
  <c r="Z71" i="14"/>
  <c r="Z72" i="14" s="1"/>
  <c r="Z1001" i="2"/>
  <c r="Z808" i="2"/>
  <c r="Z810" i="2" s="1"/>
  <c r="Z812" i="2" s="1"/>
  <c r="Z1091" i="2"/>
  <c r="X977" i="2"/>
  <c r="X59" i="16"/>
  <c r="X60" i="16" s="1"/>
  <c r="X946" i="2"/>
  <c r="X947" i="2" s="1"/>
  <c r="Y55" i="16"/>
  <c r="Y936" i="2"/>
  <c r="Y938" i="2" s="1"/>
  <c r="AB781" i="2"/>
  <c r="AB782" i="2" s="1"/>
  <c r="AA785" i="2"/>
  <c r="AA793" i="2" s="1"/>
  <c r="AA795" i="2" s="1"/>
  <c r="N68" i="16"/>
  <c r="N64" i="16"/>
  <c r="N65" i="16" s="1"/>
  <c r="N983" i="2"/>
  <c r="N985" i="2" s="1"/>
  <c r="N990" i="2" s="1"/>
  <c r="N992" i="2" s="1"/>
  <c r="V978" i="2" l="1"/>
  <c r="V979" i="2" s="1"/>
  <c r="V1011" i="2"/>
  <c r="V152" i="17" s="1"/>
  <c r="V63" i="16"/>
  <c r="V1101" i="2"/>
  <c r="W968" i="2"/>
  <c r="W971" i="2" s="1"/>
  <c r="W114" i="14" s="1"/>
  <c r="W115" i="14" s="1"/>
  <c r="M75" i="16"/>
  <c r="M1104" i="2"/>
  <c r="Z55" i="16"/>
  <c r="Z936" i="2"/>
  <c r="Z938" i="2" s="1"/>
  <c r="P968" i="2"/>
  <c r="P971" i="2" s="1"/>
  <c r="F1114" i="2" a="1"/>
  <c r="F1114" i="2" s="1"/>
  <c r="C152" i="18" s="1"/>
  <c r="AA71" i="14"/>
  <c r="AA72" i="14" s="1"/>
  <c r="F75" i="14" s="1"/>
  <c r="AA808" i="2"/>
  <c r="AA810" i="2" s="1"/>
  <c r="AA812" i="2" s="1"/>
  <c r="AA1001" i="2"/>
  <c r="AA1091" i="2"/>
  <c r="Y59" i="16"/>
  <c r="Y60" i="16" s="1"/>
  <c r="Y946" i="2"/>
  <c r="Y947" i="2" s="1"/>
  <c r="Y977" i="2"/>
  <c r="Z41" i="16"/>
  <c r="Z143" i="17"/>
  <c r="X950" i="2"/>
  <c r="X967" i="2"/>
  <c r="N69" i="16"/>
  <c r="N79" i="14"/>
  <c r="N1007" i="2"/>
  <c r="N1010" i="2" s="1"/>
  <c r="N1097" i="2"/>
  <c r="N1100" i="2" s="1"/>
  <c r="N76" i="16"/>
  <c r="M51" i="16"/>
  <c r="M52" i="16" s="1"/>
  <c r="M153" i="17"/>
  <c r="M1019" i="2"/>
  <c r="AC781" i="2"/>
  <c r="AC782" i="2" s="1"/>
  <c r="AB785" i="2"/>
  <c r="AB793" i="2" s="1"/>
  <c r="AB795" i="2" s="1"/>
  <c r="N987" i="2"/>
  <c r="O1011" i="2"/>
  <c r="O114" i="14"/>
  <c r="O115" i="14" s="1"/>
  <c r="O63" i="16"/>
  <c r="O1101" i="2"/>
  <c r="O978" i="2"/>
  <c r="O979" i="2" s="1"/>
  <c r="O984" i="2" s="1"/>
  <c r="V68" i="16" l="1"/>
  <c r="V984" i="2"/>
  <c r="P24" i="22"/>
  <c r="I24" i="22" s="1"/>
  <c r="I23" i="22"/>
  <c r="V1018" i="2"/>
  <c r="V1131" i="2" s="1"/>
  <c r="V76" i="16" s="1"/>
  <c r="V50" i="16"/>
  <c r="V64" i="16"/>
  <c r="V65" i="16" s="1"/>
  <c r="V983" i="2"/>
  <c r="W969" i="2"/>
  <c r="X965" i="2" s="1"/>
  <c r="W63" i="16"/>
  <c r="W978" i="2"/>
  <c r="W979" i="2" s="1"/>
  <c r="W1101" i="2"/>
  <c r="W1011" i="2"/>
  <c r="W50" i="16" s="1"/>
  <c r="P969" i="2"/>
  <c r="Q965" i="2" s="1"/>
  <c r="Q966" i="2" s="1"/>
  <c r="N149" i="17"/>
  <c r="N47" i="16"/>
  <c r="I72" i="14"/>
  <c r="J72" i="14"/>
  <c r="Y967" i="2"/>
  <c r="Y950" i="2"/>
  <c r="P1101" i="2"/>
  <c r="P1011" i="2"/>
  <c r="P114" i="14"/>
  <c r="P115" i="14" s="1"/>
  <c r="P63" i="16"/>
  <c r="P978" i="2"/>
  <c r="P979" i="2" s="1"/>
  <c r="P984" i="2" s="1"/>
  <c r="N1020" i="2"/>
  <c r="N1133" i="2" s="1"/>
  <c r="N78" i="16" s="1"/>
  <c r="N70" i="16"/>
  <c r="N71" i="16" s="1"/>
  <c r="O1018" i="2"/>
  <c r="O1131" i="2" s="1"/>
  <c r="O50" i="16"/>
  <c r="O152" i="17"/>
  <c r="AB1001" i="2"/>
  <c r="AB1091" i="2"/>
  <c r="AB71" i="14"/>
  <c r="AB808" i="2"/>
  <c r="AB810" i="2" s="1"/>
  <c r="AB812" i="2" s="1"/>
  <c r="AD781" i="2"/>
  <c r="AD782" i="2" s="1"/>
  <c r="AC785" i="2"/>
  <c r="AC793" i="2" s="1"/>
  <c r="AC795" i="2" s="1"/>
  <c r="O68" i="16"/>
  <c r="O983" i="2"/>
  <c r="O64" i="16"/>
  <c r="O65" i="16" s="1"/>
  <c r="AA143" i="17"/>
  <c r="AA41" i="16"/>
  <c r="M1132" i="2"/>
  <c r="M1022" i="2"/>
  <c r="N1102" i="2"/>
  <c r="AA55" i="16"/>
  <c r="AA936" i="2"/>
  <c r="AA938" i="2" s="1"/>
  <c r="Z977" i="2"/>
  <c r="Z946" i="2"/>
  <c r="Z947" i="2" s="1"/>
  <c r="Z59" i="16"/>
  <c r="O987" i="2" l="1"/>
  <c r="O70" i="16" s="1"/>
  <c r="O985" i="2"/>
  <c r="O990" i="2" s="1"/>
  <c r="O992" i="2" s="1"/>
  <c r="V987" i="2"/>
  <c r="V1020" i="2" s="1"/>
  <c r="V1133" i="2" s="1"/>
  <c r="V78" i="16" s="1"/>
  <c r="V985" i="2"/>
  <c r="V990" i="2" s="1"/>
  <c r="V992" i="2" s="1"/>
  <c r="W64" i="16"/>
  <c r="W65" i="16" s="1"/>
  <c r="W984" i="2"/>
  <c r="V1097" i="2"/>
  <c r="V1100" i="2" s="1"/>
  <c r="V1102" i="2" s="1"/>
  <c r="V79" i="14"/>
  <c r="V69" i="16"/>
  <c r="V1007" i="2"/>
  <c r="X966" i="2"/>
  <c r="X968" i="2" s="1"/>
  <c r="W68" i="16"/>
  <c r="W983" i="2"/>
  <c r="W152" i="17"/>
  <c r="W1018" i="2"/>
  <c r="W1131" i="2" s="1"/>
  <c r="W76" i="16" s="1"/>
  <c r="M1027" i="2"/>
  <c r="M1028" i="2" s="1"/>
  <c r="O1007" i="2"/>
  <c r="O1010" i="2" s="1"/>
  <c r="O1097" i="2"/>
  <c r="O1100" i="2" s="1"/>
  <c r="O69" i="16"/>
  <c r="O79" i="14"/>
  <c r="N1017" i="2"/>
  <c r="N1130" i="2" s="1"/>
  <c r="N151" i="17"/>
  <c r="N49" i="16"/>
  <c r="N1012" i="2"/>
  <c r="P50" i="16"/>
  <c r="P1018" i="2"/>
  <c r="P1131" i="2" s="1"/>
  <c r="P152" i="17"/>
  <c r="AA59" i="16"/>
  <c r="AA60" i="16" s="1"/>
  <c r="AA946" i="2"/>
  <c r="AA947" i="2" s="1"/>
  <c r="AA977" i="2"/>
  <c r="M77" i="16"/>
  <c r="M1136" i="2"/>
  <c r="AB41" i="16"/>
  <c r="AB143" i="17"/>
  <c r="AC1091" i="2"/>
  <c r="AC71" i="14"/>
  <c r="AC808" i="2"/>
  <c r="AC810" i="2" s="1"/>
  <c r="AC812" i="2" s="1"/>
  <c r="AC1001" i="2"/>
  <c r="O76" i="16"/>
  <c r="Z60" i="16"/>
  <c r="Z967" i="2"/>
  <c r="Z950" i="2"/>
  <c r="AB55" i="16"/>
  <c r="AB936" i="2"/>
  <c r="AB938" i="2" s="1"/>
  <c r="Q968" i="2"/>
  <c r="AE781" i="2"/>
  <c r="AE782" i="2" s="1"/>
  <c r="AD785" i="2"/>
  <c r="AD793" i="2" s="1"/>
  <c r="AD795" i="2" s="1"/>
  <c r="P64" i="16"/>
  <c r="P65" i="16" s="1"/>
  <c r="P68" i="16"/>
  <c r="P983" i="2"/>
  <c r="P985" i="2" s="1"/>
  <c r="P990" i="2" s="1"/>
  <c r="P992" i="2" s="1"/>
  <c r="V149" i="17" l="1"/>
  <c r="V1010" i="2"/>
  <c r="V49" i="16" s="1"/>
  <c r="O1020" i="2"/>
  <c r="O1133" i="2" s="1"/>
  <c r="O78" i="16" s="1"/>
  <c r="V70" i="16"/>
  <c r="V71" i="16" s="1"/>
  <c r="W987" i="2"/>
  <c r="W1020" i="2" s="1"/>
  <c r="W1133" i="2" s="1"/>
  <c r="W78" i="16" s="1"/>
  <c r="W985" i="2"/>
  <c r="W990" i="2" s="1"/>
  <c r="W992" i="2" s="1"/>
  <c r="V47" i="16"/>
  <c r="X971" i="2"/>
  <c r="X969" i="2"/>
  <c r="Y965" i="2" s="1"/>
  <c r="Y966" i="2" s="1"/>
  <c r="W79" i="14"/>
  <c r="W80" i="14" s="1"/>
  <c r="W1097" i="2"/>
  <c r="W1100" i="2" s="1"/>
  <c r="W1102" i="2" s="1"/>
  <c r="W69" i="16"/>
  <c r="W1007" i="2"/>
  <c r="O71" i="16"/>
  <c r="P1097" i="2"/>
  <c r="P69" i="16"/>
  <c r="P79" i="14"/>
  <c r="P1007" i="2"/>
  <c r="P1010" i="2" s="1"/>
  <c r="AF781" i="2"/>
  <c r="AF782" i="2" s="1"/>
  <c r="AE785" i="2"/>
  <c r="AE793" i="2" s="1"/>
  <c r="AE795" i="2" s="1"/>
  <c r="AC55" i="16"/>
  <c r="AC936" i="2"/>
  <c r="AC938" i="2" s="1"/>
  <c r="AA950" i="2"/>
  <c r="AA967" i="2"/>
  <c r="P987" i="2"/>
  <c r="N1019" i="2"/>
  <c r="N51" i="16"/>
  <c r="N52" i="16" s="1"/>
  <c r="N153" i="17"/>
  <c r="AB977" i="2"/>
  <c r="AB946" i="2"/>
  <c r="AB947" i="2" s="1"/>
  <c r="AB59" i="16"/>
  <c r="AB60" i="16" s="1"/>
  <c r="O1102" i="2"/>
  <c r="Q971" i="2"/>
  <c r="Q969" i="2"/>
  <c r="R965" i="2" s="1"/>
  <c r="R966" i="2" s="1"/>
  <c r="P76" i="16"/>
  <c r="O47" i="16"/>
  <c r="O149" i="17"/>
  <c r="AC143" i="17"/>
  <c r="AC41" i="16"/>
  <c r="AD71" i="14"/>
  <c r="AD1091" i="2"/>
  <c r="AD808" i="2"/>
  <c r="AD810" i="2" s="1"/>
  <c r="AD812" i="2" s="1"/>
  <c r="AD1001" i="2"/>
  <c r="N75" i="16"/>
  <c r="N1104" i="2"/>
  <c r="W149" i="17" l="1"/>
  <c r="W1010" i="2"/>
  <c r="W1012" i="2" s="1"/>
  <c r="W70" i="16"/>
  <c r="W71" i="16" s="1"/>
  <c r="V1017" i="2"/>
  <c r="V1130" i="2" s="1"/>
  <c r="V75" i="16" s="1"/>
  <c r="V151" i="17"/>
  <c r="V1012" i="2"/>
  <c r="V153" i="17" s="1"/>
  <c r="X114" i="14"/>
  <c r="X115" i="14" s="1"/>
  <c r="X63" i="16"/>
  <c r="X978" i="2"/>
  <c r="X979" i="2" s="1"/>
  <c r="X984" i="2" s="1"/>
  <c r="X1101" i="2"/>
  <c r="X1011" i="2"/>
  <c r="W47" i="16"/>
  <c r="AD143" i="17"/>
  <c r="AD41" i="16"/>
  <c r="AE1091" i="2"/>
  <c r="AE71" i="14"/>
  <c r="AE1001" i="2"/>
  <c r="AE808" i="2"/>
  <c r="AE810" i="2" s="1"/>
  <c r="AE812" i="2" s="1"/>
  <c r="O1017" i="2"/>
  <c r="O1130" i="2" s="1"/>
  <c r="O1012" i="2"/>
  <c r="O151" i="17"/>
  <c r="O49" i="16"/>
  <c r="Q114" i="14"/>
  <c r="Q115" i="14" s="1"/>
  <c r="Q978" i="2"/>
  <c r="Q979" i="2" s="1"/>
  <c r="Q984" i="2" s="1"/>
  <c r="Q63" i="16"/>
  <c r="Q1101" i="2"/>
  <c r="Q1011" i="2"/>
  <c r="Y968" i="2"/>
  <c r="Y971" i="2" s="1"/>
  <c r="AG781" i="2"/>
  <c r="AG782" i="2" s="1"/>
  <c r="AF785" i="2"/>
  <c r="AF793" i="2" s="1"/>
  <c r="AF795" i="2" s="1"/>
  <c r="AD55" i="16"/>
  <c r="AD936" i="2"/>
  <c r="AD938" i="2" s="1"/>
  <c r="AB967" i="2"/>
  <c r="AB950" i="2"/>
  <c r="N1022" i="2"/>
  <c r="N1132" i="2"/>
  <c r="P70" i="16"/>
  <c r="P71" i="16" s="1"/>
  <c r="P1020" i="2"/>
  <c r="P1133" i="2" s="1"/>
  <c r="AC59" i="16"/>
  <c r="AC977" i="2"/>
  <c r="AC946" i="2"/>
  <c r="AC947" i="2" s="1"/>
  <c r="P149" i="17"/>
  <c r="P47" i="16"/>
  <c r="P1100" i="2"/>
  <c r="V1019" i="2" l="1"/>
  <c r="V1022" i="2" s="1"/>
  <c r="V1027" i="2" s="1"/>
  <c r="V1028" i="2" s="1"/>
  <c r="V51" i="16"/>
  <c r="V52" i="16" s="1"/>
  <c r="V1104" i="2"/>
  <c r="X152" i="17"/>
  <c r="X50" i="16"/>
  <c r="X1018" i="2"/>
  <c r="X1131" i="2" s="1"/>
  <c r="X76" i="16" s="1"/>
  <c r="X983" i="2"/>
  <c r="X985" i="2" s="1"/>
  <c r="X990" i="2" s="1"/>
  <c r="X992" i="2" s="1"/>
  <c r="X68" i="16"/>
  <c r="X64" i="16"/>
  <c r="X65" i="16" s="1"/>
  <c r="W1017" i="2"/>
  <c r="W1130" i="2" s="1"/>
  <c r="W1104" i="2" s="1"/>
  <c r="W49" i="16"/>
  <c r="W151" i="17"/>
  <c r="AC967" i="2"/>
  <c r="AC950" i="2"/>
  <c r="N1027" i="2"/>
  <c r="N1028" i="2" s="1"/>
  <c r="AF1091" i="2"/>
  <c r="AF71" i="14"/>
  <c r="AF808" i="2"/>
  <c r="AF810" i="2" s="1"/>
  <c r="AF812" i="2" s="1"/>
  <c r="AF1001" i="2"/>
  <c r="Q68" i="16"/>
  <c r="Q983" i="2"/>
  <c r="Q64" i="16"/>
  <c r="Q65" i="16" s="1"/>
  <c r="AE41" i="16"/>
  <c r="AE143" i="17"/>
  <c r="Y1011" i="2"/>
  <c r="Y114" i="14"/>
  <c r="Y115" i="14" s="1"/>
  <c r="Y978" i="2"/>
  <c r="Y979" i="2" s="1"/>
  <c r="Y984" i="2" s="1"/>
  <c r="Y63" i="16"/>
  <c r="Y1101" i="2"/>
  <c r="P1102" i="2"/>
  <c r="AC60" i="16"/>
  <c r="P151" i="17"/>
  <c r="P49" i="16"/>
  <c r="P1017" i="2"/>
  <c r="P1130" i="2" s="1"/>
  <c r="P1104" i="2" s="1"/>
  <c r="P1012" i="2"/>
  <c r="Q50" i="16"/>
  <c r="Q152" i="17"/>
  <c r="Q1018" i="2"/>
  <c r="Q1131" i="2" s="1"/>
  <c r="O153" i="17"/>
  <c r="O51" i="16"/>
  <c r="O52" i="16" s="1"/>
  <c r="O1019" i="2"/>
  <c r="R968" i="2"/>
  <c r="AD946" i="2"/>
  <c r="AD947" i="2" s="1"/>
  <c r="AD59" i="16"/>
  <c r="AD60" i="16" s="1"/>
  <c r="AD977" i="2"/>
  <c r="O75" i="16"/>
  <c r="O1104" i="2"/>
  <c r="AH781" i="2"/>
  <c r="AH782" i="2" s="1"/>
  <c r="AG785" i="2"/>
  <c r="AG793" i="2" s="1"/>
  <c r="AG795" i="2" s="1"/>
  <c r="W153" i="17"/>
  <c r="W51" i="16"/>
  <c r="W52" i="16" s="1"/>
  <c r="W1019" i="2"/>
  <c r="P78" i="16"/>
  <c r="N77" i="16"/>
  <c r="N1136" i="2"/>
  <c r="AE55" i="16"/>
  <c r="AE936" i="2"/>
  <c r="AE938" i="2" s="1"/>
  <c r="Y969" i="2"/>
  <c r="Z965" i="2" s="1"/>
  <c r="Z966" i="2" s="1"/>
  <c r="Q987" i="2" l="1"/>
  <c r="Q70" i="16" s="1"/>
  <c r="Q985" i="2"/>
  <c r="Q990" i="2" s="1"/>
  <c r="Q992" i="2" s="1"/>
  <c r="V1132" i="2"/>
  <c r="V77" i="16" s="1"/>
  <c r="W75" i="16"/>
  <c r="X987" i="2"/>
  <c r="X1007" i="2"/>
  <c r="X1010" i="2" s="1"/>
  <c r="X79" i="14"/>
  <c r="X80" i="14" s="1"/>
  <c r="X1097" i="2"/>
  <c r="X1100" i="2" s="1"/>
  <c r="X1102" i="2" s="1"/>
  <c r="X69" i="16"/>
  <c r="AI781" i="2"/>
  <c r="AI782" i="2" s="1"/>
  <c r="AH785" i="2"/>
  <c r="AH793" i="2" s="1"/>
  <c r="AH795" i="2" s="1"/>
  <c r="O1132" i="2"/>
  <c r="O1022" i="2"/>
  <c r="Y1018" i="2"/>
  <c r="Y1131" i="2" s="1"/>
  <c r="Y76" i="16" s="1"/>
  <c r="Y50" i="16"/>
  <c r="Y152" i="17"/>
  <c r="AD967" i="2"/>
  <c r="AD950" i="2"/>
  <c r="Q76" i="16"/>
  <c r="W1132" i="2"/>
  <c r="W1022" i="2"/>
  <c r="W1027" i="2" s="1"/>
  <c r="W1028" i="2" s="1"/>
  <c r="Q69" i="16"/>
  <c r="Q1097" i="2"/>
  <c r="Q79" i="14"/>
  <c r="Q1007" i="2"/>
  <c r="Q1010" i="2" s="1"/>
  <c r="Z968" i="2"/>
  <c r="Z971" i="2" s="1"/>
  <c r="R971" i="2"/>
  <c r="P51" i="16"/>
  <c r="P52" i="16" s="1"/>
  <c r="P153" i="17"/>
  <c r="P1019" i="2"/>
  <c r="AF41" i="16"/>
  <c r="AF143" i="17"/>
  <c r="AE977" i="2"/>
  <c r="AE59" i="16"/>
  <c r="AE60" i="16" s="1"/>
  <c r="AE946" i="2"/>
  <c r="AE947" i="2" s="1"/>
  <c r="AG1091" i="2"/>
  <c r="AG71" i="14"/>
  <c r="AG808" i="2"/>
  <c r="AG810" i="2" s="1"/>
  <c r="AG812" i="2" s="1"/>
  <c r="AG1001" i="2"/>
  <c r="P75" i="16"/>
  <c r="Y64" i="16"/>
  <c r="Y65" i="16" s="1"/>
  <c r="Y68" i="16"/>
  <c r="Y983" i="2"/>
  <c r="AF55" i="16"/>
  <c r="AF936" i="2"/>
  <c r="AF938" i="2" s="1"/>
  <c r="R969" i="2"/>
  <c r="S965" i="2" s="1"/>
  <c r="S966" i="2" s="1"/>
  <c r="Q1020" i="2" l="1"/>
  <c r="Q1133" i="2" s="1"/>
  <c r="Q78" i="16" s="1"/>
  <c r="Y987" i="2"/>
  <c r="Y1020" i="2" s="1"/>
  <c r="Y1133" i="2" s="1"/>
  <c r="Y78" i="16" s="1"/>
  <c r="Y985" i="2"/>
  <c r="Y990" i="2" s="1"/>
  <c r="Y992" i="2" s="1"/>
  <c r="V1136" i="2"/>
  <c r="X149" i="17"/>
  <c r="X47" i="16"/>
  <c r="X1020" i="2"/>
  <c r="X1133" i="2" s="1"/>
  <c r="X78" i="16" s="1"/>
  <c r="X70" i="16"/>
  <c r="X71" i="16" s="1"/>
  <c r="Z969" i="2"/>
  <c r="AA965" i="2" s="1"/>
  <c r="AA966" i="2" s="1"/>
  <c r="Q71" i="16"/>
  <c r="Q1100" i="2"/>
  <c r="O1027" i="2"/>
  <c r="O1028" i="2" s="1"/>
  <c r="Z1011" i="2"/>
  <c r="Z978" i="2"/>
  <c r="Z979" i="2" s="1"/>
  <c r="Z984" i="2" s="1"/>
  <c r="Z63" i="16"/>
  <c r="Z1101" i="2"/>
  <c r="F1124" i="2" s="1" a="1"/>
  <c r="F1124" i="2" s="1"/>
  <c r="C162" i="18" s="1"/>
  <c r="Z114" i="14"/>
  <c r="Z115" i="14" s="1"/>
  <c r="O77" i="16"/>
  <c r="O1136" i="2"/>
  <c r="AG143" i="17"/>
  <c r="AG41" i="16"/>
  <c r="R114" i="14"/>
  <c r="R115" i="14" s="1"/>
  <c r="R1011" i="2"/>
  <c r="R63" i="16"/>
  <c r="R978" i="2"/>
  <c r="R979" i="2" s="1"/>
  <c r="R984" i="2" s="1"/>
  <c r="R1101" i="2"/>
  <c r="P1132" i="2"/>
  <c r="P1022" i="2"/>
  <c r="P1027" i="2" s="1"/>
  <c r="P1028" i="2" s="1"/>
  <c r="AH1091" i="2"/>
  <c r="AH71" i="14"/>
  <c r="AH1001" i="2"/>
  <c r="AH808" i="2"/>
  <c r="AH810" i="2" s="1"/>
  <c r="AH812" i="2" s="1"/>
  <c r="AF59" i="16"/>
  <c r="AF60" i="16" s="1"/>
  <c r="AF977" i="2"/>
  <c r="AF946" i="2"/>
  <c r="AF947" i="2" s="1"/>
  <c r="AE950" i="2"/>
  <c r="AE967" i="2"/>
  <c r="Q149" i="17"/>
  <c r="Q47" i="16"/>
  <c r="W1136" i="2"/>
  <c r="W77" i="16"/>
  <c r="AI785" i="2"/>
  <c r="AI793" i="2" s="1"/>
  <c r="AI795" i="2" s="1"/>
  <c r="AJ781" i="2"/>
  <c r="AJ782" i="2" s="1"/>
  <c r="AG55" i="16"/>
  <c r="AG936" i="2"/>
  <c r="AG938" i="2" s="1"/>
  <c r="Y79" i="14"/>
  <c r="Y80" i="14" s="1"/>
  <c r="Y1007" i="2"/>
  <c r="Y1010" i="2" s="1"/>
  <c r="Y1097" i="2"/>
  <c r="Y1100" i="2" s="1"/>
  <c r="Y69" i="16"/>
  <c r="Y70" i="16" l="1"/>
  <c r="Y71" i="16" s="1"/>
  <c r="X49" i="16"/>
  <c r="X151" i="17"/>
  <c r="X1012" i="2"/>
  <c r="X1017" i="2"/>
  <c r="X1130" i="2" s="1"/>
  <c r="AA968" i="2"/>
  <c r="AA971" i="2" s="1"/>
  <c r="AA978" i="2" s="1"/>
  <c r="AA979" i="2" s="1"/>
  <c r="AA984" i="2" s="1"/>
  <c r="Y1102" i="2"/>
  <c r="Y47" i="16"/>
  <c r="Y149" i="17"/>
  <c r="AH55" i="16"/>
  <c r="AH936" i="2"/>
  <c r="AH938" i="2" s="1"/>
  <c r="AG59" i="16"/>
  <c r="AG60" i="16" s="1"/>
  <c r="AG977" i="2"/>
  <c r="AG946" i="2"/>
  <c r="AG947" i="2" s="1"/>
  <c r="R983" i="2"/>
  <c r="R985" i="2" s="1"/>
  <c r="R990" i="2" s="1"/>
  <c r="R992" i="2" s="1"/>
  <c r="R64" i="16"/>
  <c r="R65" i="16" s="1"/>
  <c r="R68" i="16"/>
  <c r="AK781" i="2"/>
  <c r="AK782" i="2" s="1"/>
  <c r="AJ785" i="2"/>
  <c r="AJ793" i="2" s="1"/>
  <c r="AJ795" i="2" s="1"/>
  <c r="R1018" i="2"/>
  <c r="R1131" i="2" s="1"/>
  <c r="R50" i="16"/>
  <c r="R152" i="17"/>
  <c r="Q1102" i="2"/>
  <c r="Q1017" i="2"/>
  <c r="Q1130" i="2" s="1"/>
  <c r="Q1104" i="2" s="1"/>
  <c r="Q1012" i="2"/>
  <c r="Q49" i="16"/>
  <c r="Q151" i="17"/>
  <c r="AH143" i="17"/>
  <c r="AH41" i="16"/>
  <c r="AI1091" i="2"/>
  <c r="AI1001" i="2"/>
  <c r="AI808" i="2"/>
  <c r="AI810" i="2" s="1"/>
  <c r="AI812" i="2" s="1"/>
  <c r="AI71" i="14"/>
  <c r="Z983" i="2"/>
  <c r="Z985" i="2" s="1"/>
  <c r="Z990" i="2" s="1"/>
  <c r="Z992" i="2" s="1"/>
  <c r="Z64" i="16"/>
  <c r="Z65" i="16" s="1"/>
  <c r="Z68" i="16"/>
  <c r="AF967" i="2"/>
  <c r="AF950" i="2"/>
  <c r="P77" i="16"/>
  <c r="P1136" i="2"/>
  <c r="S968" i="2"/>
  <c r="Z152" i="17"/>
  <c r="Z50" i="16"/>
  <c r="Z1018" i="2"/>
  <c r="Z1131" i="2" s="1"/>
  <c r="Z76" i="16" s="1"/>
  <c r="X75" i="16" l="1"/>
  <c r="X1104" i="2"/>
  <c r="X153" i="17"/>
  <c r="X51" i="16"/>
  <c r="X52" i="16" s="1"/>
  <c r="X1019" i="2"/>
  <c r="AA63" i="16"/>
  <c r="AA1011" i="2"/>
  <c r="AA50" i="16" s="1"/>
  <c r="AA1101" i="2"/>
  <c r="AA114" i="14"/>
  <c r="AA115" i="14" s="1"/>
  <c r="AA969" i="2"/>
  <c r="AB965" i="2" s="1"/>
  <c r="AB966" i="2" s="1"/>
  <c r="AG950" i="2"/>
  <c r="AG967" i="2"/>
  <c r="S971" i="2"/>
  <c r="AH59" i="16"/>
  <c r="AH60" i="16" s="1"/>
  <c r="AH977" i="2"/>
  <c r="AH946" i="2"/>
  <c r="AH947" i="2" s="1"/>
  <c r="AJ1091" i="2"/>
  <c r="AJ71" i="14"/>
  <c r="AJ1001" i="2"/>
  <c r="AJ808" i="2"/>
  <c r="AJ810" i="2" s="1"/>
  <c r="AJ812" i="2" s="1"/>
  <c r="AI143" i="17"/>
  <c r="AI41" i="16"/>
  <c r="AL781" i="2"/>
  <c r="AL782" i="2" s="1"/>
  <c r="AK785" i="2"/>
  <c r="AK793" i="2" s="1"/>
  <c r="AK795" i="2" s="1"/>
  <c r="R1007" i="2"/>
  <c r="R1010" i="2" s="1"/>
  <c r="R69" i="16"/>
  <c r="R1097" i="2"/>
  <c r="R79" i="14"/>
  <c r="Y1017" i="2"/>
  <c r="Y1130" i="2" s="1"/>
  <c r="Y1012" i="2"/>
  <c r="Y151" i="17"/>
  <c r="Y49" i="16"/>
  <c r="AA68" i="16"/>
  <c r="AA64" i="16"/>
  <c r="AA983" i="2"/>
  <c r="S969" i="2"/>
  <c r="T965" i="2" s="1"/>
  <c r="T966" i="2" s="1"/>
  <c r="R76" i="16"/>
  <c r="Q51" i="16"/>
  <c r="Q52" i="16" s="1"/>
  <c r="Q153" i="17"/>
  <c r="Q1019" i="2"/>
  <c r="AI936" i="2"/>
  <c r="AI938" i="2" s="1"/>
  <c r="AI55" i="16"/>
  <c r="Z1097" i="2"/>
  <c r="Z79" i="14"/>
  <c r="Z80" i="14" s="1"/>
  <c r="Z1007" i="2"/>
  <c r="Z1010" i="2" s="1"/>
  <c r="Z69" i="16"/>
  <c r="Z987" i="2"/>
  <c r="Q75" i="16"/>
  <c r="R987" i="2"/>
  <c r="AA987" i="2" l="1"/>
  <c r="AA70" i="16" s="1"/>
  <c r="AA985" i="2"/>
  <c r="AA990" i="2" s="1"/>
  <c r="AA992" i="2" s="1"/>
  <c r="X1132" i="2"/>
  <c r="X1022" i="2"/>
  <c r="X1027" i="2" s="1"/>
  <c r="X1028" i="2" s="1"/>
  <c r="AA152" i="17"/>
  <c r="AA65" i="16"/>
  <c r="AA1018" i="2"/>
  <c r="AA1131" i="2" s="1"/>
  <c r="AA76" i="16" s="1"/>
  <c r="Z70" i="16"/>
  <c r="Z71" i="16" s="1"/>
  <c r="Z1020" i="2"/>
  <c r="Z1133" i="2" s="1"/>
  <c r="Z78" i="16" s="1"/>
  <c r="AA79" i="14"/>
  <c r="AA80" i="14" s="1"/>
  <c r="J80" i="14" s="1"/>
  <c r="AA1097" i="2"/>
  <c r="AA1100" i="2" s="1"/>
  <c r="AA69" i="16"/>
  <c r="AA1007" i="2"/>
  <c r="AA1010" i="2" s="1"/>
  <c r="AK71" i="14"/>
  <c r="AK1091" i="2"/>
  <c r="AK1001" i="2"/>
  <c r="AK808" i="2"/>
  <c r="AK810" i="2" s="1"/>
  <c r="AK812" i="2" s="1"/>
  <c r="Y51" i="16"/>
  <c r="Y52" i="16" s="1"/>
  <c r="Y1019" i="2"/>
  <c r="Y153" i="17"/>
  <c r="AM781" i="2"/>
  <c r="AM782" i="2" s="1"/>
  <c r="AL785" i="2"/>
  <c r="AL793" i="2" s="1"/>
  <c r="AL795" i="2" s="1"/>
  <c r="AJ55" i="16"/>
  <c r="AJ936" i="2"/>
  <c r="AJ938" i="2" s="1"/>
  <c r="S1101" i="2"/>
  <c r="S114" i="14"/>
  <c r="S115" i="14" s="1"/>
  <c r="S978" i="2"/>
  <c r="S979" i="2" s="1"/>
  <c r="S984" i="2" s="1"/>
  <c r="S1011" i="2"/>
  <c r="S63" i="16"/>
  <c r="Y75" i="16"/>
  <c r="Y1104" i="2"/>
  <c r="AJ41" i="16"/>
  <c r="AJ143" i="17"/>
  <c r="F1120" i="2" a="1"/>
  <c r="F1120" i="2" s="1"/>
  <c r="C158" i="18" s="1"/>
  <c r="Z1100" i="2"/>
  <c r="R1100" i="2"/>
  <c r="AH967" i="2"/>
  <c r="AH950" i="2"/>
  <c r="Z149" i="17"/>
  <c r="Z47" i="16"/>
  <c r="Q1132" i="2"/>
  <c r="Q1022" i="2"/>
  <c r="R1020" i="2"/>
  <c r="R1133" i="2" s="1"/>
  <c r="R70" i="16"/>
  <c r="R71" i="16" s="1"/>
  <c r="AI59" i="16"/>
  <c r="AI946" i="2"/>
  <c r="AI947" i="2" s="1"/>
  <c r="AI977" i="2"/>
  <c r="T968" i="2"/>
  <c r="R149" i="17"/>
  <c r="R47" i="16"/>
  <c r="AA1020" i="2" l="1"/>
  <c r="AA1133" i="2" s="1"/>
  <c r="AA78" i="16" s="1"/>
  <c r="X77" i="16"/>
  <c r="X1136" i="2"/>
  <c r="AA71" i="16"/>
  <c r="I80" i="14"/>
  <c r="AB968" i="2"/>
  <c r="AB971" i="2" s="1"/>
  <c r="T971" i="2"/>
  <c r="AL808" i="2"/>
  <c r="AL810" i="2" s="1"/>
  <c r="AL812" i="2" s="1"/>
  <c r="AL71" i="14"/>
  <c r="AL1091" i="2"/>
  <c r="AL1001" i="2"/>
  <c r="AN781" i="2"/>
  <c r="AN782" i="2" s="1"/>
  <c r="AM785" i="2"/>
  <c r="AM793" i="2" s="1"/>
  <c r="AM795" i="2" s="1"/>
  <c r="AA47" i="16"/>
  <c r="AA149" i="17"/>
  <c r="S1018" i="2"/>
  <c r="S1131" i="2" s="1"/>
  <c r="S152" i="17"/>
  <c r="S50" i="16"/>
  <c r="R1017" i="2"/>
  <c r="R1130" i="2" s="1"/>
  <c r="R1104" i="2" s="1"/>
  <c r="R49" i="16"/>
  <c r="R151" i="17"/>
  <c r="R1012" i="2"/>
  <c r="S68" i="16"/>
  <c r="S64" i="16"/>
  <c r="S65" i="16" s="1"/>
  <c r="S983" i="2"/>
  <c r="S985" i="2" s="1"/>
  <c r="S990" i="2" s="1"/>
  <c r="S992" i="2" s="1"/>
  <c r="Y1132" i="2"/>
  <c r="Y1022" i="2"/>
  <c r="Y1027" i="2" s="1"/>
  <c r="Y1028" i="2" s="1"/>
  <c r="AA1102" i="2"/>
  <c r="AI967" i="2"/>
  <c r="AI950" i="2"/>
  <c r="R78" i="16"/>
  <c r="T969" i="2"/>
  <c r="U965" i="2" s="1"/>
  <c r="U966" i="2" s="1"/>
  <c r="Q1027" i="2"/>
  <c r="Q1028" i="2" s="1"/>
  <c r="R1102" i="2"/>
  <c r="Q77" i="16"/>
  <c r="Q1136" i="2"/>
  <c r="AK55" i="16"/>
  <c r="AK936" i="2"/>
  <c r="AK938" i="2" s="1"/>
  <c r="Z1012" i="2"/>
  <c r="Z49" i="16"/>
  <c r="Z151" i="17"/>
  <c r="Z1017" i="2"/>
  <c r="Z1130" i="2" s="1"/>
  <c r="Z75" i="16" s="1"/>
  <c r="Z1102" i="2"/>
  <c r="F1125" i="2" s="1" a="1"/>
  <c r="F1125" i="2" s="1"/>
  <c r="C163" i="18" s="1"/>
  <c r="F1123" i="2" a="1"/>
  <c r="F1123" i="2" s="1"/>
  <c r="C161" i="18" s="1"/>
  <c r="AJ59" i="16"/>
  <c r="AJ977" i="2"/>
  <c r="AJ946" i="2"/>
  <c r="AJ947" i="2" s="1"/>
  <c r="AK143" i="17"/>
  <c r="AK41" i="16"/>
  <c r="AI60" i="16"/>
  <c r="C113" i="18" l="1" a="1"/>
  <c r="C113" i="18" s="1"/>
  <c r="G113" i="18" s="1"/>
  <c r="C101" i="18" a="1"/>
  <c r="C101" i="18" s="1"/>
  <c r="G101" i="18" s="1"/>
  <c r="C107" i="18" a="1"/>
  <c r="C107" i="18" s="1"/>
  <c r="G107" i="18" s="1"/>
  <c r="C118" i="18" a="1"/>
  <c r="C118" i="18" s="1"/>
  <c r="G118" i="18" s="1"/>
  <c r="Z1104" i="2"/>
  <c r="AB969" i="2"/>
  <c r="AC965" i="2" s="1"/>
  <c r="AB1101" i="2"/>
  <c r="AB114" i="14"/>
  <c r="AB115" i="14" s="1"/>
  <c r="AB1011" i="2"/>
  <c r="AB978" i="2"/>
  <c r="AB979" i="2" s="1"/>
  <c r="AB984" i="2" s="1"/>
  <c r="AB63" i="16"/>
  <c r="Z153" i="17"/>
  <c r="Z1019" i="2"/>
  <c r="Z51" i="16"/>
  <c r="Z52" i="16" s="1"/>
  <c r="AL41" i="16"/>
  <c r="AL143" i="17"/>
  <c r="AK977" i="2"/>
  <c r="AK59" i="16"/>
  <c r="AK60" i="16" s="1"/>
  <c r="AK946" i="2"/>
  <c r="AK947" i="2" s="1"/>
  <c r="S76" i="16"/>
  <c r="AA1017" i="2"/>
  <c r="AA1130" i="2" s="1"/>
  <c r="AA151" i="17"/>
  <c r="AA49" i="16"/>
  <c r="AA1012" i="2"/>
  <c r="R51" i="16"/>
  <c r="R52" i="16" s="1"/>
  <c r="R1019" i="2"/>
  <c r="R153" i="17"/>
  <c r="AL55" i="16"/>
  <c r="AL936" i="2"/>
  <c r="AL938" i="2" s="1"/>
  <c r="U968" i="2"/>
  <c r="AJ950" i="2"/>
  <c r="AJ967" i="2"/>
  <c r="Y1136" i="2"/>
  <c r="Y77" i="16"/>
  <c r="AM1091" i="2"/>
  <c r="AM71" i="14"/>
  <c r="AM808" i="2"/>
  <c r="AM810" i="2" s="1"/>
  <c r="AM812" i="2" s="1"/>
  <c r="AM1001" i="2"/>
  <c r="S1097" i="2"/>
  <c r="S1007" i="2"/>
  <c r="S1010" i="2" s="1"/>
  <c r="S79" i="14"/>
  <c r="S69" i="16"/>
  <c r="AJ60" i="16"/>
  <c r="S987" i="2"/>
  <c r="R75" i="16"/>
  <c r="AO781" i="2"/>
  <c r="AO782" i="2" s="1"/>
  <c r="AN785" i="2"/>
  <c r="AN793" i="2" s="1"/>
  <c r="AN795" i="2" s="1"/>
  <c r="T1011" i="2"/>
  <c r="T114" i="14"/>
  <c r="T115" i="14" s="1"/>
  <c r="T978" i="2"/>
  <c r="T979" i="2" s="1"/>
  <c r="T984" i="2" s="1"/>
  <c r="T63" i="16"/>
  <c r="T1101" i="2"/>
  <c r="AC966" i="2" l="1"/>
  <c r="AC968" i="2" s="1"/>
  <c r="U969" i="2"/>
  <c r="AB68" i="16"/>
  <c r="AB64" i="16"/>
  <c r="AB65" i="16" s="1"/>
  <c r="AB983" i="2"/>
  <c r="AB1018" i="2"/>
  <c r="AB1131" i="2" s="1"/>
  <c r="AB76" i="16" s="1"/>
  <c r="AB152" i="17"/>
  <c r="AB50" i="16"/>
  <c r="AP781" i="2"/>
  <c r="AP782" i="2" s="1"/>
  <c r="AO785" i="2"/>
  <c r="AO793" i="2" s="1"/>
  <c r="AO795" i="2" s="1"/>
  <c r="AN1091" i="2"/>
  <c r="AN71" i="14"/>
  <c r="AN808" i="2"/>
  <c r="AN810" i="2" s="1"/>
  <c r="AN812" i="2" s="1"/>
  <c r="AN1001" i="2"/>
  <c r="S149" i="17"/>
  <c r="S47" i="16"/>
  <c r="S70" i="16"/>
  <c r="S71" i="16" s="1"/>
  <c r="S1020" i="2"/>
  <c r="S1133" i="2" s="1"/>
  <c r="S1100" i="2"/>
  <c r="AA75" i="16"/>
  <c r="AA1104" i="2"/>
  <c r="AK967" i="2"/>
  <c r="AK950" i="2"/>
  <c r="AM41" i="16"/>
  <c r="AM143" i="17"/>
  <c r="U971" i="2"/>
  <c r="AL946" i="2"/>
  <c r="AL947" i="2" s="1"/>
  <c r="AL59" i="16"/>
  <c r="AL60" i="16" s="1"/>
  <c r="AL977" i="2"/>
  <c r="AM55" i="16"/>
  <c r="AM936" i="2"/>
  <c r="AM938" i="2" s="1"/>
  <c r="T983" i="2"/>
  <c r="T68" i="16"/>
  <c r="T64" i="16"/>
  <c r="T65" i="16" s="1"/>
  <c r="R1022" i="2"/>
  <c r="R1027" i="2" s="1"/>
  <c r="R1028" i="2" s="1"/>
  <c r="R1132" i="2"/>
  <c r="T1018" i="2"/>
  <c r="T1131" i="2" s="1"/>
  <c r="T50" i="16"/>
  <c r="T152" i="17"/>
  <c r="AA1019" i="2"/>
  <c r="AA153" i="17"/>
  <c r="AA51" i="16"/>
  <c r="AA52" i="16" s="1"/>
  <c r="Z1022" i="2"/>
  <c r="Z1027" i="2" s="1"/>
  <c r="Z1028" i="2" s="1"/>
  <c r="Z1132" i="2"/>
  <c r="AB987" i="2" l="1"/>
  <c r="AB1020" i="2" s="1"/>
  <c r="AB1133" i="2" s="1"/>
  <c r="AB78" i="16" s="1"/>
  <c r="AB985" i="2"/>
  <c r="AB990" i="2" s="1"/>
  <c r="AB992" i="2" s="1"/>
  <c r="T987" i="2"/>
  <c r="T1020" i="2" s="1"/>
  <c r="T1133" i="2" s="1"/>
  <c r="T78" i="16" s="1"/>
  <c r="T985" i="2"/>
  <c r="T990" i="2" s="1"/>
  <c r="T992" i="2" s="1"/>
  <c r="AC971" i="2"/>
  <c r="AC969" i="2"/>
  <c r="AD965" i="2" s="1"/>
  <c r="AD966" i="2" s="1"/>
  <c r="AB1007" i="2"/>
  <c r="AB1010" i="2" s="1"/>
  <c r="AB79" i="14"/>
  <c r="AB1097" i="2"/>
  <c r="AB1100" i="2" s="1"/>
  <c r="AB1102" i="2" s="1"/>
  <c r="AB69" i="16"/>
  <c r="S1102" i="2"/>
  <c r="AO1091" i="2"/>
  <c r="AO71" i="14"/>
  <c r="AO808" i="2"/>
  <c r="AO810" i="2" s="1"/>
  <c r="AO812" i="2" s="1"/>
  <c r="AO1001" i="2"/>
  <c r="S1012" i="2"/>
  <c r="S1017" i="2"/>
  <c r="S1130" i="2" s="1"/>
  <c r="S1104" i="2" s="1"/>
  <c r="S49" i="16"/>
  <c r="S151" i="17"/>
  <c r="AQ781" i="2"/>
  <c r="AQ782" i="2" s="1"/>
  <c r="AP785" i="2"/>
  <c r="AP793" i="2" s="1"/>
  <c r="AP795" i="2" s="1"/>
  <c r="S78" i="16"/>
  <c r="AA1022" i="2"/>
  <c r="AA1027" i="2" s="1"/>
  <c r="AA1028" i="2" s="1"/>
  <c r="AA1132" i="2"/>
  <c r="T1007" i="2"/>
  <c r="T1010" i="2" s="1"/>
  <c r="T1097" i="2"/>
  <c r="T69" i="16"/>
  <c r="T79" i="14"/>
  <c r="AL950" i="2"/>
  <c r="AL967" i="2"/>
  <c r="Z77" i="16"/>
  <c r="Z1136" i="2"/>
  <c r="R77" i="16"/>
  <c r="R1136" i="2"/>
  <c r="AN143" i="17"/>
  <c r="AN41" i="16"/>
  <c r="AM59" i="16"/>
  <c r="AM60" i="16" s="1"/>
  <c r="AM977" i="2"/>
  <c r="AM946" i="2"/>
  <c r="AM947" i="2" s="1"/>
  <c r="T76" i="16"/>
  <c r="U1011" i="2"/>
  <c r="U114" i="14"/>
  <c r="U115" i="14" s="1"/>
  <c r="U63" i="16"/>
  <c r="U1101" i="2"/>
  <c r="U978" i="2"/>
  <c r="U979" i="2" s="1"/>
  <c r="U984" i="2" s="1"/>
  <c r="AN55" i="16"/>
  <c r="AN936" i="2"/>
  <c r="AN938" i="2" s="1"/>
  <c r="T70" i="16" l="1"/>
  <c r="T71" i="16" s="1"/>
  <c r="AB70" i="16"/>
  <c r="AB71" i="16" s="1"/>
  <c r="AC114" i="14"/>
  <c r="AC115" i="14" s="1"/>
  <c r="AC978" i="2"/>
  <c r="AC979" i="2" s="1"/>
  <c r="AC984" i="2" s="1"/>
  <c r="AC1101" i="2"/>
  <c r="AC63" i="16"/>
  <c r="AC1011" i="2"/>
  <c r="AB149" i="17"/>
  <c r="AB47" i="16"/>
  <c r="AD968" i="2"/>
  <c r="AD971" i="2" s="1"/>
  <c r="T1100" i="2"/>
  <c r="S51" i="16"/>
  <c r="S52" i="16" s="1"/>
  <c r="S153" i="17"/>
  <c r="S1019" i="2"/>
  <c r="U1018" i="2"/>
  <c r="U1131" i="2" s="1"/>
  <c r="U76" i="16" s="1"/>
  <c r="U152" i="17"/>
  <c r="U50" i="16"/>
  <c r="T149" i="17"/>
  <c r="T47" i="16"/>
  <c r="AO143" i="17"/>
  <c r="AO41" i="16"/>
  <c r="AO55" i="16"/>
  <c r="AO936" i="2"/>
  <c r="AO938" i="2" s="1"/>
  <c r="S75" i="16"/>
  <c r="AM967" i="2"/>
  <c r="AM950" i="2"/>
  <c r="AA1136" i="2"/>
  <c r="AA77" i="16"/>
  <c r="AP1091" i="2"/>
  <c r="AP71" i="14"/>
  <c r="AP1001" i="2"/>
  <c r="AP808" i="2"/>
  <c r="AP810" i="2" s="1"/>
  <c r="AP812" i="2" s="1"/>
  <c r="AN977" i="2"/>
  <c r="AN946" i="2"/>
  <c r="AN947" i="2" s="1"/>
  <c r="AN59" i="16"/>
  <c r="AN60" i="16" s="1"/>
  <c r="AR781" i="2"/>
  <c r="AR782" i="2" s="1"/>
  <c r="AQ785" i="2"/>
  <c r="AQ793" i="2" s="1"/>
  <c r="AQ795" i="2" s="1"/>
  <c r="U64" i="16"/>
  <c r="U65" i="16" s="1"/>
  <c r="U68" i="16"/>
  <c r="U983" i="2"/>
  <c r="U985" i="2" s="1"/>
  <c r="U990" i="2" s="1"/>
  <c r="U992" i="2" s="1"/>
  <c r="AC152" i="17" l="1"/>
  <c r="AC50" i="16"/>
  <c r="AC1018" i="2"/>
  <c r="AC1131" i="2" s="1"/>
  <c r="AC76" i="16" s="1"/>
  <c r="AC68" i="16"/>
  <c r="AC983" i="2"/>
  <c r="AC985" i="2" s="1"/>
  <c r="AC990" i="2" s="1"/>
  <c r="AC992" i="2" s="1"/>
  <c r="AC64" i="16"/>
  <c r="AC65" i="16" s="1"/>
  <c r="AD969" i="2"/>
  <c r="AE965" i="2" s="1"/>
  <c r="AD114" i="14"/>
  <c r="AD115" i="14" s="1"/>
  <c r="AD978" i="2"/>
  <c r="AD979" i="2" s="1"/>
  <c r="AD984" i="2" s="1"/>
  <c r="AD1101" i="2"/>
  <c r="AD63" i="16"/>
  <c r="AD1011" i="2"/>
  <c r="AB49" i="16"/>
  <c r="AB1012" i="2"/>
  <c r="AB151" i="17"/>
  <c r="AB1017" i="2"/>
  <c r="AB1130" i="2" s="1"/>
  <c r="AP41" i="16"/>
  <c r="AP143" i="17"/>
  <c r="AQ1091" i="2"/>
  <c r="AQ71" i="14"/>
  <c r="AQ808" i="2"/>
  <c r="AQ810" i="2" s="1"/>
  <c r="AQ812" i="2" s="1"/>
  <c r="AQ1001" i="2"/>
  <c r="AO59" i="16"/>
  <c r="AO60" i="16" s="1"/>
  <c r="AO977" i="2"/>
  <c r="AO946" i="2"/>
  <c r="AO947" i="2" s="1"/>
  <c r="U1007" i="2"/>
  <c r="U1010" i="2" s="1"/>
  <c r="U79" i="14"/>
  <c r="U1097" i="2"/>
  <c r="U69" i="16"/>
  <c r="T1012" i="2"/>
  <c r="T1017" i="2"/>
  <c r="T1130" i="2" s="1"/>
  <c r="T1104" i="2" s="1"/>
  <c r="T151" i="17"/>
  <c r="T49" i="16"/>
  <c r="S1022" i="2"/>
  <c r="S1027" i="2" s="1"/>
  <c r="S1028" i="2" s="1"/>
  <c r="S1132" i="2"/>
  <c r="AS781" i="2"/>
  <c r="AS782" i="2" s="1"/>
  <c r="AS785" i="2" s="1"/>
  <c r="AR785" i="2"/>
  <c r="AR793" i="2" s="1"/>
  <c r="AR795" i="2" s="1"/>
  <c r="AN950" i="2"/>
  <c r="AN967" i="2"/>
  <c r="U987" i="2"/>
  <c r="AP55" i="16"/>
  <c r="AP936" i="2"/>
  <c r="AP938" i="2" s="1"/>
  <c r="T1102" i="2"/>
  <c r="AE966" i="2" l="1"/>
  <c r="AE968" i="2" s="1"/>
  <c r="AE971" i="2" s="1"/>
  <c r="AE1011" i="2" s="1"/>
  <c r="AC987" i="2"/>
  <c r="AC79" i="14"/>
  <c r="AC1007" i="2"/>
  <c r="AC1010" i="2" s="1"/>
  <c r="AC1097" i="2"/>
  <c r="AC1100" i="2" s="1"/>
  <c r="AC1102" i="2" s="1"/>
  <c r="AC69" i="16"/>
  <c r="AB75" i="16"/>
  <c r="AB1104" i="2"/>
  <c r="AB1019" i="2"/>
  <c r="AB153" i="17"/>
  <c r="AB51" i="16"/>
  <c r="AB52" i="16" s="1"/>
  <c r="AD50" i="16"/>
  <c r="AD1018" i="2"/>
  <c r="AD1131" i="2" s="1"/>
  <c r="AD76" i="16" s="1"/>
  <c r="AD152" i="17"/>
  <c r="AD64" i="16"/>
  <c r="AD65" i="16" s="1"/>
  <c r="AD983" i="2"/>
  <c r="AD68" i="16"/>
  <c r="AS793" i="2"/>
  <c r="AS795" i="2" s="1"/>
  <c r="I785" i="2"/>
  <c r="I793" i="2" s="1"/>
  <c r="S77" i="16"/>
  <c r="S1136" i="2"/>
  <c r="U1100" i="2"/>
  <c r="U47" i="16"/>
  <c r="U149" i="17"/>
  <c r="AO950" i="2"/>
  <c r="AO967" i="2"/>
  <c r="AQ41" i="16"/>
  <c r="AQ143" i="17"/>
  <c r="AP59" i="16"/>
  <c r="AP977" i="2"/>
  <c r="AP946" i="2"/>
  <c r="AP947" i="2" s="1"/>
  <c r="T75" i="16"/>
  <c r="AQ936" i="2"/>
  <c r="AQ938" i="2" s="1"/>
  <c r="AQ55" i="16"/>
  <c r="U70" i="16"/>
  <c r="U71" i="16" s="1"/>
  <c r="U1020" i="2"/>
  <c r="U1133" i="2" s="1"/>
  <c r="T153" i="17"/>
  <c r="T1019" i="2"/>
  <c r="T51" i="16"/>
  <c r="T52" i="16" s="1"/>
  <c r="AR1091" i="2"/>
  <c r="AR71" i="14"/>
  <c r="AR1001" i="2"/>
  <c r="AR808" i="2"/>
  <c r="AR810" i="2" s="1"/>
  <c r="AR812" i="2" s="1"/>
  <c r="AD987" i="2" l="1"/>
  <c r="AD70" i="16" s="1"/>
  <c r="AD985" i="2"/>
  <c r="AD990" i="2" s="1"/>
  <c r="AD992" i="2" s="1"/>
  <c r="AC47" i="16"/>
  <c r="AC149" i="17"/>
  <c r="AC1020" i="2"/>
  <c r="AC1133" i="2" s="1"/>
  <c r="AC78" i="16" s="1"/>
  <c r="AC70" i="16"/>
  <c r="AC71" i="16" s="1"/>
  <c r="AE969" i="2"/>
  <c r="AF965" i="2" s="1"/>
  <c r="AE114" i="14"/>
  <c r="AE115" i="14" s="1"/>
  <c r="AE1101" i="2"/>
  <c r="AE978" i="2"/>
  <c r="AE979" i="2" s="1"/>
  <c r="AE63" i="16"/>
  <c r="AE1018" i="2"/>
  <c r="AE1131" i="2" s="1"/>
  <c r="AE76" i="16" s="1"/>
  <c r="AE152" i="17"/>
  <c r="AE50" i="16"/>
  <c r="AD79" i="14"/>
  <c r="AD69" i="16"/>
  <c r="AD1097" i="2"/>
  <c r="AD1100" i="2" s="1"/>
  <c r="AD1102" i="2" s="1"/>
  <c r="AD1007" i="2"/>
  <c r="AD1010" i="2" s="1"/>
  <c r="AB1022" i="2"/>
  <c r="AB1027" i="2" s="1"/>
  <c r="AB1028" i="2" s="1"/>
  <c r="AB1132" i="2"/>
  <c r="U78" i="16"/>
  <c r="U1102" i="2"/>
  <c r="U1017" i="2"/>
  <c r="U1130" i="2" s="1"/>
  <c r="U75" i="16" s="1"/>
  <c r="U49" i="16"/>
  <c r="U1012" i="2"/>
  <c r="U151" i="17"/>
  <c r="AR55" i="16"/>
  <c r="AR936" i="2"/>
  <c r="AR938" i="2" s="1"/>
  <c r="AS71" i="14"/>
  <c r="AS1091" i="2"/>
  <c r="AS808" i="2"/>
  <c r="AS810" i="2" s="1"/>
  <c r="AS1001" i="2"/>
  <c r="I795" i="2"/>
  <c r="F796" i="2"/>
  <c r="AQ946" i="2"/>
  <c r="AQ947" i="2" s="1"/>
  <c r="AQ59" i="16"/>
  <c r="AQ60" i="16" s="1"/>
  <c r="AQ977" i="2"/>
  <c r="T1022" i="2"/>
  <c r="T1027" i="2" s="1"/>
  <c r="T1028" i="2" s="1"/>
  <c r="T1132" i="2"/>
  <c r="AP967" i="2"/>
  <c r="AP950" i="2"/>
  <c r="AR143" i="17"/>
  <c r="AR41" i="16"/>
  <c r="AP60" i="16"/>
  <c r="AD1020" i="2" l="1"/>
  <c r="AD1133" i="2" s="1"/>
  <c r="AD78" i="16" s="1"/>
  <c r="AE68" i="16"/>
  <c r="AE984" i="2"/>
  <c r="AF966" i="2"/>
  <c r="AF968" i="2" s="1"/>
  <c r="AC49" i="16"/>
  <c r="AC1012" i="2"/>
  <c r="AC1017" i="2"/>
  <c r="AC1130" i="2" s="1"/>
  <c r="AC151" i="17"/>
  <c r="AE983" i="2"/>
  <c r="AE64" i="16"/>
  <c r="AE65" i="16" s="1"/>
  <c r="AD71" i="16"/>
  <c r="AD47" i="16"/>
  <c r="AD149" i="17"/>
  <c r="AB1136" i="2"/>
  <c r="AB77" i="16"/>
  <c r="AR59" i="16"/>
  <c r="AR60" i="16" s="1"/>
  <c r="AR977" i="2"/>
  <c r="AR946" i="2"/>
  <c r="AR947" i="2" s="1"/>
  <c r="I1001" i="2"/>
  <c r="I71" i="14"/>
  <c r="I1091" i="2"/>
  <c r="I808" i="2"/>
  <c r="U51" i="16"/>
  <c r="U52" i="16" s="1"/>
  <c r="U153" i="17"/>
  <c r="U1019" i="2"/>
  <c r="AS812" i="2"/>
  <c r="I810" i="2"/>
  <c r="U1104" i="2"/>
  <c r="AQ950" i="2"/>
  <c r="AQ967" i="2"/>
  <c r="AS41" i="16"/>
  <c r="AS143" i="17"/>
  <c r="T77" i="16"/>
  <c r="T1136" i="2"/>
  <c r="L1182" i="2" a="1"/>
  <c r="L1182" i="2" s="1"/>
  <c r="M1182" i="2" a="1"/>
  <c r="M1182" i="2" s="1"/>
  <c r="N1182" i="2" a="1"/>
  <c r="N1182" i="2" s="1"/>
  <c r="D49" i="11" s="1"/>
  <c r="F61" i="15" s="1"/>
  <c r="J61" i="15" s="1"/>
  <c r="I61" i="15" s="1"/>
  <c r="K1182" i="2"/>
  <c r="G1114" i="2"/>
  <c r="D152" i="18" s="1"/>
  <c r="AE1097" i="2" l="1"/>
  <c r="AE1100" i="2" s="1"/>
  <c r="AE1102" i="2" s="1"/>
  <c r="AE985" i="2"/>
  <c r="AE990" i="2" s="1"/>
  <c r="AE992" i="2" s="1"/>
  <c r="AF971" i="2"/>
  <c r="AF969" i="2"/>
  <c r="AG965" i="2" s="1"/>
  <c r="AC75" i="16"/>
  <c r="AC1104" i="2"/>
  <c r="AC51" i="16"/>
  <c r="AC52" i="16" s="1"/>
  <c r="AC153" i="17"/>
  <c r="AC1019" i="2"/>
  <c r="AE1007" i="2"/>
  <c r="AE69" i="16"/>
  <c r="AE79" i="14"/>
  <c r="AE987" i="2"/>
  <c r="AE1020" i="2" s="1"/>
  <c r="AE1133" i="2" s="1"/>
  <c r="AE78" i="16" s="1"/>
  <c r="AD151" i="17"/>
  <c r="AD1012" i="2"/>
  <c r="AD49" i="16"/>
  <c r="AD1017" i="2"/>
  <c r="AD1130" i="2" s="1"/>
  <c r="I143" i="17"/>
  <c r="I41" i="16"/>
  <c r="AR950" i="2"/>
  <c r="AR967" i="2"/>
  <c r="U1022" i="2"/>
  <c r="U1027" i="2" s="1"/>
  <c r="U1028" i="2" s="1"/>
  <c r="U1132" i="2"/>
  <c r="AS936" i="2"/>
  <c r="AS938" i="2" s="1"/>
  <c r="AS55" i="16"/>
  <c r="I812" i="2"/>
  <c r="AE47" i="16" l="1"/>
  <c r="AE1010" i="2"/>
  <c r="AC1132" i="2"/>
  <c r="AC1022" i="2"/>
  <c r="AC1027" i="2" s="1"/>
  <c r="AC1028" i="2" s="1"/>
  <c r="AE1017" i="2"/>
  <c r="AE1130" i="2" s="1"/>
  <c r="AG966" i="2"/>
  <c r="AG968" i="2" s="1"/>
  <c r="AG971" i="2" s="1"/>
  <c r="AE149" i="17"/>
  <c r="AF1101" i="2"/>
  <c r="AF1011" i="2"/>
  <c r="AF114" i="14"/>
  <c r="AF115" i="14" s="1"/>
  <c r="AF978" i="2"/>
  <c r="AF979" i="2" s="1"/>
  <c r="AF984" i="2" s="1"/>
  <c r="AF63" i="16"/>
  <c r="AE70" i="16"/>
  <c r="AE71" i="16" s="1"/>
  <c r="AD51" i="16"/>
  <c r="AD52" i="16" s="1"/>
  <c r="AD153" i="17"/>
  <c r="AD1019" i="2"/>
  <c r="AD75" i="16"/>
  <c r="AD1104" i="2"/>
  <c r="I936" i="2"/>
  <c r="I55" i="16"/>
  <c r="AS59" i="16"/>
  <c r="AS946" i="2"/>
  <c r="AS947" i="2" s="1"/>
  <c r="AS977" i="2"/>
  <c r="I938" i="2"/>
  <c r="U1136" i="2"/>
  <c r="U77" i="16"/>
  <c r="AE151" i="17" l="1"/>
  <c r="AE49" i="16"/>
  <c r="AE1012" i="2"/>
  <c r="AE153" i="17" s="1"/>
  <c r="AG969" i="2"/>
  <c r="AH965" i="2" s="1"/>
  <c r="AG63" i="16"/>
  <c r="AG1101" i="2"/>
  <c r="AG978" i="2"/>
  <c r="AG979" i="2" s="1"/>
  <c r="AG984" i="2" s="1"/>
  <c r="AG1011" i="2"/>
  <c r="AG114" i="14"/>
  <c r="AG115" i="14" s="1"/>
  <c r="AF983" i="2"/>
  <c r="AF985" i="2" s="1"/>
  <c r="AF990" i="2" s="1"/>
  <c r="AF992" i="2" s="1"/>
  <c r="AF68" i="16"/>
  <c r="AF64" i="16"/>
  <c r="AF65" i="16" s="1"/>
  <c r="AF152" i="17"/>
  <c r="AF50" i="16"/>
  <c r="AF1018" i="2"/>
  <c r="AF1131" i="2" s="1"/>
  <c r="AF76" i="16" s="1"/>
  <c r="AC1136" i="2"/>
  <c r="AC77" i="16"/>
  <c r="AE1104" i="2"/>
  <c r="AE75" i="16"/>
  <c r="AD1132" i="2"/>
  <c r="AD1022" i="2"/>
  <c r="AD1027" i="2" s="1"/>
  <c r="AD1028" i="2" s="1"/>
  <c r="AS950" i="2"/>
  <c r="I950" i="2" s="1"/>
  <c r="AS967" i="2"/>
  <c r="I947" i="2"/>
  <c r="AS60" i="16"/>
  <c r="F60" i="16" s="1"/>
  <c r="F86" i="16" s="1"/>
  <c r="I59" i="16"/>
  <c r="I946" i="2"/>
  <c r="I977" i="2"/>
  <c r="AE51" i="16" l="1"/>
  <c r="AE52" i="16" s="1"/>
  <c r="AE1019" i="2"/>
  <c r="AE1022" i="2" s="1"/>
  <c r="AE1027" i="2" s="1"/>
  <c r="AE1028" i="2" s="1"/>
  <c r="AF987" i="2"/>
  <c r="AF69" i="16"/>
  <c r="AF1007" i="2"/>
  <c r="AF1010" i="2" s="1"/>
  <c r="AF79" i="14"/>
  <c r="AF1097" i="2"/>
  <c r="AF1100" i="2" s="1"/>
  <c r="AF1102" i="2" s="1"/>
  <c r="AG1018" i="2"/>
  <c r="AG1131" i="2" s="1"/>
  <c r="AG76" i="16" s="1"/>
  <c r="AG152" i="17"/>
  <c r="AG50" i="16"/>
  <c r="AG983" i="2"/>
  <c r="AG985" i="2" s="1"/>
  <c r="AG990" i="2" s="1"/>
  <c r="AG992" i="2" s="1"/>
  <c r="AG68" i="16"/>
  <c r="AG64" i="16"/>
  <c r="AG65" i="16" s="1"/>
  <c r="AH966" i="2"/>
  <c r="AH968" i="2" s="1"/>
  <c r="AH971" i="2" s="1"/>
  <c r="AD1136" i="2"/>
  <c r="AD77" i="16"/>
  <c r="AE1132" i="2" l="1"/>
  <c r="AE77" i="16" s="1"/>
  <c r="AH969" i="2"/>
  <c r="AI965" i="2" s="1"/>
  <c r="AI966" i="2" s="1"/>
  <c r="AI968" i="2" s="1"/>
  <c r="AF149" i="17"/>
  <c r="AF47" i="16"/>
  <c r="AG987" i="2"/>
  <c r="AG69" i="16"/>
  <c r="AG1007" i="2"/>
  <c r="AG1010" i="2" s="1"/>
  <c r="AG1097" i="2"/>
  <c r="AG1100" i="2" s="1"/>
  <c r="AG1102" i="2" s="1"/>
  <c r="AG79" i="14"/>
  <c r="AF70" i="16"/>
  <c r="AF71" i="16" s="1"/>
  <c r="AF1020" i="2"/>
  <c r="AF1133" i="2" s="1"/>
  <c r="AF78" i="16" s="1"/>
  <c r="AH1011" i="2"/>
  <c r="AH114" i="14"/>
  <c r="AH115" i="14" s="1"/>
  <c r="AH63" i="16"/>
  <c r="AH1101" i="2"/>
  <c r="AH978" i="2"/>
  <c r="AH979" i="2" s="1"/>
  <c r="AH984" i="2" s="1"/>
  <c r="AE1136" i="2" l="1"/>
  <c r="AI971" i="2"/>
  <c r="AI114" i="14" s="1"/>
  <c r="AI115" i="14" s="1"/>
  <c r="AI969" i="2"/>
  <c r="AJ965" i="2" s="1"/>
  <c r="AJ966" i="2" s="1"/>
  <c r="AF1017" i="2"/>
  <c r="AF1130" i="2" s="1"/>
  <c r="AF151" i="17"/>
  <c r="AF49" i="16"/>
  <c r="AF1012" i="2"/>
  <c r="AH68" i="16"/>
  <c r="AH983" i="2"/>
  <c r="AH64" i="16"/>
  <c r="AH65" i="16" s="1"/>
  <c r="AG149" i="17"/>
  <c r="AG47" i="16"/>
  <c r="AG1020" i="2"/>
  <c r="AG1133" i="2" s="1"/>
  <c r="AG78" i="16" s="1"/>
  <c r="AG70" i="16"/>
  <c r="AG71" i="16" s="1"/>
  <c r="AH50" i="16"/>
  <c r="AH152" i="17"/>
  <c r="AH1018" i="2"/>
  <c r="AH1131" i="2" s="1"/>
  <c r="AH76" i="16" s="1"/>
  <c r="AH987" i="2" l="1"/>
  <c r="AH70" i="16" s="1"/>
  <c r="AH985" i="2"/>
  <c r="AH990" i="2" s="1"/>
  <c r="AH992" i="2" s="1"/>
  <c r="AJ968" i="2"/>
  <c r="AJ971" i="2" s="1"/>
  <c r="AJ114" i="14" s="1"/>
  <c r="AJ115" i="14" s="1"/>
  <c r="AI63" i="16"/>
  <c r="AI1011" i="2"/>
  <c r="AI978" i="2"/>
  <c r="AI979" i="2" s="1"/>
  <c r="AI984" i="2" s="1"/>
  <c r="AI1101" i="2"/>
  <c r="AH1097" i="2"/>
  <c r="AH1100" i="2" s="1"/>
  <c r="AH1102" i="2" s="1"/>
  <c r="AH1007" i="2"/>
  <c r="AH1010" i="2" s="1"/>
  <c r="AH69" i="16"/>
  <c r="AH79" i="14"/>
  <c r="AF153" i="17"/>
  <c r="AF1019" i="2"/>
  <c r="AF51" i="16"/>
  <c r="AF52" i="16" s="1"/>
  <c r="AG151" i="17"/>
  <c r="AG1017" i="2"/>
  <c r="AG1130" i="2" s="1"/>
  <c r="AG1012" i="2"/>
  <c r="AG49" i="16"/>
  <c r="AF75" i="16"/>
  <c r="AF1104" i="2"/>
  <c r="AH1020" i="2" l="1"/>
  <c r="AH1133" i="2" s="1"/>
  <c r="AH78" i="16" s="1"/>
  <c r="AJ63" i="16"/>
  <c r="AJ1011" i="2"/>
  <c r="AJ1018" i="2" s="1"/>
  <c r="AJ1131" i="2" s="1"/>
  <c r="AJ76" i="16" s="1"/>
  <c r="AJ978" i="2"/>
  <c r="AJ979" i="2" s="1"/>
  <c r="AJ1101" i="2"/>
  <c r="AJ969" i="2"/>
  <c r="AK965" i="2" s="1"/>
  <c r="AK966" i="2" s="1"/>
  <c r="AI68" i="16"/>
  <c r="AI64" i="16"/>
  <c r="AI65" i="16" s="1"/>
  <c r="AI983" i="2"/>
  <c r="AI985" i="2" s="1"/>
  <c r="AI990" i="2" s="1"/>
  <c r="AI992" i="2" s="1"/>
  <c r="AI50" i="16"/>
  <c r="AI1018" i="2"/>
  <c r="AI1131" i="2" s="1"/>
  <c r="AI76" i="16" s="1"/>
  <c r="AI152" i="17"/>
  <c r="AF1022" i="2"/>
  <c r="AF1027" i="2" s="1"/>
  <c r="AF1028" i="2" s="1"/>
  <c r="AF1132" i="2"/>
  <c r="AG51" i="16"/>
  <c r="AG52" i="16" s="1"/>
  <c r="AG153" i="17"/>
  <c r="AG1019" i="2"/>
  <c r="AH47" i="16"/>
  <c r="AH149" i="17"/>
  <c r="AG75" i="16"/>
  <c r="AG1104" i="2"/>
  <c r="AH71" i="16"/>
  <c r="AJ64" i="16" l="1"/>
  <c r="AJ65" i="16" s="1"/>
  <c r="AJ984" i="2"/>
  <c r="AJ68" i="16"/>
  <c r="AJ983" i="2"/>
  <c r="AJ50" i="16"/>
  <c r="AJ152" i="17"/>
  <c r="AK968" i="2"/>
  <c r="AK971" i="2" s="1"/>
  <c r="AK978" i="2" s="1"/>
  <c r="AK979" i="2" s="1"/>
  <c r="AI69" i="16"/>
  <c r="AI1007" i="2"/>
  <c r="AI1010" i="2" s="1"/>
  <c r="AI1097" i="2"/>
  <c r="AI1100" i="2" s="1"/>
  <c r="AI1102" i="2" s="1"/>
  <c r="AI987" i="2"/>
  <c r="AI79" i="14"/>
  <c r="AG1132" i="2"/>
  <c r="AG1022" i="2"/>
  <c r="AG1027" i="2" s="1"/>
  <c r="AG1028" i="2" s="1"/>
  <c r="AH49" i="16"/>
  <c r="AH151" i="17"/>
  <c r="AH1012" i="2"/>
  <c r="AH1017" i="2"/>
  <c r="AH1130" i="2" s="1"/>
  <c r="AF1136" i="2"/>
  <c r="AF77" i="16"/>
  <c r="AJ987" i="2" l="1"/>
  <c r="AJ1020" i="2" s="1"/>
  <c r="AJ1133" i="2" s="1"/>
  <c r="AJ78" i="16" s="1"/>
  <c r="AJ985" i="2"/>
  <c r="AJ990" i="2" s="1"/>
  <c r="AJ992" i="2" s="1"/>
  <c r="AK64" i="16"/>
  <c r="AK984" i="2"/>
  <c r="AJ1097" i="2"/>
  <c r="AJ1100" i="2" s="1"/>
  <c r="AJ1102" i="2" s="1"/>
  <c r="AJ79" i="14"/>
  <c r="AJ69" i="16"/>
  <c r="AJ1007" i="2"/>
  <c r="AK68" i="16"/>
  <c r="AK983" i="2"/>
  <c r="AK1011" i="2"/>
  <c r="AK152" i="17" s="1"/>
  <c r="AK114" i="14"/>
  <c r="AK115" i="14" s="1"/>
  <c r="AK63" i="16"/>
  <c r="AK969" i="2"/>
  <c r="AL965" i="2" s="1"/>
  <c r="AL966" i="2" s="1"/>
  <c r="AK1101" i="2"/>
  <c r="AI70" i="16"/>
  <c r="AI71" i="16" s="1"/>
  <c r="AI1020" i="2"/>
  <c r="AI1133" i="2" s="1"/>
  <c r="AI78" i="16" s="1"/>
  <c r="AI149" i="17"/>
  <c r="AI47" i="16"/>
  <c r="AH75" i="16"/>
  <c r="AH1104" i="2"/>
  <c r="AH51" i="16"/>
  <c r="AH52" i="16" s="1"/>
  <c r="AH1019" i="2"/>
  <c r="AH153" i="17"/>
  <c r="AG1136" i="2"/>
  <c r="AG77" i="16"/>
  <c r="AJ47" i="16" l="1"/>
  <c r="AJ1010" i="2"/>
  <c r="AK65" i="16"/>
  <c r="AJ70" i="16"/>
  <c r="AJ71" i="16" s="1"/>
  <c r="AK987" i="2"/>
  <c r="AK1020" i="2" s="1"/>
  <c r="AK1133" i="2" s="1"/>
  <c r="AK78" i="16" s="1"/>
  <c r="AK985" i="2"/>
  <c r="AK990" i="2" s="1"/>
  <c r="AK992" i="2" s="1"/>
  <c r="AJ151" i="17"/>
  <c r="AJ149" i="17"/>
  <c r="AK1097" i="2"/>
  <c r="AK1100" i="2" s="1"/>
  <c r="AK1102" i="2" s="1"/>
  <c r="AK79" i="14"/>
  <c r="AK1007" i="2"/>
  <c r="AK1010" i="2" s="1"/>
  <c r="AK69" i="16"/>
  <c r="AK50" i="16"/>
  <c r="AK1018" i="2"/>
  <c r="AK1131" i="2" s="1"/>
  <c r="AK76" i="16" s="1"/>
  <c r="AL968" i="2"/>
  <c r="AL971" i="2" s="1"/>
  <c r="AL1011" i="2" s="1"/>
  <c r="AI49" i="16"/>
  <c r="AI1012" i="2"/>
  <c r="AI151" i="17"/>
  <c r="AI1017" i="2"/>
  <c r="AI1130" i="2" s="1"/>
  <c r="AH1132" i="2"/>
  <c r="AH1022" i="2"/>
  <c r="AH1027" i="2" s="1"/>
  <c r="AH1028" i="2" s="1"/>
  <c r="AK70" i="16" l="1"/>
  <c r="AK71" i="16" s="1"/>
  <c r="AJ1017" i="2"/>
  <c r="AJ1130" i="2" s="1"/>
  <c r="AJ1104" i="2" s="1"/>
  <c r="AJ49" i="16"/>
  <c r="AJ1012" i="2"/>
  <c r="AJ51" i="16" s="1"/>
  <c r="AJ52" i="16" s="1"/>
  <c r="AK47" i="16"/>
  <c r="AK149" i="17"/>
  <c r="AL1101" i="2"/>
  <c r="AL969" i="2"/>
  <c r="AM965" i="2" s="1"/>
  <c r="AM966" i="2" s="1"/>
  <c r="AL114" i="14"/>
  <c r="AL115" i="14" s="1"/>
  <c r="AL978" i="2"/>
  <c r="AL979" i="2" s="1"/>
  <c r="AL63" i="16"/>
  <c r="AI75" i="16"/>
  <c r="AI1104" i="2"/>
  <c r="AI1019" i="2"/>
  <c r="AI153" i="17"/>
  <c r="AI51" i="16"/>
  <c r="AI52" i="16" s="1"/>
  <c r="AH1136" i="2"/>
  <c r="AH77" i="16"/>
  <c r="AL152" i="17"/>
  <c r="AL50" i="16"/>
  <c r="AL1018" i="2"/>
  <c r="AL1131" i="2" s="1"/>
  <c r="AL76" i="16" s="1"/>
  <c r="AK49" i="16"/>
  <c r="AK1017" i="2"/>
  <c r="AK1130" i="2" s="1"/>
  <c r="AK1012" i="2"/>
  <c r="AK151" i="17"/>
  <c r="AL68" i="16" l="1"/>
  <c r="AL984" i="2"/>
  <c r="AJ75" i="16"/>
  <c r="AJ1019" i="2"/>
  <c r="AJ1022" i="2" s="1"/>
  <c r="AJ1027" i="2" s="1"/>
  <c r="AJ1028" i="2" s="1"/>
  <c r="AJ153" i="17"/>
  <c r="AM968" i="2"/>
  <c r="AM971" i="2" s="1"/>
  <c r="AM114" i="14" s="1"/>
  <c r="AM115" i="14" s="1"/>
  <c r="AL64" i="16"/>
  <c r="AL65" i="16" s="1"/>
  <c r="AL983" i="2"/>
  <c r="AI1022" i="2"/>
  <c r="AI1027" i="2" s="1"/>
  <c r="AI1028" i="2" s="1"/>
  <c r="AI1132" i="2"/>
  <c r="AK153" i="17"/>
  <c r="AK51" i="16"/>
  <c r="AK52" i="16" s="1"/>
  <c r="AK1019" i="2"/>
  <c r="AK75" i="16"/>
  <c r="AK1104" i="2"/>
  <c r="AL79" i="14" l="1"/>
  <c r="AL985" i="2"/>
  <c r="AL990" i="2" s="1"/>
  <c r="AL992" i="2" s="1"/>
  <c r="AJ1132" i="2"/>
  <c r="AJ77" i="16" s="1"/>
  <c r="AM978" i="2"/>
  <c r="AM979" i="2" s="1"/>
  <c r="AM63" i="16"/>
  <c r="AM1101" i="2"/>
  <c r="AM969" i="2"/>
  <c r="AN965" i="2" s="1"/>
  <c r="AN966" i="2" s="1"/>
  <c r="AN968" i="2" s="1"/>
  <c r="AM1011" i="2"/>
  <c r="AM152" i="17" s="1"/>
  <c r="AL1097" i="2"/>
  <c r="AL1100" i="2" s="1"/>
  <c r="AL1102" i="2" s="1"/>
  <c r="AL1007" i="2"/>
  <c r="AL1010" i="2" s="1"/>
  <c r="AL987" i="2"/>
  <c r="AL70" i="16" s="1"/>
  <c r="AL69" i="16"/>
  <c r="AI77" i="16"/>
  <c r="AI1136" i="2"/>
  <c r="AK1022" i="2"/>
  <c r="AK1027" i="2" s="1"/>
  <c r="AK1028" i="2" s="1"/>
  <c r="AK1132" i="2"/>
  <c r="AM64" i="16" l="1"/>
  <c r="AM65" i="16" s="1"/>
  <c r="AM984" i="2"/>
  <c r="AJ1136" i="2"/>
  <c r="AM983" i="2"/>
  <c r="AM68" i="16"/>
  <c r="AM50" i="16"/>
  <c r="AM1018" i="2"/>
  <c r="AM1131" i="2" s="1"/>
  <c r="AM76" i="16" s="1"/>
  <c r="AL47" i="16"/>
  <c r="AL1020" i="2"/>
  <c r="AL1133" i="2" s="1"/>
  <c r="AL78" i="16" s="1"/>
  <c r="AL149" i="17"/>
  <c r="AL71" i="16"/>
  <c r="AN971" i="2"/>
  <c r="AN969" i="2"/>
  <c r="AO965" i="2" s="1"/>
  <c r="AO966" i="2" s="1"/>
  <c r="AO968" i="2" s="1"/>
  <c r="AL49" i="16"/>
  <c r="AL1012" i="2"/>
  <c r="AL151" i="17"/>
  <c r="AL1017" i="2"/>
  <c r="AL1130" i="2" s="1"/>
  <c r="AK1136" i="2"/>
  <c r="AK77" i="16"/>
  <c r="AM69" i="16" l="1"/>
  <c r="AM985" i="2"/>
  <c r="AM990" i="2" s="1"/>
  <c r="AM992" i="2" s="1"/>
  <c r="AM987" i="2"/>
  <c r="AM1020" i="2" s="1"/>
  <c r="AM1133" i="2" s="1"/>
  <c r="AM78" i="16" s="1"/>
  <c r="AM1007" i="2"/>
  <c r="AM1097" i="2"/>
  <c r="AM1100" i="2" s="1"/>
  <c r="AM1102" i="2" s="1"/>
  <c r="AM79" i="14"/>
  <c r="AN1011" i="2"/>
  <c r="AN63" i="16"/>
  <c r="AN1101" i="2"/>
  <c r="AN114" i="14"/>
  <c r="AN115" i="14" s="1"/>
  <c r="AN978" i="2"/>
  <c r="AN979" i="2" s="1"/>
  <c r="AN984" i="2" s="1"/>
  <c r="AL1104" i="2"/>
  <c r="AL75" i="16"/>
  <c r="AL1019" i="2"/>
  <c r="AL153" i="17"/>
  <c r="AL51" i="16"/>
  <c r="AL52" i="16" s="1"/>
  <c r="AO971" i="2"/>
  <c r="AO969" i="2"/>
  <c r="AP965" i="2" s="1"/>
  <c r="AP966" i="2" s="1"/>
  <c r="AM47" i="16" l="1"/>
  <c r="AM1010" i="2"/>
  <c r="AM151" i="17" s="1"/>
  <c r="AM149" i="17"/>
  <c r="AM70" i="16"/>
  <c r="AM71" i="16" s="1"/>
  <c r="AN1018" i="2"/>
  <c r="AN1131" i="2" s="1"/>
  <c r="AN76" i="16" s="1"/>
  <c r="AN50" i="16"/>
  <c r="AN152" i="17"/>
  <c r="AN68" i="16"/>
  <c r="AN64" i="16"/>
  <c r="AN65" i="16" s="1"/>
  <c r="AN983" i="2"/>
  <c r="AN985" i="2" s="1"/>
  <c r="AN990" i="2" s="1"/>
  <c r="AN992" i="2" s="1"/>
  <c r="AL1132" i="2"/>
  <c r="AL1022" i="2"/>
  <c r="AL1027" i="2" s="1"/>
  <c r="AL1028" i="2" s="1"/>
  <c r="AP968" i="2"/>
  <c r="AP971" i="2" s="1"/>
  <c r="AO978" i="2"/>
  <c r="AO979" i="2" s="1"/>
  <c r="AO984" i="2" s="1"/>
  <c r="AO114" i="14"/>
  <c r="AO115" i="14" s="1"/>
  <c r="AO63" i="16"/>
  <c r="AO1101" i="2"/>
  <c r="AO1011" i="2"/>
  <c r="AM49" i="16" l="1"/>
  <c r="AM1012" i="2"/>
  <c r="AM51" i="16" s="1"/>
  <c r="AM52" i="16" s="1"/>
  <c r="AM1017" i="2"/>
  <c r="AM1130" i="2" s="1"/>
  <c r="AM75" i="16" s="1"/>
  <c r="AN1007" i="2"/>
  <c r="AN1010" i="2" s="1"/>
  <c r="AN1097" i="2"/>
  <c r="AN1100" i="2" s="1"/>
  <c r="AN1102" i="2" s="1"/>
  <c r="AN69" i="16"/>
  <c r="AN79" i="14"/>
  <c r="AN987" i="2"/>
  <c r="AL1136" i="2"/>
  <c r="AL77" i="16"/>
  <c r="AO983" i="2"/>
  <c r="AO68" i="16"/>
  <c r="AO64" i="16"/>
  <c r="AO65" i="16" s="1"/>
  <c r="AP114" i="14"/>
  <c r="AP115" i="14" s="1"/>
  <c r="AP1101" i="2"/>
  <c r="AP63" i="16"/>
  <c r="AP978" i="2"/>
  <c r="AP979" i="2" s="1"/>
  <c r="AP984" i="2" s="1"/>
  <c r="AP1011" i="2"/>
  <c r="AP969" i="2"/>
  <c r="AQ965" i="2" s="1"/>
  <c r="AQ966" i="2" s="1"/>
  <c r="AO1018" i="2"/>
  <c r="AO1131" i="2" s="1"/>
  <c r="AO76" i="16" s="1"/>
  <c r="AO50" i="16"/>
  <c r="AO152" i="17"/>
  <c r="AO987" i="2" l="1"/>
  <c r="AO70" i="16" s="1"/>
  <c r="AO985" i="2"/>
  <c r="AO990" i="2" s="1"/>
  <c r="AO992" i="2" s="1"/>
  <c r="AM153" i="17"/>
  <c r="AM1019" i="2"/>
  <c r="AM1022" i="2" s="1"/>
  <c r="AM1027" i="2" s="1"/>
  <c r="AM1028" i="2" s="1"/>
  <c r="AM1104" i="2"/>
  <c r="AN1020" i="2"/>
  <c r="AN1133" i="2" s="1"/>
  <c r="AN78" i="16" s="1"/>
  <c r="AN70" i="16"/>
  <c r="AN71" i="16" s="1"/>
  <c r="AN149" i="17"/>
  <c r="AN47" i="16"/>
  <c r="AP983" i="2"/>
  <c r="AP985" i="2" s="1"/>
  <c r="AP990" i="2" s="1"/>
  <c r="AP992" i="2" s="1"/>
  <c r="AP68" i="16"/>
  <c r="AP64" i="16"/>
  <c r="AP65" i="16" s="1"/>
  <c r="AQ968" i="2"/>
  <c r="AQ971" i="2" s="1"/>
  <c r="AP50" i="16"/>
  <c r="AP152" i="17"/>
  <c r="AP1018" i="2"/>
  <c r="AP1131" i="2" s="1"/>
  <c r="AP76" i="16" s="1"/>
  <c r="AO79" i="14"/>
  <c r="AO69" i="16"/>
  <c r="AO1007" i="2"/>
  <c r="AO1010" i="2" s="1"/>
  <c r="AO1097" i="2"/>
  <c r="AO1100" i="2" s="1"/>
  <c r="AO1020" i="2" l="1"/>
  <c r="AO1133" i="2" s="1"/>
  <c r="AO78" i="16" s="1"/>
  <c r="AM1132" i="2"/>
  <c r="AM77" i="16" s="1"/>
  <c r="AN1017" i="2"/>
  <c r="AN1130" i="2" s="1"/>
  <c r="AN49" i="16"/>
  <c r="AN151" i="17"/>
  <c r="AN1012" i="2"/>
  <c r="AQ969" i="2"/>
  <c r="AR965" i="2" s="1"/>
  <c r="AO71" i="16"/>
  <c r="AP79" i="14"/>
  <c r="AP69" i="16"/>
  <c r="AP1007" i="2"/>
  <c r="AP1010" i="2" s="1"/>
  <c r="AP1097" i="2"/>
  <c r="AP1100" i="2" s="1"/>
  <c r="AO149" i="17"/>
  <c r="AO47" i="16"/>
  <c r="AQ114" i="14"/>
  <c r="AQ115" i="14" s="1"/>
  <c r="AQ1101" i="2"/>
  <c r="AQ978" i="2"/>
  <c r="AQ979" i="2" s="1"/>
  <c r="AQ984" i="2" s="1"/>
  <c r="AQ63" i="16"/>
  <c r="AQ1011" i="2"/>
  <c r="AO1102" i="2"/>
  <c r="AP987" i="2"/>
  <c r="AM1136" i="2" l="1"/>
  <c r="AN51" i="16"/>
  <c r="AN52" i="16" s="1"/>
  <c r="AN153" i="17"/>
  <c r="AN1019" i="2"/>
  <c r="AN1104" i="2"/>
  <c r="AN75" i="16"/>
  <c r="AR966" i="2"/>
  <c r="AQ983" i="2"/>
  <c r="AQ985" i="2" s="1"/>
  <c r="AQ990" i="2" s="1"/>
  <c r="AQ992" i="2" s="1"/>
  <c r="AQ64" i="16"/>
  <c r="AQ65" i="16" s="1"/>
  <c r="AQ68" i="16"/>
  <c r="AP47" i="16"/>
  <c r="AP149" i="17"/>
  <c r="AP70" i="16"/>
  <c r="AP71" i="16" s="1"/>
  <c r="AP1020" i="2"/>
  <c r="AP1133" i="2" s="1"/>
  <c r="AP78" i="16" s="1"/>
  <c r="AO1012" i="2"/>
  <c r="AO151" i="17"/>
  <c r="AO49" i="16"/>
  <c r="AO1017" i="2"/>
  <c r="AO1130" i="2" s="1"/>
  <c r="AP1102" i="2"/>
  <c r="AQ50" i="16"/>
  <c r="AQ1018" i="2"/>
  <c r="AQ1131" i="2" s="1"/>
  <c r="AQ76" i="16" s="1"/>
  <c r="AQ152" i="17"/>
  <c r="AR968" i="2" l="1"/>
  <c r="AR971" i="2" s="1"/>
  <c r="AN1132" i="2"/>
  <c r="AN1022" i="2"/>
  <c r="AN1027" i="2" s="1"/>
  <c r="AN1028" i="2" s="1"/>
  <c r="AQ69" i="16"/>
  <c r="AQ79" i="14"/>
  <c r="AQ1097" i="2"/>
  <c r="AQ1100" i="2" s="1"/>
  <c r="AQ1007" i="2"/>
  <c r="AQ1010" i="2" s="1"/>
  <c r="AP49" i="16"/>
  <c r="AP1012" i="2"/>
  <c r="AP151" i="17"/>
  <c r="AP1017" i="2"/>
  <c r="AP1130" i="2" s="1"/>
  <c r="AQ987" i="2"/>
  <c r="AO75" i="16"/>
  <c r="AO1104" i="2"/>
  <c r="AO51" i="16"/>
  <c r="AO52" i="16" s="1"/>
  <c r="AO1019" i="2"/>
  <c r="AO153" i="17"/>
  <c r="AN77" i="16" l="1"/>
  <c r="AN1136" i="2"/>
  <c r="AR63" i="16"/>
  <c r="AR1101" i="2"/>
  <c r="AR978" i="2"/>
  <c r="AR979" i="2" s="1"/>
  <c r="AR984" i="2" s="1"/>
  <c r="AR1011" i="2"/>
  <c r="AR114" i="14"/>
  <c r="AR115" i="14" s="1"/>
  <c r="AR969" i="2"/>
  <c r="AS965" i="2" s="1"/>
  <c r="AP75" i="16"/>
  <c r="AP1104" i="2"/>
  <c r="AP51" i="16"/>
  <c r="AP52" i="16" s="1"/>
  <c r="AP153" i="17"/>
  <c r="AP1019" i="2"/>
  <c r="AQ47" i="16"/>
  <c r="AQ149" i="17"/>
  <c r="AQ1102" i="2"/>
  <c r="AO1132" i="2"/>
  <c r="AO1022" i="2"/>
  <c r="AO1027" i="2" s="1"/>
  <c r="AO1028" i="2" s="1"/>
  <c r="AQ1020" i="2"/>
  <c r="AQ1133" i="2" s="1"/>
  <c r="AQ78" i="16" s="1"/>
  <c r="AQ70" i="16"/>
  <c r="AQ71" i="16" s="1"/>
  <c r="AS966" i="2" l="1"/>
  <c r="AS968" i="2" s="1"/>
  <c r="AS969" i="2" s="1"/>
  <c r="AR50" i="16"/>
  <c r="AR152" i="17"/>
  <c r="AR1018" i="2"/>
  <c r="AR1131" i="2" s="1"/>
  <c r="AR76" i="16" s="1"/>
  <c r="AR64" i="16"/>
  <c r="AR65" i="16" s="1"/>
  <c r="AR68" i="16"/>
  <c r="AR983" i="2"/>
  <c r="AR985" i="2" s="1"/>
  <c r="AR990" i="2" s="1"/>
  <c r="AR992" i="2" s="1"/>
  <c r="AO77" i="16"/>
  <c r="AO1136" i="2"/>
  <c r="AP1132" i="2"/>
  <c r="AP1022" i="2"/>
  <c r="AP1027" i="2" s="1"/>
  <c r="AP1028" i="2" s="1"/>
  <c r="AQ1017" i="2"/>
  <c r="AQ1130" i="2" s="1"/>
  <c r="AQ49" i="16"/>
  <c r="AQ151" i="17"/>
  <c r="AQ1012" i="2"/>
  <c r="J968" i="2" l="1"/>
  <c r="AS971" i="2"/>
  <c r="I968" i="2"/>
  <c r="AR1097" i="2"/>
  <c r="AR1100" i="2" s="1"/>
  <c r="AR1102" i="2" s="1"/>
  <c r="AR987" i="2"/>
  <c r="AR79" i="14"/>
  <c r="AR1007" i="2"/>
  <c r="AR1010" i="2" s="1"/>
  <c r="AR69" i="16"/>
  <c r="J966" i="2"/>
  <c r="I966" i="2"/>
  <c r="AQ51" i="16"/>
  <c r="AQ52" i="16" s="1"/>
  <c r="AQ153" i="17"/>
  <c r="AQ1019" i="2"/>
  <c r="AQ75" i="16"/>
  <c r="AQ1104" i="2"/>
  <c r="AP1136" i="2"/>
  <c r="AP77" i="16"/>
  <c r="AR149" i="17" l="1"/>
  <c r="AR47" i="16"/>
  <c r="AR70" i="16"/>
  <c r="AR71" i="16" s="1"/>
  <c r="AR1020" i="2"/>
  <c r="AR1133" i="2" s="1"/>
  <c r="AR78" i="16" s="1"/>
  <c r="AS978" i="2"/>
  <c r="AS979" i="2" s="1"/>
  <c r="AS984" i="2" s="1"/>
  <c r="I984" i="2" s="1"/>
  <c r="AS1101" i="2"/>
  <c r="AS63" i="16"/>
  <c r="I971" i="2"/>
  <c r="AS114" i="14"/>
  <c r="AS115" i="14" s="1"/>
  <c r="AS1011" i="2"/>
  <c r="AQ1022" i="2"/>
  <c r="AQ1027" i="2" s="1"/>
  <c r="AQ1028" i="2" s="1"/>
  <c r="AQ1132" i="2"/>
  <c r="K1192" i="2" l="1"/>
  <c r="M1192" i="2" a="1"/>
  <c r="M1192" i="2" s="1"/>
  <c r="N1192" i="2" a="1"/>
  <c r="N1192" i="2" s="1"/>
  <c r="D59" i="11" s="1"/>
  <c r="L1192" i="2" a="1"/>
  <c r="L1192" i="2" s="1"/>
  <c r="G1124" i="2"/>
  <c r="D162" i="18" s="1"/>
  <c r="AS64" i="16"/>
  <c r="AS65" i="16" s="1"/>
  <c r="F65" i="16" s="1"/>
  <c r="F87" i="16" s="1"/>
  <c r="AS68" i="16"/>
  <c r="I979" i="2"/>
  <c r="AS983" i="2"/>
  <c r="AS985" i="2" s="1"/>
  <c r="AS152" i="17"/>
  <c r="AS1018" i="2"/>
  <c r="AS1131" i="2" s="1"/>
  <c r="AS50" i="16"/>
  <c r="I115" i="14"/>
  <c r="J115" i="14"/>
  <c r="AR49" i="16"/>
  <c r="AR151" i="17"/>
  <c r="AR1012" i="2"/>
  <c r="AR1017" i="2"/>
  <c r="AR1130" i="2" s="1"/>
  <c r="I114" i="14"/>
  <c r="I1011" i="2"/>
  <c r="I978" i="2"/>
  <c r="I1101" i="2"/>
  <c r="I63" i="16"/>
  <c r="AQ77" i="16"/>
  <c r="AQ1136" i="2"/>
  <c r="I985" i="2" l="1"/>
  <c r="I990" i="2" s="1"/>
  <c r="AS990" i="2"/>
  <c r="AS992" i="2" s="1"/>
  <c r="I64" i="16"/>
  <c r="I68" i="16"/>
  <c r="I1018" i="2"/>
  <c r="I1131" i="2" s="1"/>
  <c r="I76" i="16" s="1"/>
  <c r="I152" i="17"/>
  <c r="I50" i="16"/>
  <c r="M1214" i="2"/>
  <c r="AS76" i="16"/>
  <c r="N1201" i="2" a="1"/>
  <c r="N1201" i="2" s="1"/>
  <c r="D35" i="11" s="1"/>
  <c r="F39" i="15" s="1"/>
  <c r="J39" i="15" s="1"/>
  <c r="I39" i="15" s="1"/>
  <c r="L1201" i="2" a="1"/>
  <c r="L1201" i="2" s="1"/>
  <c r="L1214" i="2"/>
  <c r="N1214" i="2"/>
  <c r="E35" i="11" s="1"/>
  <c r="F50" i="15" s="1"/>
  <c r="J50" i="15" s="1"/>
  <c r="I50" i="15" s="1"/>
  <c r="K1201" i="2"/>
  <c r="M1201" i="2" a="1"/>
  <c r="M1201" i="2" s="1"/>
  <c r="D13" i="11"/>
  <c r="F70" i="15"/>
  <c r="J70" i="15" s="1"/>
  <c r="I70" i="15" s="1"/>
  <c r="AR75" i="16"/>
  <c r="AR1104" i="2"/>
  <c r="AR153" i="17"/>
  <c r="AR51" i="16"/>
  <c r="AR52" i="16" s="1"/>
  <c r="AR1019" i="2"/>
  <c r="AS69" i="16"/>
  <c r="AS987" i="2"/>
  <c r="I983" i="2"/>
  <c r="AS79" i="14"/>
  <c r="AS1097" i="2"/>
  <c r="AS1007" i="2"/>
  <c r="AS1010" i="2" s="1"/>
  <c r="I992" i="2" l="1"/>
  <c r="F993" i="2"/>
  <c r="P26" i="22" s="1"/>
  <c r="I987" i="2"/>
  <c r="AS70" i="16"/>
  <c r="AS71" i="16" s="1"/>
  <c r="F71" i="16" s="1"/>
  <c r="F88" i="16" s="1"/>
  <c r="AS1020" i="2"/>
  <c r="AS1133" i="2" s="1"/>
  <c r="AR1132" i="2"/>
  <c r="AR1022" i="2"/>
  <c r="AR1027" i="2" s="1"/>
  <c r="AR1028" i="2" s="1"/>
  <c r="AS149" i="17"/>
  <c r="AS47" i="16"/>
  <c r="I1097" i="2"/>
  <c r="I79" i="14"/>
  <c r="I1007" i="2"/>
  <c r="I69" i="16"/>
  <c r="L1188" i="2" a="1"/>
  <c r="L1188" i="2" s="1"/>
  <c r="AS1100" i="2"/>
  <c r="N1188" i="2" a="1"/>
  <c r="N1188" i="2" s="1"/>
  <c r="D55" i="11" s="1"/>
  <c r="F67" i="15" s="1"/>
  <c r="J67" i="15" s="1"/>
  <c r="I67" i="15" s="1"/>
  <c r="M1188" i="2" a="1"/>
  <c r="M1188" i="2" s="1"/>
  <c r="K1188" i="2"/>
  <c r="G1120" i="2"/>
  <c r="D158" i="18" s="1"/>
  <c r="I1010" i="2" l="1"/>
  <c r="AS1017" i="2"/>
  <c r="AS1130" i="2" s="1"/>
  <c r="AS1012" i="2"/>
  <c r="AS49" i="16"/>
  <c r="AS151" i="17"/>
  <c r="I1100" i="2"/>
  <c r="M1191" i="2" a="1"/>
  <c r="M1191" i="2" s="1"/>
  <c r="M1208" i="2" s="1"/>
  <c r="AS1102" i="2"/>
  <c r="N1191" i="2" a="1"/>
  <c r="N1191" i="2" s="1"/>
  <c r="N1208" i="2" s="1"/>
  <c r="L1191" i="2" a="1"/>
  <c r="L1191" i="2" s="1"/>
  <c r="L1208" i="2" s="1"/>
  <c r="G1123" i="2"/>
  <c r="D161" i="18" s="1"/>
  <c r="K1191" i="2"/>
  <c r="AR77" i="16"/>
  <c r="AR1136" i="2"/>
  <c r="I47" i="16"/>
  <c r="I149" i="17"/>
  <c r="N1203" i="2" a="1"/>
  <c r="N1203" i="2" s="1"/>
  <c r="D37" i="11" s="1"/>
  <c r="F41" i="15" s="1"/>
  <c r="J41" i="15" s="1"/>
  <c r="I41" i="15" s="1"/>
  <c r="AS78" i="16"/>
  <c r="L1216" i="2"/>
  <c r="L1203" i="2" a="1"/>
  <c r="L1203" i="2" s="1"/>
  <c r="M1203" i="2" a="1"/>
  <c r="M1203" i="2" s="1"/>
  <c r="M1216" i="2"/>
  <c r="N1216" i="2"/>
  <c r="E37" i="11" s="1"/>
  <c r="K1203" i="2"/>
  <c r="I1020" i="2"/>
  <c r="I1133" i="2" s="1"/>
  <c r="I78" i="16" s="1"/>
  <c r="I70" i="16"/>
  <c r="D58" i="11" l="1"/>
  <c r="F69" i="15" s="1"/>
  <c r="J69" i="15" s="1"/>
  <c r="I69" i="15" s="1"/>
  <c r="D41" i="11"/>
  <c r="N1193" i="2" a="1"/>
  <c r="N1193" i="2" s="1"/>
  <c r="D60" i="11" s="1"/>
  <c r="F71" i="15" s="1"/>
  <c r="J71" i="15" s="1"/>
  <c r="I71" i="15" s="1"/>
  <c r="M1193" i="2" a="1"/>
  <c r="M1193" i="2" s="1"/>
  <c r="I1102" i="2"/>
  <c r="L1193" i="2" a="1"/>
  <c r="L1193" i="2" s="1"/>
  <c r="G1125" i="2"/>
  <c r="D163" i="18" s="1"/>
  <c r="D113" i="18" s="1" a="1"/>
  <c r="D113" i="18" s="1"/>
  <c r="G114" i="18" s="1"/>
  <c r="K1193" i="2"/>
  <c r="D17" i="11"/>
  <c r="F52" i="15"/>
  <c r="J52" i="15" s="1"/>
  <c r="I52" i="15" s="1"/>
  <c r="AS51" i="16"/>
  <c r="AS153" i="17"/>
  <c r="AS1019" i="2"/>
  <c r="I1012" i="2"/>
  <c r="AS75" i="16"/>
  <c r="K1200" i="2"/>
  <c r="N1200" i="2" a="1"/>
  <c r="N1200" i="2" s="1"/>
  <c r="AS1104" i="2"/>
  <c r="F1104" i="2" s="1"/>
  <c r="F1231" i="2" s="1"/>
  <c r="M1213" i="2"/>
  <c r="N1213" i="2"/>
  <c r="L1213" i="2"/>
  <c r="L1200" i="2" a="1"/>
  <c r="L1200" i="2" s="1"/>
  <c r="L1210" i="2" s="1"/>
  <c r="M1200" i="2" a="1"/>
  <c r="M1200" i="2" s="1"/>
  <c r="I49" i="16"/>
  <c r="I151" i="17"/>
  <c r="I1017" i="2"/>
  <c r="I1130" i="2" s="1"/>
  <c r="I75" i="16" s="1"/>
  <c r="AS52" i="16" l="1"/>
  <c r="F52" i="16" s="1"/>
  <c r="F85" i="16" s="1"/>
  <c r="F90" i="16" s="1"/>
  <c r="F77" i="15" s="1"/>
  <c r="J77" i="15" s="1"/>
  <c r="I77" i="15" s="1"/>
  <c r="D101" i="18" a="1"/>
  <c r="D101" i="18" s="1"/>
  <c r="G102" i="18" s="1"/>
  <c r="D107" i="18" a="1"/>
  <c r="D107" i="18" s="1"/>
  <c r="G108" i="18" s="1"/>
  <c r="D118" i="18" a="1"/>
  <c r="D118" i="18" s="1"/>
  <c r="G119" i="18" s="1"/>
  <c r="F44" i="15"/>
  <c r="D15" i="11"/>
  <c r="D12" i="11"/>
  <c r="D14" i="11" s="1"/>
  <c r="N1210" i="2"/>
  <c r="D43" i="11" s="1"/>
  <c r="F46" i="15" s="1"/>
  <c r="J46" i="15" s="1"/>
  <c r="I46" i="15" s="1"/>
  <c r="D34" i="11"/>
  <c r="F38" i="15" s="1"/>
  <c r="J38" i="15" s="1"/>
  <c r="I38" i="15" s="1"/>
  <c r="N1209" i="2"/>
  <c r="D42" i="11" s="1"/>
  <c r="F45" i="15" s="1"/>
  <c r="J45" i="15" s="1"/>
  <c r="I45" i="15" s="1"/>
  <c r="N1206" i="2"/>
  <c r="D40" i="11" s="1"/>
  <c r="K1209" i="2"/>
  <c r="K1210" i="2"/>
  <c r="K1206" i="2"/>
  <c r="M1209" i="2"/>
  <c r="M1210" i="2"/>
  <c r="M1206" i="2"/>
  <c r="L1209" i="2"/>
  <c r="L1206" i="2"/>
  <c r="I153" i="17"/>
  <c r="I51" i="16"/>
  <c r="I1019" i="2"/>
  <c r="I1132" i="2" s="1"/>
  <c r="I77" i="16" s="1"/>
  <c r="L1222" i="2"/>
  <c r="L1219" i="2"/>
  <c r="L1221" i="2"/>
  <c r="AS1022" i="2"/>
  <c r="AS1132" i="2"/>
  <c r="N1221" i="2"/>
  <c r="E42" i="11" s="1"/>
  <c r="F55" i="15" s="1"/>
  <c r="J55" i="15" s="1"/>
  <c r="I55" i="15" s="1"/>
  <c r="N1222" i="2"/>
  <c r="E43" i="11" s="1"/>
  <c r="F56" i="15" s="1"/>
  <c r="J56" i="15" s="1"/>
  <c r="I56" i="15" s="1"/>
  <c r="N1219" i="2"/>
  <c r="E40" i="11" s="1"/>
  <c r="E34" i="11"/>
  <c r="F49" i="15" s="1"/>
  <c r="J49" i="15" s="1"/>
  <c r="I49" i="15" s="1"/>
  <c r="M1221" i="2"/>
  <c r="M1222" i="2"/>
  <c r="M1219" i="2"/>
  <c r="L1215" i="2" l="1"/>
  <c r="M1202" i="2" a="1"/>
  <c r="M1202" i="2" s="1"/>
  <c r="M1195" i="2" s="1"/>
  <c r="N1215" i="2"/>
  <c r="E36" i="11" s="1"/>
  <c r="F51" i="15" s="1"/>
  <c r="J51" i="15" s="1"/>
  <c r="I51" i="15" s="1"/>
  <c r="AS1136" i="2"/>
  <c r="F1136" i="2" s="1"/>
  <c r="F1232" i="2" s="1"/>
  <c r="K1202" i="2"/>
  <c r="K1195" i="2" s="1"/>
  <c r="L1202" i="2" a="1"/>
  <c r="L1202" i="2" s="1"/>
  <c r="L1195" i="2" s="1"/>
  <c r="N1202" i="2" a="1"/>
  <c r="N1202" i="2" s="1"/>
  <c r="AS77" i="16"/>
  <c r="M1215" i="2"/>
  <c r="F1206" i="2"/>
  <c r="F1234" i="2" s="1"/>
  <c r="AS1027" i="2"/>
  <c r="AS1028" i="2" s="1"/>
  <c r="F1028" i="2" s="1"/>
  <c r="F1229" i="2" s="1"/>
  <c r="I1022" i="2"/>
  <c r="D69" i="11"/>
  <c r="F1219" i="2"/>
  <c r="F1235" i="2" s="1"/>
  <c r="D36" i="11" l="1"/>
  <c r="N1195" i="2"/>
  <c r="F1195" i="2" s="1"/>
  <c r="F1233" i="2" s="1"/>
  <c r="F1237" i="2" s="1"/>
  <c r="F78" i="15" s="1"/>
  <c r="J78" i="15" s="1"/>
  <c r="I78" i="15" s="1"/>
  <c r="F40" i="15" l="1"/>
  <c r="J40" i="15" s="1"/>
  <c r="I40" i="15" s="1"/>
  <c r="D61" i="11"/>
  <c r="D70" i="11" s="1"/>
  <c r="D72" i="11" s="1"/>
  <c r="F76" i="15" s="1"/>
  <c r="F80" i="15" l="1"/>
  <c r="M2" i="11" s="1"/>
  <c r="J76" i="15"/>
  <c r="I76" i="15" s="1"/>
  <c r="F3" i="15" s="1"/>
  <c r="C3" i="18" l="1"/>
  <c r="M3" i="11"/>
  <c r="F3" i="17"/>
  <c r="F3" i="2"/>
  <c r="F3" i="14"/>
  <c r="F3" i="9" s="1"/>
  <c r="F3" i="16"/>
  <c r="F2" i="17"/>
  <c r="F2" i="16"/>
  <c r="F2" i="15"/>
  <c r="F2" i="14"/>
  <c r="F2" i="9"/>
  <c r="F2" i="2"/>
  <c r="F2" i="4"/>
  <c r="J80" i="15"/>
  <c r="I80" i="15" s="1"/>
  <c r="C2" i="18"/>
  <c r="F3" i="10" l="1"/>
  <c r="F3" i="7" s="1"/>
  <c r="F3" i="8"/>
  <c r="F3" i="4"/>
  <c r="F2" i="8"/>
  <c r="F2" i="7"/>
  <c r="F2" i="10"/>
  <c r="I27" i="22" l="1"/>
  <c r="I26" i="22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AD171" authorId="0" shapeId="0" xr:uid="{690F3C8F-2B88-4A8B-BBEC-0C54EB26382A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eyeballed avge 2025 LME price to date. To update</t>
        </r>
      </text>
    </comment>
  </commentList>
</comment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<sst xmlns="http://schemas.openxmlformats.org/spreadsheetml/2006/main" count="2833" uniqueCount="1168">
  <si>
    <t>Error chks</t>
  </si>
  <si>
    <t>Track chgs</t>
  </si>
  <si>
    <t>Actual</t>
  </si>
  <si>
    <t>Forecast</t>
  </si>
  <si>
    <t>Constant</t>
  </si>
  <si>
    <t>Units</t>
  </si>
  <si>
    <t>Source / Comments</t>
  </si>
  <si>
    <t>Subject</t>
  </si>
  <si>
    <t>Source Note</t>
  </si>
  <si>
    <t>Source Note (in Roman)</t>
  </si>
  <si>
    <t>Source</t>
  </si>
  <si>
    <t>Page</t>
  </si>
  <si>
    <t>Comments</t>
  </si>
  <si>
    <t>Hyperlink</t>
  </si>
  <si>
    <t>Discussion</t>
  </si>
  <si>
    <t>Multi-year mine production statistics</t>
  </si>
  <si>
    <t>Ministry of Mining</t>
  </si>
  <si>
    <t>Ministry of Mining Access Database</t>
  </si>
  <si>
    <t>Global Commodity Price File</t>
  </si>
  <si>
    <t>"LME Cu" sheet, Derived from KME Copper Trading</t>
  </si>
  <si>
    <t>https://drive.google.com/file/d/1KbnkjA1oTHUDlzlAB16U0qADPtBLKndD/view?usp=drive_link</t>
  </si>
  <si>
    <t>"Comex_Cu_M" sheet, Derived from Macrotrends</t>
  </si>
  <si>
    <t>"Comex_Fut_M" sheet, Derived from Investing.com</t>
  </si>
  <si>
    <t>"DRC CB Cob" sheet, Derived from Banque Centrale website</t>
  </si>
  <si>
    <t>"Cu IMF" sheet, derived from IMF Commodity Portal</t>
  </si>
  <si>
    <t>Time</t>
  </si>
  <si>
    <t>Model first year</t>
  </si>
  <si>
    <t>year</t>
  </si>
  <si>
    <t>Model calendar year</t>
  </si>
  <si>
    <t>Model end of year</t>
  </si>
  <si>
    <t>model column</t>
  </si>
  <si>
    <t>#</t>
  </si>
  <si>
    <t>Convert  lb / tonnes</t>
  </si>
  <si>
    <t>lb / tonne</t>
  </si>
  <si>
    <t>%</t>
  </si>
  <si>
    <t>MT</t>
  </si>
  <si>
    <t>Production</t>
  </si>
  <si>
    <t>tonnes pa</t>
  </si>
  <si>
    <t>tonnes</t>
  </si>
  <si>
    <t>Prices and reported revenues</t>
  </si>
  <si>
    <t>Capital Expenditure</t>
  </si>
  <si>
    <t>Operating Expenditure</t>
  </si>
  <si>
    <t>Copper</t>
  </si>
  <si>
    <t>Cobalt</t>
  </si>
  <si>
    <t>MODEL TECHNICAL INPUTS - DO NOT CHANGE</t>
  </si>
  <si>
    <t>Units in thousand</t>
  </si>
  <si>
    <t>thousand</t>
  </si>
  <si>
    <t>Units in million</t>
  </si>
  <si>
    <t>mn</t>
  </si>
  <si>
    <t>Model check tolerance level</t>
  </si>
  <si>
    <t>tolerance</t>
  </si>
  <si>
    <t>Model track tolerance level</t>
  </si>
  <si>
    <t>% model check tolerance level</t>
  </si>
  <si>
    <t xml:space="preserve"> </t>
  </si>
  <si>
    <t>Production days per year</t>
  </si>
  <si>
    <t>days</t>
  </si>
  <si>
    <t>Standard Monetary Unit</t>
  </si>
  <si>
    <t>USD</t>
  </si>
  <si>
    <t>name</t>
  </si>
  <si>
    <t xml:space="preserve">Standard Monetary Unit </t>
  </si>
  <si>
    <t>USD (mn)</t>
  </si>
  <si>
    <t>https://drive.google.com/file/d/1OzCsq8__T_l2W0nNZaBrVAnx72Q19Gu7/view?usp=drive_link</t>
  </si>
  <si>
    <t>2017 - 2020 figures missing</t>
  </si>
  <si>
    <t>Copper cathode exports (MoM)</t>
  </si>
  <si>
    <t>Total copper (MoM)</t>
  </si>
  <si>
    <t>Cobalt (MoM)</t>
  </si>
  <si>
    <t>Zijin website [June 2022]</t>
  </si>
  <si>
    <t>Copper reserves</t>
  </si>
  <si>
    <t>Copper average grade</t>
  </si>
  <si>
    <t>Cobalt average grade</t>
  </si>
  <si>
    <t>Zijin website [Sept 2023]</t>
  </si>
  <si>
    <t>https://www.zijinmining.com/investor/2024-newyeji.htm</t>
  </si>
  <si>
    <t>https://www.zijinmining.com/investor/2023-newyeji.htm</t>
  </si>
  <si>
    <t>https://www.zijinmining.com/investor/newyeji.htm</t>
  </si>
  <si>
    <t>https://www.zijinmining.com/investor/2021yeji.htm</t>
  </si>
  <si>
    <t>Zijin website Kolwezi page</t>
  </si>
  <si>
    <t>https://www.zijinmining.com/global/program-detail-71736.htm, https://web.archive.org/web/20230922003459/https://www.zijinmining.com/global/program-detail-71736.htm, https://web.archive.org/web/20220629060205/https://www.zijinmining.com/global/program-detail-71736.htm</t>
  </si>
  <si>
    <t>Zijin website 2024 performance</t>
  </si>
  <si>
    <t>Zijin website 2023 performance</t>
  </si>
  <si>
    <t>Zijin website 2022 performance</t>
  </si>
  <si>
    <t>Zijin website 2021 performance</t>
  </si>
  <si>
    <t>Future capital costs</t>
  </si>
  <si>
    <t>RMB</t>
  </si>
  <si>
    <t>Resources and reserves</t>
  </si>
  <si>
    <t>Zijin website [2021 Performance/  2021 Annual Report]</t>
  </si>
  <si>
    <t>Zijin annual reports</t>
  </si>
  <si>
    <t>Copper cathode (Zijin annual reports)</t>
  </si>
  <si>
    <t>Cobalt (Zijin annual reports)</t>
  </si>
  <si>
    <t>Production capacity</t>
  </si>
  <si>
    <t>Copper production capacity</t>
  </si>
  <si>
    <t>Cobalt production capacity</t>
  </si>
  <si>
    <t>Copper total (Zijin annual results)</t>
  </si>
  <si>
    <t>Copper cathode (Zijin annual results)</t>
  </si>
  <si>
    <t>Royalties</t>
  </si>
  <si>
    <t>Historic taxes</t>
  </si>
  <si>
    <t>2024 RMB to USD exchange rate</t>
  </si>
  <si>
    <t>RMB/USD</t>
  </si>
  <si>
    <t>RMB/USD exchange rate</t>
  </si>
  <si>
    <t>Planned copper production (in year previously)</t>
  </si>
  <si>
    <t>Planned cobalt production (in year previously)</t>
  </si>
  <si>
    <t>Planned copper production average</t>
  </si>
  <si>
    <t>Planned cobalt production average</t>
  </si>
  <si>
    <t>Future capital costs (at end June 2024)</t>
  </si>
  <si>
    <t>Operating expenses 2022</t>
  </si>
  <si>
    <t>Sub-contractors (external services)</t>
  </si>
  <si>
    <t>Total copper (EITI data)</t>
  </si>
  <si>
    <t>Copper cathode (EITI data)</t>
  </si>
  <si>
    <t>Cobalt (EITI data)</t>
  </si>
  <si>
    <t>Congo mines data</t>
  </si>
  <si>
    <t>Cobalt revenue</t>
  </si>
  <si>
    <t>Cobalt royalty rate</t>
  </si>
  <si>
    <t>Total copper revenue</t>
  </si>
  <si>
    <t>Copper concentrate (EITI data)</t>
  </si>
  <si>
    <t>Copper black (EITI data)</t>
  </si>
  <si>
    <t>Copper matt (EITI data)</t>
  </si>
  <si>
    <t>Total copper (CongoMines data)</t>
  </si>
  <si>
    <t>Copper cathode (CongoMines data)</t>
  </si>
  <si>
    <t>Copper concentrate (CongoMines data)</t>
  </si>
  <si>
    <t>Copper black (CongoMines data)</t>
  </si>
  <si>
    <t>Copper matt (CongoMinesdata)</t>
  </si>
  <si>
    <t>Cobalt hydroxide (CongoMines data)</t>
  </si>
  <si>
    <t>2014-2023, 2024 Annual Results</t>
  </si>
  <si>
    <t>2025 forecast copper production</t>
  </si>
  <si>
    <t>2025 forecast cobalt production</t>
  </si>
  <si>
    <t>years</t>
  </si>
  <si>
    <t>Life of Mine (as of end 2024)</t>
  </si>
  <si>
    <t>Copper resources</t>
  </si>
  <si>
    <t>Copper resources average grade</t>
  </si>
  <si>
    <t>Copper reserves average grade</t>
  </si>
  <si>
    <t>Copper (resources) 2026 onwards annual production</t>
  </si>
  <si>
    <t>Cobalt (resources) 2026 onwards annual production</t>
  </si>
  <si>
    <t>Copper cathode to total copper (2020 onwards)</t>
  </si>
  <si>
    <t>Copper (reserves) 2026 onwards annual production</t>
  </si>
  <si>
    <t>Zijin [April 2025/ 2023 Annual report]</t>
  </si>
  <si>
    <t>Zijin [2024 Annual Results]</t>
  </si>
  <si>
    <t>Zijin [Annual Report 2014]</t>
  </si>
  <si>
    <t>Cobalt resources</t>
  </si>
  <si>
    <t>Capex 2015</t>
  </si>
  <si>
    <t>Capex 2016</t>
  </si>
  <si>
    <t>Total capex by end 2018</t>
  </si>
  <si>
    <t>RMB billions</t>
  </si>
  <si>
    <t>Capex 2017 and 2018</t>
  </si>
  <si>
    <t>Capex 2019</t>
  </si>
  <si>
    <t>Kolwezi project</t>
  </si>
  <si>
    <t>COMMUS project</t>
  </si>
  <si>
    <t>Kolwezi capex (RMB)</t>
  </si>
  <si>
    <t>Kolwezi capex</t>
  </si>
  <si>
    <t>COMMUS capex</t>
  </si>
  <si>
    <t>COMMUS capex (RMB)</t>
  </si>
  <si>
    <t>Total capex</t>
  </si>
  <si>
    <t>Initial capex</t>
  </si>
  <si>
    <t>Total assets at June 2014 prior to purchase by Zijin</t>
  </si>
  <si>
    <t>Proposed Acquisition of 51% Shareholding in COMMUS</t>
  </si>
  <si>
    <t>Other copper [not cathode]</t>
  </si>
  <si>
    <t>https://www.imf.org/en/Research/commodity-prices</t>
  </si>
  <si>
    <t>IMF commodity historic price</t>
  </si>
  <si>
    <t>Other copper to copper price ratio</t>
  </si>
  <si>
    <t>Copper cathode to copper price ratio</t>
  </si>
  <si>
    <t>Copper cathode to copper benchmark ratio</t>
  </si>
  <si>
    <t>Other copper to copper benchmark ratio</t>
  </si>
  <si>
    <t>flag</t>
  </si>
  <si>
    <t>Total historic copper production (Zijin annual reports)</t>
  </si>
  <si>
    <t>Copper production: historic + forecast</t>
  </si>
  <si>
    <t>2020 onwards flag</t>
  </si>
  <si>
    <t>Total copper</t>
  </si>
  <si>
    <t>Copper cathode</t>
  </si>
  <si>
    <t>Copper cathode forecast</t>
  </si>
  <si>
    <t>2025 onwards flag</t>
  </si>
  <si>
    <t>Copper cathode production: historic + forecast</t>
  </si>
  <si>
    <t>Other copper</t>
  </si>
  <si>
    <t>Other copper production: historic + forecast</t>
  </si>
  <si>
    <t>Constructed historic cobalt production</t>
  </si>
  <si>
    <t>Cobalt production: historic + forecast</t>
  </si>
  <si>
    <t>https://www.investing.com/commodities/cobalt-historical-data</t>
  </si>
  <si>
    <t>Cobalt historic prices</t>
  </si>
  <si>
    <t>Cobalt forecast price</t>
  </si>
  <si>
    <t>Cobalt forecast prices</t>
  </si>
  <si>
    <t>https://tradingeconomics.com/commodity/cobalt</t>
  </si>
  <si>
    <t>Total revenue</t>
  </si>
  <si>
    <t>Rates</t>
  </si>
  <si>
    <t>Copper royalty pre-2018 Mining Code</t>
  </si>
  <si>
    <t>Copper royalty post-2018 Mining Code</t>
  </si>
  <si>
    <t>2018 flag</t>
  </si>
  <si>
    <t>2018 royalty rate</t>
  </si>
  <si>
    <t>Pre 2018 royalty rate</t>
  </si>
  <si>
    <t>Post 2018 royalty rate</t>
  </si>
  <si>
    <t>Pre 2018 flag</t>
  </si>
  <si>
    <t>Post 2018 flag</t>
  </si>
  <si>
    <t>Copper royalty rate</t>
  </si>
  <si>
    <t>2018 onwards flag</t>
  </si>
  <si>
    <t>Copper calculated royalty</t>
  </si>
  <si>
    <t>Cobalt calculated royalty</t>
  </si>
  <si>
    <t>Total royalty</t>
  </si>
  <si>
    <t>Benchmark ratios</t>
  </si>
  <si>
    <t>Operating costs</t>
  </si>
  <si>
    <t>Opex unit cost</t>
  </si>
  <si>
    <t>Unit cost 2022</t>
  </si>
  <si>
    <t>Total production</t>
  </si>
  <si>
    <t>Total production 2022</t>
  </si>
  <si>
    <t>Development capex</t>
  </si>
  <si>
    <t>Total development capex</t>
  </si>
  <si>
    <t>Aggregate capex</t>
  </si>
  <si>
    <t>Production year</t>
  </si>
  <si>
    <t>Production years</t>
  </si>
  <si>
    <t>Production year cumulative</t>
  </si>
  <si>
    <t>Capital allowance (2015-2017)</t>
  </si>
  <si>
    <t>First year allowance</t>
  </si>
  <si>
    <t>Declining balance thereafter</t>
  </si>
  <si>
    <t>https://leganet.cd/Legislation/Droit%20economique/Code%20Minier/cd-codeminier.pdf</t>
  </si>
  <si>
    <t>Article 249</t>
  </si>
  <si>
    <t>Old first year capital allowance</t>
  </si>
  <si>
    <t>DB: opening balance</t>
  </si>
  <si>
    <t>DB: additions</t>
  </si>
  <si>
    <t>DB: first year allowance</t>
  </si>
  <si>
    <t>DB: amortization remainder</t>
  </si>
  <si>
    <t>DB: closing balance</t>
  </si>
  <si>
    <t>Capital allowance (2018+)</t>
  </si>
  <si>
    <t>Capital allowance years</t>
  </si>
  <si>
    <t>Base for depreciation BEG</t>
  </si>
  <si>
    <t>Capital costs into depreciation calculation</t>
  </si>
  <si>
    <t>Capital costs fully depreciated</t>
  </si>
  <si>
    <t>Base for depreciation END</t>
  </si>
  <si>
    <t>Capital allowance deduction 2018+</t>
  </si>
  <si>
    <t>Assessable income</t>
  </si>
  <si>
    <t>Deductions</t>
  </si>
  <si>
    <t>Total deductions</t>
  </si>
  <si>
    <t>Taxable income before losses</t>
  </si>
  <si>
    <t>Losses brought forward</t>
  </si>
  <si>
    <t>Taxable income after losses</t>
  </si>
  <si>
    <t>CIT rate</t>
  </si>
  <si>
    <t>CIT payable</t>
  </si>
  <si>
    <t>Cashflow after tax</t>
  </si>
  <si>
    <t>Gecamines share of project pre 2024</t>
  </si>
  <si>
    <t>Gecamines share of project post 2024</t>
  </si>
  <si>
    <t>Gecamines share of capex</t>
  </si>
  <si>
    <t>Gecamines share of project</t>
  </si>
  <si>
    <t>Gecamines share of dividends</t>
  </si>
  <si>
    <t>Zijin share of project cashflows</t>
  </si>
  <si>
    <t>Zijin net cashflows</t>
  </si>
  <si>
    <t>Dividend withholding tax</t>
  </si>
  <si>
    <t>https://drive.google.com/file/d/1-WFN0pMjh-QOiPF27wHR3alSun3vEqt6/view?usp=drive_link</t>
  </si>
  <si>
    <t>2018 Mining Code (english)</t>
  </si>
  <si>
    <t>Article 246 for Dividend WHT rate</t>
  </si>
  <si>
    <t>Zijin final cashflows</t>
  </si>
  <si>
    <t>Life of project cashflows</t>
  </si>
  <si>
    <t>Government revenues</t>
  </si>
  <si>
    <t>check: life of project cashflows</t>
  </si>
  <si>
    <t>AETR undiscounted</t>
  </si>
  <si>
    <t>IRR</t>
  </si>
  <si>
    <t>Net Present Value</t>
  </si>
  <si>
    <t>Discount factor</t>
  </si>
  <si>
    <t>Discount rate</t>
  </si>
  <si>
    <t>factor</t>
  </si>
  <si>
    <t>NPV label</t>
  </si>
  <si>
    <t>label</t>
  </si>
  <si>
    <t xml:space="preserve">AETR NPV </t>
  </si>
  <si>
    <t>EITI 2019-20, 2020-21, 2022 reports</t>
  </si>
  <si>
    <t>EITI reports</t>
  </si>
  <si>
    <t>https://drive.google.com/file/d/1zZNAJjpQVCpyfZ60ADflVlYikCZCBHJp/view?usp=drive_link , https://drive.google.com/file/d/1VjfXcMp5uo7Y9Lf48i959TJuUdmc6wW4/view?usp=drive_link , https://drive.google.com/file/d/1O9SGqUhwlJVytfyFjEFzggj8DKo6uoPA/view?usp=drive_link</t>
  </si>
  <si>
    <t>https://drive.google.com/file/d/11MKgSHdcDMoO6aKSDLXZTe7ByMWCic92/view?usp=drive_link</t>
  </si>
  <si>
    <t>https://drive.google.com/drive/folders/1AP5l7brreAImnxNxYKJ1ACR5ruVFrPAR?usp=drive_link</t>
  </si>
  <si>
    <t>https://drive.google.com/file/d/1acgOf_gu5P4NKngfUx6VoiFMh3rdHRVK/view?usp=drive_link</t>
  </si>
  <si>
    <t>https://drive.google.com/file/d/1mkyMn_ETxnGRquTUADlD_NRemvXZjSBg/view?usp=drive_link</t>
  </si>
  <si>
    <t>EITI fiscal payments</t>
  </si>
  <si>
    <t>Future capex</t>
  </si>
  <si>
    <t>Annual future capital costs</t>
  </si>
  <si>
    <t>https://docs.google.com/spreadsheets/d/15p_FH1FX15mGqfy-HsV0N7aZcp1vR_GT5r9PKbpJkLw/edit?usp=drive_link</t>
  </si>
  <si>
    <t>https://drive.google.com/drive/folders/17oki8G8Vmo45rzShhMDmcW7ZetjbbETX?usp=drive_link</t>
  </si>
  <si>
    <t>2025 onwards copper production</t>
  </si>
  <si>
    <t>Cobalt 2025 onwards annual production</t>
  </si>
  <si>
    <t>Copper royalty 2018 average rate</t>
  </si>
  <si>
    <t>2002 Mining Code</t>
  </si>
  <si>
    <t>https://drive.google.com/file/d/17WHverCLef8_VEt29b79k6DddrgRFoIU/view?usp=drive_link</t>
  </si>
  <si>
    <t>Capital allowances</t>
  </si>
  <si>
    <t>Payable rate</t>
  </si>
  <si>
    <t>https://drive.google.com/file/d/1iGSo1zWx-mD1FaeMFQS9ppss_Som0xcB/view?usp=drive_link</t>
  </si>
  <si>
    <t>Somidez cobalt purchase agreement</t>
  </si>
  <si>
    <t>Cobalt grade</t>
  </si>
  <si>
    <t>Base for government royalties</t>
  </si>
  <si>
    <t>Cost option</t>
  </si>
  <si>
    <t>selected</t>
  </si>
  <si>
    <t>Unit cost</t>
  </si>
  <si>
    <t>option</t>
  </si>
  <si>
    <t>Operating costs (unit cost)</t>
  </si>
  <si>
    <t>Somidez copper purchase agreement</t>
  </si>
  <si>
    <t>https://drive.google.com/file/d/15zIZUZZ3R_BnIYOTD-HrOYBCElQMt3ZR/view</t>
  </si>
  <si>
    <t>Level 2 discount</t>
  </si>
  <si>
    <t>$/tonne</t>
  </si>
  <si>
    <t>REVENUE</t>
  </si>
  <si>
    <t>PRODUCTION</t>
  </si>
  <si>
    <t>ROYALTIES</t>
  </si>
  <si>
    <t>OPERATING COSTS</t>
  </si>
  <si>
    <t>CAPITAL COSTS</t>
  </si>
  <si>
    <t>CORPORATE INCOME TAX</t>
  </si>
  <si>
    <t>CASHFLOWS AFTER TAX</t>
  </si>
  <si>
    <t>GECAMINES PARTICIPATION</t>
  </si>
  <si>
    <t>CASHFLOWS &amp; NPV</t>
  </si>
  <si>
    <t>COPPER PRICING</t>
  </si>
  <si>
    <t>COBALT PRICING</t>
  </si>
  <si>
    <t>SOM_Contract</t>
  </si>
  <si>
    <t>Copper realized price options</t>
  </si>
  <si>
    <t>Total copper realized price</t>
  </si>
  <si>
    <t>Cobalt realized price</t>
  </si>
  <si>
    <t>Other copper: calculated price</t>
  </si>
  <si>
    <t>Other copper: realized &amp; calculated price</t>
  </si>
  <si>
    <t>Other copper: realized price</t>
  </si>
  <si>
    <t>Copper cathode: revenue</t>
  </si>
  <si>
    <t>Copper cathode: realized price</t>
  </si>
  <si>
    <t>Copper concentrate: revenue</t>
  </si>
  <si>
    <t>Copper concentrate: realized price</t>
  </si>
  <si>
    <t>Copper black: revenue</t>
  </si>
  <si>
    <t>Copper black: realized price</t>
  </si>
  <si>
    <t>Copper matt: revenue</t>
  </si>
  <si>
    <t>Copper matt: realized price</t>
  </si>
  <si>
    <t>Other copper: revenue</t>
  </si>
  <si>
    <t>Copper cathode: realized &amp; calculated price</t>
  </si>
  <si>
    <t>Copper cathode: calculated price</t>
  </si>
  <si>
    <t>IMF WEO April 2024 Copper, grade A cathode, LME spot price, CIF European ports,</t>
  </si>
  <si>
    <t>to add, from WEO file</t>
  </si>
  <si>
    <t>top</t>
  </si>
  <si>
    <t>bottom</t>
  </si>
  <si>
    <t>$ / tonne</t>
  </si>
  <si>
    <t>IMF Cobalt Spot Price (PCOBA)</t>
  </si>
  <si>
    <t>Payable Rate Discount</t>
  </si>
  <si>
    <t>Cobalt price: payable</t>
  </si>
  <si>
    <t>Freight charge applied to cobalt contained</t>
  </si>
  <si>
    <t>Cobalt mean grade</t>
  </si>
  <si>
    <t>Freight charge per tonne of cobalt contained</t>
  </si>
  <si>
    <t>Cobalt reaized price after freight charge</t>
  </si>
  <si>
    <t>Marketing fee</t>
  </si>
  <si>
    <t>Third party marketing charges</t>
  </si>
  <si>
    <t>Cobalt realized price options</t>
  </si>
  <si>
    <t>COMMUS Feasibility Study</t>
  </si>
  <si>
    <t>DEBT FINANCING</t>
  </si>
  <si>
    <t>Financing by borrowing</t>
  </si>
  <si>
    <t>Self financing</t>
  </si>
  <si>
    <t>Loan amount</t>
  </si>
  <si>
    <t>Interest rate on loan</t>
  </si>
  <si>
    <t>Percentage of loan interest free</t>
  </si>
  <si>
    <t>JIN Cheng loan 2017</t>
  </si>
  <si>
    <t>JIN Cheng loan 2017 interest rate</t>
  </si>
  <si>
    <t>Loans</t>
  </si>
  <si>
    <t>Gold Mountains loan 2018</t>
  </si>
  <si>
    <t>Percentage of loan repayable at interest rate</t>
  </si>
  <si>
    <t>JIN Cheng loan 2018</t>
  </si>
  <si>
    <t>Loan balance: BEG</t>
  </si>
  <si>
    <t>$ mn</t>
  </si>
  <si>
    <t>Interest charge</t>
  </si>
  <si>
    <t>Repayments</t>
  </si>
  <si>
    <t>Loan balance: END</t>
  </si>
  <si>
    <t>Interest bearing drawdowns</t>
  </si>
  <si>
    <t>Self financing amount</t>
  </si>
  <si>
    <t>Interest free loan amount</t>
  </si>
  <si>
    <t>Interest bearing loan amount</t>
  </si>
  <si>
    <t>Construction investment</t>
  </si>
  <si>
    <t>Environment rehabilitation</t>
  </si>
  <si>
    <t>Blister copper</t>
  </si>
  <si>
    <t>Copper matt</t>
  </si>
  <si>
    <t>JIN Cheng loan 2017: drawdown</t>
  </si>
  <si>
    <t>Drawdown</t>
  </si>
  <si>
    <t>JIN Cheng loan 2018: drawdown</t>
  </si>
  <si>
    <t>JIN Cheng loan 2018: principal repayment</t>
  </si>
  <si>
    <t>JIN Cheng loan 2018: interest repayment</t>
  </si>
  <si>
    <t>JIN Cheng loan 2018: total repayment</t>
  </si>
  <si>
    <t>Gold Mountains loan 2018: drawdown</t>
  </si>
  <si>
    <t>Gold Mountains loan 2018: principal repayment</t>
  </si>
  <si>
    <t>Gold Mountains loan 2018: interest repayment</t>
  </si>
  <si>
    <t>Gold Mountains loan 2018: total repayment</t>
  </si>
  <si>
    <t>Interest charge: calculated</t>
  </si>
  <si>
    <t>Interest charge: FS</t>
  </si>
  <si>
    <t>Interest bearing loans: interest charge calculated</t>
  </si>
  <si>
    <t>Interest bearing loans: interest charge FS</t>
  </si>
  <si>
    <t>Personnel expenses</t>
  </si>
  <si>
    <t>Depreciation and R&amp;D expenses</t>
  </si>
  <si>
    <t>Asset depreciation</t>
  </si>
  <si>
    <t>Additional investment depreciation</t>
  </si>
  <si>
    <t>Production costs</t>
  </si>
  <si>
    <t>Selling costs</t>
  </si>
  <si>
    <t>Copper sulfide concentrates</t>
  </si>
  <si>
    <t>Copper oxide concentrates</t>
  </si>
  <si>
    <t>Prices</t>
  </si>
  <si>
    <t>Surface rights</t>
  </si>
  <si>
    <t>Entry fee</t>
  </si>
  <si>
    <t>Mining concession tax</t>
  </si>
  <si>
    <t>Royalties and Fees for export services</t>
  </si>
  <si>
    <t>Customs duties and other taxes</t>
  </si>
  <si>
    <t>IPR</t>
  </si>
  <si>
    <t>Other taxes</t>
  </si>
  <si>
    <t>Table 7.36</t>
  </si>
  <si>
    <t>CASHFLOWS BEFORE FISCAL REGIME</t>
  </si>
  <si>
    <t>Copper cathode: FS table</t>
  </si>
  <si>
    <t>Blister copper: FS table</t>
  </si>
  <si>
    <t>Copper matt: FS table</t>
  </si>
  <si>
    <t>Copper sulfide concentrates: FS table</t>
  </si>
  <si>
    <t>Copper oxide concentrates: FS table</t>
  </si>
  <si>
    <t>Cobalt: FS table</t>
  </si>
  <si>
    <t>Copper cathode: FS table sum</t>
  </si>
  <si>
    <t>Blister copper: FS table sum</t>
  </si>
  <si>
    <t>Copper matt: FS table sum</t>
  </si>
  <si>
    <t>Copper sulfide concentrates: FS table sum</t>
  </si>
  <si>
    <t>Copper oxide concentrates: FS table sum</t>
  </si>
  <si>
    <t>Cobalt: FS table sum</t>
  </si>
  <si>
    <t>Production totals</t>
  </si>
  <si>
    <t>Production inferred</t>
  </si>
  <si>
    <t>2024-2029 flag</t>
  </si>
  <si>
    <t>Copper cathode: interpolated</t>
  </si>
  <si>
    <t>Blister copper: interpolated</t>
  </si>
  <si>
    <t>Copper matt: interpolated</t>
  </si>
  <si>
    <t>Copper sulfide concentrates: interpolated</t>
  </si>
  <si>
    <t>Copper oxide concentrates: interpolated</t>
  </si>
  <si>
    <t>2024-2030 flag</t>
  </si>
  <si>
    <t>Cobalt: interpolated</t>
  </si>
  <si>
    <t>Production combined</t>
  </si>
  <si>
    <t>Total copper production</t>
  </si>
  <si>
    <t>Copper cathode price</t>
  </si>
  <si>
    <t>Blister copper price</t>
  </si>
  <si>
    <t>Copper matt price</t>
  </si>
  <si>
    <t>Copper sulfide concentrates price</t>
  </si>
  <si>
    <t>Copper oxide concentrates price</t>
  </si>
  <si>
    <t>Revenue: calculated</t>
  </si>
  <si>
    <t>Copper cathode revenue</t>
  </si>
  <si>
    <t>Blister copper revenue</t>
  </si>
  <si>
    <t>Copper matt revenue</t>
  </si>
  <si>
    <t>Copper sulfide concentrates revenue</t>
  </si>
  <si>
    <t>Copper oxide concentrates revenue</t>
  </si>
  <si>
    <t>Revenue: FS</t>
  </si>
  <si>
    <t>Production costs: FS table</t>
  </si>
  <si>
    <t>Personnel expenses: FS table</t>
  </si>
  <si>
    <t>Selling costs: FS table</t>
  </si>
  <si>
    <t>Production costs: FS table sum</t>
  </si>
  <si>
    <t>Personnel expenses: FS table sum</t>
  </si>
  <si>
    <t>Selling costs: FS table sum</t>
  </si>
  <si>
    <t>Operating costs totals</t>
  </si>
  <si>
    <t>Operating costs inferred</t>
  </si>
  <si>
    <t>Production costs: interpolated</t>
  </si>
  <si>
    <t>Personnel expenses: interpolated</t>
  </si>
  <si>
    <t>Selling costs: interpolated</t>
  </si>
  <si>
    <t>Production costs adjusted for fiscal instruments</t>
  </si>
  <si>
    <t>Production costs adjusted</t>
  </si>
  <si>
    <t>Operating costs combined</t>
  </si>
  <si>
    <t>Capital costs</t>
  </si>
  <si>
    <t>Cashflows before fiscal regime</t>
  </si>
  <si>
    <t>Cashflow before fiscal regime</t>
  </si>
  <si>
    <t>For comparison with FS</t>
  </si>
  <si>
    <t>Cashflow before tax (incl royalties + fees)</t>
  </si>
  <si>
    <t>Cashflow before tax: FS</t>
  </si>
  <si>
    <t>Project cashflows before fiscal regime NPV</t>
  </si>
  <si>
    <t>USD mn NPV8</t>
  </si>
  <si>
    <t>Project cashflows before fiscal regime IRR</t>
  </si>
  <si>
    <t>Total government royalty: FS</t>
  </si>
  <si>
    <t>Capital allowance (pre 2018)</t>
  </si>
  <si>
    <t>Pre 2018 capital costs</t>
  </si>
  <si>
    <t>Cumulative capital costs pre 2018</t>
  </si>
  <si>
    <t>Cumulative capital costs in first year of production</t>
  </si>
  <si>
    <t>Capital costs after first production year</t>
  </si>
  <si>
    <t>Capital costs into calculation</t>
  </si>
  <si>
    <t>Capital allowance 2014-2017</t>
  </si>
  <si>
    <t>Capital costs 2018 onwards</t>
  </si>
  <si>
    <t>Total capital allowance</t>
  </si>
  <si>
    <t>Table 7.27: Income statement</t>
  </si>
  <si>
    <t>Depreciation and amortisation</t>
  </si>
  <si>
    <t>Table 7.27: Cashflow statement</t>
  </si>
  <si>
    <t>Taxable income</t>
  </si>
  <si>
    <t>JIN Cheng loan 2017: principal repayment</t>
  </si>
  <si>
    <t>Drawdowns</t>
  </si>
  <si>
    <t>Total drawdowns</t>
  </si>
  <si>
    <t>Interest repayments</t>
  </si>
  <si>
    <t>Total interest repayments</t>
  </si>
  <si>
    <t>Principal repayments</t>
  </si>
  <si>
    <t>Total principal repayments</t>
  </si>
  <si>
    <t>Total repayments</t>
  </si>
  <si>
    <t>JIN Cheng 2018 loan: interest charge calculated</t>
  </si>
  <si>
    <t>Gold Mountains 2018 loan: interest charge calculated</t>
  </si>
  <si>
    <t>Cashflow after loan</t>
  </si>
  <si>
    <t>Dividend WHT rate</t>
  </si>
  <si>
    <t>Project net cashflows before fiscal regime IRR</t>
  </si>
  <si>
    <t>Government revenues IRR</t>
  </si>
  <si>
    <t>Zijin final cashflows IRR</t>
  </si>
  <si>
    <t>Project net cashflows before fiscal regime NPV</t>
  </si>
  <si>
    <t>Government revenues NPV</t>
  </si>
  <si>
    <t>Zijin final cashflows NPV</t>
  </si>
  <si>
    <t>Copper cathode: FS totals</t>
  </si>
  <si>
    <t>Blister copper: FS totals</t>
  </si>
  <si>
    <t>Copper matt: FS totals</t>
  </si>
  <si>
    <t>Copper sulfide concentrates: FS totals</t>
  </si>
  <si>
    <t>Copper oxide concentrates: FS totals</t>
  </si>
  <si>
    <t>Cobalt: FS totals</t>
  </si>
  <si>
    <t>$ /tCu</t>
  </si>
  <si>
    <t>$ /lbCo</t>
  </si>
  <si>
    <t>Revenue</t>
  </si>
  <si>
    <t>END</t>
  </si>
  <si>
    <t>first draft model</t>
  </si>
  <si>
    <t>MODEL INFORMATION</t>
  </si>
  <si>
    <t>Model name</t>
  </si>
  <si>
    <t>Model date</t>
  </si>
  <si>
    <t>ECONOMIC ASSUMPTIONS</t>
  </si>
  <si>
    <t>USD CPI beyond IMF WEO</t>
  </si>
  <si>
    <t>SENSITIVITIES</t>
  </si>
  <si>
    <t>COMMUS Copper Mine</t>
  </si>
  <si>
    <t>Copper forecast price</t>
  </si>
  <si>
    <t>IMF_WEO</t>
  </si>
  <si>
    <t>option selected</t>
  </si>
  <si>
    <t>Cu realized price method</t>
  </si>
  <si>
    <t>Co realized price method</t>
  </si>
  <si>
    <t xml:space="preserve">Forecast / point forward year </t>
  </si>
  <si>
    <t>Copper production sensitivity (forecast period)</t>
  </si>
  <si>
    <t>Cobalt production sensitivity (forecast period)</t>
  </si>
  <si>
    <t>Operating cost Sensitivity (forecast period)</t>
  </si>
  <si>
    <t>Capital cost sensitivity (forecast period)</t>
  </si>
  <si>
    <t>check</t>
  </si>
  <si>
    <t>undiscounted</t>
  </si>
  <si>
    <t>NPV</t>
  </si>
  <si>
    <t>Government revenue check</t>
  </si>
  <si>
    <t>SECTION</t>
  </si>
  <si>
    <t>PRICES</t>
  </si>
  <si>
    <t>FISCAL REGIME</t>
  </si>
  <si>
    <t>Tax amortization</t>
  </si>
  <si>
    <t>Corporate income tax</t>
  </si>
  <si>
    <t>Cu + Co private royalty deductible</t>
  </si>
  <si>
    <t>Selected</t>
  </si>
  <si>
    <t>Withholding taxes</t>
  </si>
  <si>
    <t>Interest withholding tax</t>
  </si>
  <si>
    <t>Debt financing</t>
  </si>
  <si>
    <t>Gecamines</t>
  </si>
  <si>
    <t>CHECKS</t>
  </si>
  <si>
    <t>sheet checks</t>
  </si>
  <si>
    <t>INFLATION</t>
  </si>
  <si>
    <t>US Inflation, average consumer prices</t>
  </si>
  <si>
    <t>index</t>
  </si>
  <si>
    <t>SENSITIVITY FACTORS</t>
  </si>
  <si>
    <t>2022 Feasibility Study</t>
  </si>
  <si>
    <t>Table 7.26</t>
  </si>
  <si>
    <t>Table 7.24</t>
  </si>
  <si>
    <t>Table 7.31</t>
  </si>
  <si>
    <t>Table 7.30</t>
  </si>
  <si>
    <t>Table 7.29</t>
  </si>
  <si>
    <t>Table 7.35</t>
  </si>
  <si>
    <t>Costs</t>
  </si>
  <si>
    <t>Copper production: FS</t>
  </si>
  <si>
    <t>Production - Table 7.36</t>
  </si>
  <si>
    <t>2023-24 flag</t>
  </si>
  <si>
    <t>2023, 2024 copper cathode</t>
  </si>
  <si>
    <t>Cobalt production: FS</t>
  </si>
  <si>
    <t>2023, 2024 cobalt</t>
  </si>
  <si>
    <t>Cobalt: FS (updated)</t>
  </si>
  <si>
    <t>Copper cathode: FS (updated)</t>
  </si>
  <si>
    <t>Copper price: FS</t>
  </si>
  <si>
    <t>Copper price FS ratio</t>
  </si>
  <si>
    <t>Copper price FS ratio average</t>
  </si>
  <si>
    <t>2017-2021 flag</t>
  </si>
  <si>
    <t>Cobalt: FS price</t>
  </si>
  <si>
    <t>Cobalt price: FS payable</t>
  </si>
  <si>
    <t>FS</t>
  </si>
  <si>
    <t>Original</t>
  </si>
  <si>
    <t>Copper revenue: FS</t>
  </si>
  <si>
    <t>DATA CHOICES</t>
  </si>
  <si>
    <t>Yes</t>
  </si>
  <si>
    <t>Operating costs: FS</t>
  </si>
  <si>
    <t>Operating costs: Original</t>
  </si>
  <si>
    <t>Capital costs: FS</t>
  </si>
  <si>
    <t>Depreciation: FS</t>
  </si>
  <si>
    <t>Feasibilty Study Table 7.27: Cashflow statement</t>
  </si>
  <si>
    <t>Capital costs: Original</t>
  </si>
  <si>
    <t>Baseline</t>
  </si>
  <si>
    <t>&lt;= Compare live results to</t>
  </si>
  <si>
    <t>Difference</t>
  </si>
  <si>
    <t>DASHBOARD PARAMETERS AND RESULTS</t>
  </si>
  <si>
    <t>Dashboard parameters</t>
  </si>
  <si>
    <t>Purpose of this sheet is to save a set of baseline results so that the model can be confirmed to be / brought back to baseline, or changes in results over time can be documented.
Process for creating a new saved case:</t>
  </si>
  <si>
    <t>1. Select column M</t>
  </si>
  <si>
    <t>2. Copy column M and immediately Right click insert copied cells. This duplicates the existing saved results set</t>
  </si>
  <si>
    <t xml:space="preserve">3. Now copy the live results from column F </t>
  </si>
  <si>
    <t>4. Paste as values over the newly created duplicate saved results</t>
  </si>
  <si>
    <t>5. Rename the new saved results case in row 4</t>
  </si>
  <si>
    <t>7. Additional results and/or parameters can be added to results set</t>
  </si>
  <si>
    <t>Sheet Checks</t>
  </si>
  <si>
    <t>Master checks</t>
  </si>
  <si>
    <t>Date</t>
  </si>
  <si>
    <t>File</t>
  </si>
  <si>
    <t>KT Cu</t>
  </si>
  <si>
    <t>KT Co</t>
  </si>
  <si>
    <t>Ratio Co to Cu production</t>
  </si>
  <si>
    <t>ratio</t>
  </si>
  <si>
    <t>Project costs</t>
  </si>
  <si>
    <t>Project cashflows before fiscal regime</t>
  </si>
  <si>
    <t>Government share: excluding Gecamines</t>
  </si>
  <si>
    <t>Government share: including Gecamines</t>
  </si>
  <si>
    <t>Tax calculation</t>
  </si>
  <si>
    <t>Deductibility</t>
  </si>
  <si>
    <t>No</t>
  </si>
  <si>
    <t>Capital costs &amp; depreciation into model</t>
  </si>
  <si>
    <t>Interest withholding tax applicable</t>
  </si>
  <si>
    <t>Loans from FS</t>
  </si>
  <si>
    <t>Reference Prices</t>
  </si>
  <si>
    <t>LME Copper Cash Settlement (Historic Actual)</t>
  </si>
  <si>
    <t>Comex Copper Spot Price</t>
  </si>
  <si>
    <t>IMF Copper Spot Price (PCOPP)</t>
  </si>
  <si>
    <t>World Bank CMO 2021 Forecast (nominal)</t>
  </si>
  <si>
    <t>World Bank CMO 2024 Forecast (nominal)</t>
  </si>
  <si>
    <t>Copper Price</t>
  </si>
  <si>
    <t>Alternative Cu forecast prices</t>
  </si>
  <si>
    <t>Fut_17Apr25</t>
  </si>
  <si>
    <t>$ / lb</t>
  </si>
  <si>
    <t>nominal</t>
  </si>
  <si>
    <t>Constant real terms Cu price forecast</t>
  </si>
  <si>
    <t>Constant real terms Co price forecast</t>
  </si>
  <si>
    <t>first</t>
  </si>
  <si>
    <t>ConstReal</t>
  </si>
  <si>
    <t>real</t>
  </si>
  <si>
    <t>Other2</t>
  </si>
  <si>
    <t>Other3</t>
  </si>
  <si>
    <t>last</t>
  </si>
  <si>
    <t>forecast basis</t>
  </si>
  <si>
    <t>Base year for real terms forecast</t>
  </si>
  <si>
    <t>Forecast prices start from</t>
  </si>
  <si>
    <t>Deflating price forecasts</t>
  </si>
  <si>
    <t xml:space="preserve">Inflation index at </t>
  </si>
  <si>
    <t>Cu price forecasts for real terms model</t>
  </si>
  <si>
    <t>Copper LME price: actual &amp; forecast</t>
  </si>
  <si>
    <t>Copper historic price</t>
  </si>
  <si>
    <t>Actual / reported Cu realized prices</t>
  </si>
  <si>
    <t>Ministry of Mining Estimated Realised Prices</t>
  </si>
  <si>
    <t>Combined realized Co prices</t>
  </si>
  <si>
    <t>Cu realized price using % LME</t>
  </si>
  <si>
    <t>Cu price using actual</t>
  </si>
  <si>
    <t>%LME(actual)</t>
  </si>
  <si>
    <t>Discount Realised Price to LME Copper Cash Settlement</t>
  </si>
  <si>
    <t>Average actual Realised Price vs LME</t>
  </si>
  <si>
    <t>Combined realized Cu prices</t>
  </si>
  <si>
    <t>Cu price using assumed % LME</t>
  </si>
  <si>
    <t>%LME(assumed)</t>
  </si>
  <si>
    <t>% LME</t>
  </si>
  <si>
    <t>Third Party Marketing Charges</t>
  </si>
  <si>
    <t>Copper realized price</t>
  </si>
  <si>
    <t>Cobalt LME price: actual &amp; forecast</t>
  </si>
  <si>
    <t>Cobalt LME historic price</t>
  </si>
  <si>
    <t>Cobalt LME forecast price</t>
  </si>
  <si>
    <t>Cobalt Price</t>
  </si>
  <si>
    <t>EITI payments data 2018-2021</t>
  </si>
  <si>
    <t>Ministy of Mining Realised Prices</t>
  </si>
  <si>
    <t>Comex Combalt Futures</t>
  </si>
  <si>
    <t>Banque Centrale de RDC</t>
  </si>
  <si>
    <t>Comparison of Cu / Co relationship</t>
  </si>
  <si>
    <t>Alternative Co forecast prices</t>
  </si>
  <si>
    <t>done by eye - to update</t>
  </si>
  <si>
    <t>Cobalt price as multiple of Cu price</t>
  </si>
  <si>
    <t>while model in const real terms</t>
  </si>
  <si>
    <t>Co price forecasts for real terms model</t>
  </si>
  <si>
    <t>Actual / reported Co realized prices</t>
  </si>
  <si>
    <t>Cobalt price using % LME</t>
  </si>
  <si>
    <t>Using actual realized price</t>
  </si>
  <si>
    <t>Actual realized price versus LME</t>
  </si>
  <si>
    <t>Realised Price versus LME Price</t>
  </si>
  <si>
    <t>Average Discount Realised Price - Benchmark</t>
  </si>
  <si>
    <t>Using assumed % LME</t>
  </si>
  <si>
    <t>Co price using SOMIDEZ contract terms</t>
  </si>
  <si>
    <t>Copper gross revenue</t>
  </si>
  <si>
    <t>Cobalt gross revenue</t>
  </si>
  <si>
    <t>Government revenues excl Gecamines participation</t>
  </si>
  <si>
    <t>Government revenues incl Gecamines</t>
  </si>
  <si>
    <t>Project cashflow before tax</t>
  </si>
  <si>
    <t>Participant cashflows</t>
  </si>
  <si>
    <t>Loan cashflows into model</t>
  </si>
  <si>
    <t>Net debt cashflows: borrower</t>
  </si>
  <si>
    <t>Borrower</t>
  </si>
  <si>
    <t>Lender</t>
  </si>
  <si>
    <t>Net debt cashflows: 3rd party lenders</t>
  </si>
  <si>
    <t>Price</t>
  </si>
  <si>
    <t>Total gross revenue</t>
  </si>
  <si>
    <t>Project cashflows</t>
  </si>
  <si>
    <t>Project cashflow after tax</t>
  </si>
  <si>
    <t>Debt</t>
  </si>
  <si>
    <t>Gecamines share of cashflow</t>
  </si>
  <si>
    <t>Zijin cashflows</t>
  </si>
  <si>
    <t>Chart title</t>
  </si>
  <si>
    <t>KT Cu and Co</t>
  </si>
  <si>
    <t>X-Axis</t>
  </si>
  <si>
    <t>Y-Axis</t>
  </si>
  <si>
    <t>COPPER AND COBALT PRICES</t>
  </si>
  <si>
    <t>USD / tonne Copper</t>
  </si>
  <si>
    <t>USD / tonne Cobalt</t>
  </si>
  <si>
    <t>second Y-Axis</t>
  </si>
  <si>
    <t>PROJECT CASHFLOWS</t>
  </si>
  <si>
    <t>GOVERNMENT REVENUES</t>
  </si>
  <si>
    <t>COPPER AND COBALT PRODUCTION</t>
  </si>
  <si>
    <t>IMPORT DUTIES</t>
  </si>
  <si>
    <t>PAYROLL TAXES</t>
  </si>
  <si>
    <t>ADDITIONAL TAX REVENUE</t>
  </si>
  <si>
    <t>EITI REPORTED REVENUES</t>
  </si>
  <si>
    <t>COMPARISON TO MODEL</t>
  </si>
  <si>
    <t>AMR-A (EITI)</t>
  </si>
  <si>
    <t>AMR-B (EITI)</t>
  </si>
  <si>
    <t>Dividendes SOC (EITI)</t>
  </si>
  <si>
    <t>IBP / ISF (EITI)</t>
  </si>
  <si>
    <t>IBP non-Resident (EITI)</t>
  </si>
  <si>
    <t>ICAI (EITI)</t>
  </si>
  <si>
    <t>Impôt mobilier (EITI)</t>
  </si>
  <si>
    <t>Impôt sur le profit Excédentaire (EITI)</t>
  </si>
  <si>
    <t>IPR / IER (EITI)</t>
  </si>
  <si>
    <t>Other (EITI)</t>
  </si>
  <si>
    <t>Royalties (EITI)</t>
  </si>
  <si>
    <t>Royalties - forex (EITI)</t>
  </si>
  <si>
    <t>Signature Bonus (EITI)</t>
  </si>
  <si>
    <t>Tax on concentrates (EITI)</t>
  </si>
  <si>
    <t>Taxes a l'Exportation (EITI)</t>
  </si>
  <si>
    <t>Taxes a l'Importation (EITI)</t>
  </si>
  <si>
    <t>difference</t>
  </si>
  <si>
    <t>CIT</t>
  </si>
  <si>
    <t>Total Corporate income tax per EITI</t>
  </si>
  <si>
    <t>DWT</t>
  </si>
  <si>
    <t>Import Duties</t>
  </si>
  <si>
    <t>SOC dividends</t>
  </si>
  <si>
    <t>Import duties</t>
  </si>
  <si>
    <t xml:space="preserve">Import duty paid </t>
  </si>
  <si>
    <t>Import duties as % costs</t>
  </si>
  <si>
    <t>I.D. % Opex</t>
  </si>
  <si>
    <t>I.D. % Capex</t>
  </si>
  <si>
    <t>I.D. % Total costs</t>
  </si>
  <si>
    <t>Comparison to EITI</t>
  </si>
  <si>
    <t>Import duties as % aggregate opex + capex</t>
  </si>
  <si>
    <t>Include Import Duties in forecast (1 = yes)</t>
  </si>
  <si>
    <t>Import duties: combined actual and forecast</t>
  </si>
  <si>
    <t>% aggregate costs</t>
  </si>
  <si>
    <t>Taxes on wages IPR</t>
  </si>
  <si>
    <t>IPR % opex</t>
  </si>
  <si>
    <t>Taxes on wages</t>
  </si>
  <si>
    <t>Payroll taxes as % of opex</t>
  </si>
  <si>
    <t xml:space="preserve"> %</t>
  </si>
  <si>
    <t>Include Payroll taxes in forecast (1 = yes)</t>
  </si>
  <si>
    <t>Last year of actual</t>
  </si>
  <si>
    <t>After first year of import duties</t>
  </si>
  <si>
    <t>Payroll taxes: combined actual and forecast</t>
  </si>
  <si>
    <t>% opex</t>
  </si>
  <si>
    <t>Payroll taxes (included in costs)</t>
  </si>
  <si>
    <t>Compared</t>
  </si>
  <si>
    <t>yes</t>
  </si>
  <si>
    <t>Import duties (included in costs)</t>
  </si>
  <si>
    <t>Additional govt revenues incl. in project costs</t>
  </si>
  <si>
    <t>ZIJIN CASHFLOWS</t>
  </si>
  <si>
    <t>GOVERNMENT CASHFLOWS</t>
  </si>
  <si>
    <t>Reconciling items: Govt revenues included in costs</t>
  </si>
  <si>
    <t>Participant net cashflows before reconciling items</t>
  </si>
  <si>
    <t>$mn</t>
  </si>
  <si>
    <t>Proportion Gecamines cashflows used to repay loan</t>
  </si>
  <si>
    <t>Potential Gecamines repayment</t>
  </si>
  <si>
    <t>Inferred Gecamines debt facility</t>
  </si>
  <si>
    <t>PROJECT CASHFLOWS BEFORE TAX</t>
  </si>
  <si>
    <t>SPECIAL TAX ON EXCESS PROFITS (EPT)</t>
  </si>
  <si>
    <t>Feasibility study inputs</t>
  </si>
  <si>
    <t>Gross operating surplus</t>
  </si>
  <si>
    <t>Table 7.27</t>
  </si>
  <si>
    <t>Gross operating surplus: sum</t>
  </si>
  <si>
    <t>Gross operating surplus: total</t>
  </si>
  <si>
    <t>Gross operating surplus: interpolated</t>
  </si>
  <si>
    <t>Gross operating surplus: FS</t>
  </si>
  <si>
    <t>For GOS calculation</t>
  </si>
  <si>
    <t>Copper revenue after royalty</t>
  </si>
  <si>
    <t>Cobalt revenue after royalty</t>
  </si>
  <si>
    <t>Total revenue after royalty</t>
  </si>
  <si>
    <t>Copper % of total revenue after royalty</t>
  </si>
  <si>
    <t>Cobalt % of total revenue after royalty</t>
  </si>
  <si>
    <t>Gross operating surplus: copper</t>
  </si>
  <si>
    <t>Gross operating surplus: cobalt</t>
  </si>
  <si>
    <t>Feasibility Study: Gross Operating Surplus</t>
  </si>
  <si>
    <t>Feasibility Study: prices</t>
  </si>
  <si>
    <t>Actual / forecast</t>
  </si>
  <si>
    <t>Actual / forecast prices</t>
  </si>
  <si>
    <t>Operating surplus</t>
  </si>
  <si>
    <t>Revenue after royalty</t>
  </si>
  <si>
    <t>Net operating surplus: aggregate</t>
  </si>
  <si>
    <t>Net operating surplus: Cu</t>
  </si>
  <si>
    <t>Net operating surplus: Co</t>
  </si>
  <si>
    <t>EPT calculation</t>
  </si>
  <si>
    <t>Ratio FS to actual prices</t>
  </si>
  <si>
    <t>Actual vs FS Cu</t>
  </si>
  <si>
    <t>Actual vs FS Co</t>
  </si>
  <si>
    <t>Cobalt price: FS</t>
  </si>
  <si>
    <t>Special Tax on Excess Profits (EPT)</t>
  </si>
  <si>
    <t>EPT price and operating surplus trigger</t>
  </si>
  <si>
    <t>EPT rate</t>
  </si>
  <si>
    <t>EPT price trigger: Cu</t>
  </si>
  <si>
    <t>EPT price trigger: Co</t>
  </si>
  <si>
    <t>FS operating surplus scaled</t>
  </si>
  <si>
    <t>Actual Operating surplus less scaled FS OS</t>
  </si>
  <si>
    <t>Act minus scaled OS: Cu</t>
  </si>
  <si>
    <t>Act minus scaled OS: Co</t>
  </si>
  <si>
    <t>Base for EPT</t>
  </si>
  <si>
    <t>Base for EPT deducted from CIT base</t>
  </si>
  <si>
    <t>EPT paid</t>
  </si>
  <si>
    <t>EPT paid: Cu</t>
  </si>
  <si>
    <t>EPT paid: Co</t>
  </si>
  <si>
    <t>Special Tax On Excess Profits</t>
  </si>
  <si>
    <t>Minimum income tax</t>
  </si>
  <si>
    <t>REALIZATION COSTS</t>
  </si>
  <si>
    <t>Deductions from revenues</t>
  </si>
  <si>
    <t>Apply selling costs FS23</t>
  </si>
  <si>
    <t>Copper revenue as % of total revenue</t>
  </si>
  <si>
    <t>Cobalt revenue as % of total revenue</t>
  </si>
  <si>
    <t>Selling costs: Copper</t>
  </si>
  <si>
    <t>Selling costs: Cobalt</t>
  </si>
  <si>
    <t>Net revenues</t>
  </si>
  <si>
    <t>Copper net revenue</t>
  </si>
  <si>
    <t>Cobalt net revenue</t>
  </si>
  <si>
    <t>Total net revenue</t>
  </si>
  <si>
    <t>Rate</t>
  </si>
  <si>
    <t>Base for royalty</t>
  </si>
  <si>
    <t>Straight line depreciation years (AVERAGE)</t>
  </si>
  <si>
    <t>Net</t>
  </si>
  <si>
    <t>Gross</t>
  </si>
  <si>
    <t>Options for royalty base</t>
  </si>
  <si>
    <t>Copper royalty base</t>
  </si>
  <si>
    <t>Copper: base for government royalty</t>
  </si>
  <si>
    <t>Copper net revenue after royalty</t>
  </si>
  <si>
    <t>Cobalt net revenue after royalty</t>
  </si>
  <si>
    <t>Total net revenue after royalty</t>
  </si>
  <si>
    <t>Check: net revenue</t>
  </si>
  <si>
    <t>CIT payable (before minimum income tax)</t>
  </si>
  <si>
    <t>% of turnover</t>
  </si>
  <si>
    <t>CIT paid</t>
  </si>
  <si>
    <t>Total costs</t>
  </si>
  <si>
    <t>CASHFLOWS AFTER DEBT</t>
  </si>
  <si>
    <t>Gecamines carry loan opening balance</t>
  </si>
  <si>
    <t>Opening balance Gecamines loan year</t>
  </si>
  <si>
    <t>Apply opening balance on Gecamines loan</t>
  </si>
  <si>
    <t>Apply interest on Gecamines loan</t>
  </si>
  <si>
    <t>Opening balance</t>
  </si>
  <si>
    <t>add</t>
  </si>
  <si>
    <t>interest charge</t>
  </si>
  <si>
    <t>drawdowns</t>
  </si>
  <si>
    <t>less</t>
  </si>
  <si>
    <t>repayments</t>
  </si>
  <si>
    <t>Closing balance</t>
  </si>
  <si>
    <t>Cashflow after debt</t>
  </si>
  <si>
    <t>Gecamines share of cashflows after repaying loan</t>
  </si>
  <si>
    <t>Gecamines share of cashflows after tax</t>
  </si>
  <si>
    <t>6. Track sheet will show differences between live results and saved case selected at E4</t>
  </si>
  <si>
    <t>Switchover to 2018 MC SL depreciation method</t>
  </si>
  <si>
    <t>DB depreciation charge</t>
  </si>
  <si>
    <t>Straight line depreciation under 2018 MC</t>
  </si>
  <si>
    <t>Transfer remaining balance to SL depreciation</t>
  </si>
  <si>
    <t>Switchover to SL depreciation</t>
  </si>
  <si>
    <t>Capex into SL depreciation</t>
  </si>
  <si>
    <t>Last year of copper production</t>
  </si>
  <si>
    <t>Cost base for SL depreciation: BEG</t>
  </si>
  <si>
    <t>Capex fully depreciated</t>
  </si>
  <si>
    <t>Cost base for depreciation: END</t>
  </si>
  <si>
    <t>SL Depreciation charge</t>
  </si>
  <si>
    <t>Asset WDV: BEG</t>
  </si>
  <si>
    <t>Last year write off</t>
  </si>
  <si>
    <t>Asset WDV: END</t>
  </si>
  <si>
    <t>SL depreciation charge incl. last year w/off</t>
  </si>
  <si>
    <t>Total depreciation charge</t>
  </si>
  <si>
    <t>Check: government revenues to participant cashflows</t>
  </si>
  <si>
    <t>RECONCILIATION</t>
  </si>
  <si>
    <t>Net participant cashflows reconciliation</t>
  </si>
  <si>
    <t>Check: project cashflows to participant cashflows</t>
  </si>
  <si>
    <t>Check: participant cashflows for NPV</t>
  </si>
  <si>
    <t>Cashflow time periods and discount factors</t>
  </si>
  <si>
    <t>Time period 1 (start of year)</t>
  </si>
  <si>
    <t>Time period 2 (start of year)</t>
  </si>
  <si>
    <t>Time period 1</t>
  </si>
  <si>
    <t>Time period 2</t>
  </si>
  <si>
    <t>Time period: forecast</t>
  </si>
  <si>
    <t>NPV label 1</t>
  </si>
  <si>
    <t>NPV label 2</t>
  </si>
  <si>
    <t>Participant results for different time periods</t>
  </si>
  <si>
    <t>from</t>
  </si>
  <si>
    <t>Time period (from)</t>
  </si>
  <si>
    <t>start</t>
  </si>
  <si>
    <t>Check: government revenues by time period</t>
  </si>
  <si>
    <t>PARTICIPANT CASHFLOWS</t>
  </si>
  <si>
    <t>Check: project cashflows by time period</t>
  </si>
  <si>
    <t>Check: NPV cashflows by time period</t>
  </si>
  <si>
    <t>%  NPV</t>
  </si>
  <si>
    <t>Check: Depreciation calculation</t>
  </si>
  <si>
    <t>into model</t>
  </si>
  <si>
    <t>units</t>
  </si>
  <si>
    <t>SCENARIO PARAMETERS</t>
  </si>
  <si>
    <t>Base</t>
  </si>
  <si>
    <t>Actual Realized</t>
  </si>
  <si>
    <t xml:space="preserve">JW </t>
  </si>
  <si>
    <t>TOP ROW OF PARAMETERS</t>
  </si>
  <si>
    <t>Sens variable</t>
  </si>
  <si>
    <t>INTO MODEL</t>
  </si>
  <si>
    <t>Sens</t>
  </si>
  <si>
    <t>Copper: Realised Price vs LME for "LMEAssumed"</t>
  </si>
  <si>
    <t>Cobalt: Realised Price vs LME for "LMEAssumed"</t>
  </si>
  <si>
    <t>no</t>
  </si>
  <si>
    <t>Cobalt Payable Rate applied in model</t>
  </si>
  <si>
    <t>Som contract: placeholder assumption of third party sales: Cu</t>
  </si>
  <si>
    <t>Som contract: placeholder assumption of third party sales: Co</t>
  </si>
  <si>
    <t>Interest deductible for CIT</t>
  </si>
  <si>
    <t>Excess Profits Tax applied (1 = yes)</t>
  </si>
  <si>
    <t>%nominal</t>
  </si>
  <si>
    <t>Inflation switch (1 = on)</t>
  </si>
  <si>
    <t>SENSITIVITY ANALYSIS</t>
  </si>
  <si>
    <t>DATA TABLE PARAMETERS</t>
  </si>
  <si>
    <t>Data Tables for One-Page</t>
  </si>
  <si>
    <t>Focus year for sensitivity analysis</t>
  </si>
  <si>
    <t>Copper realized price method</t>
  </si>
  <si>
    <t>Cobalt price realized price method</t>
  </si>
  <si>
    <t>RESULTS USED FOR DATA TABLE SENSITIVITY ANALYSIS</t>
  </si>
  <si>
    <t>TOP OF RANGE</t>
  </si>
  <si>
    <t>BOTTOM OF RANGE</t>
  </si>
  <si>
    <t>KEYS</t>
  </si>
  <si>
    <t>Issue</t>
  </si>
  <si>
    <t>Materiality</t>
  </si>
  <si>
    <t>Documentation</t>
  </si>
  <si>
    <t>Materiality Level</t>
  </si>
  <si>
    <t>Level</t>
  </si>
  <si>
    <t>Issue Definition</t>
  </si>
  <si>
    <t>Value Type</t>
  </si>
  <si>
    <t>Value Unit</t>
  </si>
  <si>
    <t>Floor</t>
  </si>
  <si>
    <t>Mid</t>
  </si>
  <si>
    <t>Ceiling</t>
  </si>
  <si>
    <t>Value Scope</t>
  </si>
  <si>
    <t>Observation</t>
  </si>
  <si>
    <t>L</t>
  </si>
  <si>
    <t>Low</t>
  </si>
  <si>
    <t>V1</t>
  </si>
  <si>
    <t>H</t>
  </si>
  <si>
    <t>Turnover</t>
  </si>
  <si>
    <t>USD mn</t>
  </si>
  <si>
    <t>I</t>
  </si>
  <si>
    <t>M</t>
  </si>
  <si>
    <t>Medium</t>
  </si>
  <si>
    <t>V2</t>
  </si>
  <si>
    <t>Transport charges included</t>
  </si>
  <si>
    <t>High</t>
  </si>
  <si>
    <t>V3</t>
  </si>
  <si>
    <t>U</t>
  </si>
  <si>
    <t>Unquantified</t>
  </si>
  <si>
    <t>V4</t>
  </si>
  <si>
    <t>S</t>
  </si>
  <si>
    <t>Documentation Source</t>
  </si>
  <si>
    <t>V5</t>
  </si>
  <si>
    <t>D</t>
  </si>
  <si>
    <t>Direct</t>
  </si>
  <si>
    <t>Indirect</t>
  </si>
  <si>
    <t>Scenario</t>
  </si>
  <si>
    <t>C1</t>
  </si>
  <si>
    <t>Cx</t>
  </si>
  <si>
    <t>T1</t>
  </si>
  <si>
    <t>Fiscal</t>
  </si>
  <si>
    <t>T2</t>
  </si>
  <si>
    <t>T3</t>
  </si>
  <si>
    <t>Corporate Income Tax</t>
  </si>
  <si>
    <t>T4</t>
  </si>
  <si>
    <t>Excess Profits Tax</t>
  </si>
  <si>
    <t>T5</t>
  </si>
  <si>
    <t>T6</t>
  </si>
  <si>
    <t>T7</t>
  </si>
  <si>
    <t>State asset transfers</t>
  </si>
  <si>
    <t>SCENARIO</t>
  </si>
  <si>
    <t xml:space="preserve">Scenario </t>
  </si>
  <si>
    <t>Headlines</t>
  </si>
  <si>
    <t>Government aggregate revenue</t>
  </si>
  <si>
    <t>Gecamines participation</t>
  </si>
  <si>
    <t>Government total</t>
  </si>
  <si>
    <t>Govt share excluding indirect taxes</t>
  </si>
  <si>
    <t>Investor NPV</t>
  </si>
  <si>
    <t>$mn NPV10</t>
  </si>
  <si>
    <t>TB</t>
  </si>
  <si>
    <t>PARTICIPANT CASHFLOWS AND NPV: NOMINAL</t>
  </si>
  <si>
    <t>Project cashflows NOMINAL</t>
  </si>
  <si>
    <t>Lookup year for sensitivity analysis</t>
  </si>
  <si>
    <t>First forecast year</t>
  </si>
  <si>
    <t>Real terms conversion year</t>
  </si>
  <si>
    <t>EPT: Apply inflation to FS prices and Operating Surplus</t>
  </si>
  <si>
    <t>WHT rate non-resident services</t>
  </si>
  <si>
    <t>Operating costs, including Sens.</t>
  </si>
  <si>
    <t>Grade</t>
  </si>
  <si>
    <t>+/- 5% reported Cu volume</t>
  </si>
  <si>
    <t xml:space="preserve">+/- 5% reported Co volume </t>
  </si>
  <si>
    <t>V6</t>
  </si>
  <si>
    <t>[Cost benchmarking]</t>
  </si>
  <si>
    <t>2018-2022</t>
  </si>
  <si>
    <t>TURNOVER TAX</t>
  </si>
  <si>
    <t>Turnover tax (Chiffre d'Affaires 0.3PC)</t>
  </si>
  <si>
    <t>% turnover</t>
  </si>
  <si>
    <t>CASHFLOWS AFTER TAXES PAID OUT OF CASHFLOWS</t>
  </si>
  <si>
    <t>WITHHOLDING TAX ON NON-RESIDENT SERVICES</t>
  </si>
  <si>
    <t>IMF WEO inflation</t>
  </si>
  <si>
    <t>Subject Descriptor</t>
  </si>
  <si>
    <t>USD CPI Inflation, average consumer prices</t>
  </si>
  <si>
    <t>Index</t>
  </si>
  <si>
    <t>USD CPI Inflation</t>
  </si>
  <si>
    <t>Percent change</t>
  </si>
  <si>
    <t>Last year Weo forecast</t>
  </si>
  <si>
    <t>Inflation beyond WEO forecast</t>
  </si>
  <si>
    <t>% p.a.</t>
  </si>
  <si>
    <t>Inflation index into model timeline</t>
  </si>
  <si>
    <t>% change</t>
  </si>
  <si>
    <t>Inflation Index into model</t>
  </si>
  <si>
    <t>Inflation index from first forecast year</t>
  </si>
  <si>
    <t>Deflation index into model</t>
  </si>
  <si>
    <t>LIBOR / SOFR</t>
  </si>
  <si>
    <t>6 Month LIBOR</t>
  </si>
  <si>
    <t>6 Month SOFR</t>
  </si>
  <si>
    <t>LIBOR / SOFR history</t>
  </si>
  <si>
    <t>Implied real LIBOR / SOFR</t>
  </si>
  <si>
    <t>SOFR forecast nominal</t>
  </si>
  <si>
    <t>LIBOR  / SOFR history &amp; forecast</t>
  </si>
  <si>
    <t>FS base year</t>
  </si>
  <si>
    <t>Real SOFR forecast</t>
  </si>
  <si>
    <t>Lists for drop-down</t>
  </si>
  <si>
    <t>yes/no</t>
  </si>
  <si>
    <t>inflation</t>
  </si>
  <si>
    <t>Cobalt realized price: FS</t>
  </si>
  <si>
    <t>Proportion opex imports</t>
  </si>
  <si>
    <t>Proportion capex imports</t>
  </si>
  <si>
    <t>Proportion opex imports services</t>
  </si>
  <si>
    <t>Proportion capex imports services</t>
  </si>
  <si>
    <t>Proportion non-resident services deemed DRC source</t>
  </si>
  <si>
    <t>Operating costs subject to WHT</t>
  </si>
  <si>
    <t>Capex costs subject to WHT</t>
  </si>
  <si>
    <t>Total costs subject to WHT</t>
  </si>
  <si>
    <t>Opex WHT</t>
  </si>
  <si>
    <t>Capex WHT</t>
  </si>
  <si>
    <t>WHT on non-resident services</t>
  </si>
  <si>
    <t>2023 onwards flag</t>
  </si>
  <si>
    <t>Somidez 2020 Copper Sales Agreement Terms</t>
  </si>
  <si>
    <t>Third Party Marketing Charge: Cu &amp; Co</t>
  </si>
  <si>
    <t>Somidez 2020 Cobalt Sales Agreement Terms</t>
  </si>
  <si>
    <t>Freight Allowance (per wet metric ton)</t>
  </si>
  <si>
    <t>Cobalt Payable Rate (Co Hydroxide)</t>
  </si>
  <si>
    <t>Apply Cu transport / quality discount (1 = yes)</t>
  </si>
  <si>
    <t>Cu price using SOMIDEZ contract terms</t>
  </si>
  <si>
    <t>not applied</t>
  </si>
  <si>
    <t>Downside</t>
  </si>
  <si>
    <t>Government revenues incl Gecamines 2022</t>
  </si>
  <si>
    <t>Management fee</t>
  </si>
  <si>
    <t>Management fees added to operating costs</t>
  </si>
  <si>
    <t>Sensitivity and inflation</t>
  </si>
  <si>
    <t>Capital costs, including Sens.</t>
  </si>
  <si>
    <t>Gecamines interest rate (margin over libor/SOFR)</t>
  </si>
  <si>
    <t>Gecamines interest rate on carry loan</t>
  </si>
  <si>
    <t>Government share: excluding payroll &amp; indirect taxes</t>
  </si>
  <si>
    <t>%  undiscounted</t>
  </si>
  <si>
    <t>Depreciation: FS incl Sens.</t>
  </si>
  <si>
    <t>Pre 2023 flag</t>
  </si>
  <si>
    <t>Cobalt production into model</t>
  </si>
  <si>
    <t>Copper production into model</t>
  </si>
  <si>
    <t>Copper production incl Sens.</t>
  </si>
  <si>
    <t>Cobalt production incl Sens.</t>
  </si>
  <si>
    <t>Copper cathode: FS (updated) incl Sens.</t>
  </si>
  <si>
    <t>Blister copper incl Sens.</t>
  </si>
  <si>
    <t>Copper matt incl Sens.</t>
  </si>
  <si>
    <t>Copper sulfide concentrates incl Sens.</t>
  </si>
  <si>
    <t>Copper oxide concentrates incl Sens.</t>
  </si>
  <si>
    <t>Copper revenue: Original</t>
  </si>
  <si>
    <t>Copper revenue into model</t>
  </si>
  <si>
    <t>Copper production into model (Original)</t>
  </si>
  <si>
    <t>Copper cathode production: Original</t>
  </si>
  <si>
    <t>Other copper production: Original</t>
  </si>
  <si>
    <t>Copper cathode  revenue: Original</t>
  </si>
  <si>
    <t>Other copper revenue: Original</t>
  </si>
  <si>
    <t>Copper prices: Original</t>
  </si>
  <si>
    <t>Copper prices: FS</t>
  </si>
  <si>
    <t>Cumulative CIT difference: 2018 - 2022</t>
  </si>
  <si>
    <t>Flag</t>
  </si>
  <si>
    <t>Cumulative royalty difference: 2018 - 2022</t>
  </si>
  <si>
    <t>Capital costs into model</t>
  </si>
  <si>
    <t>Calculated</t>
  </si>
  <si>
    <t>Depreciation: Calculated incl Sens.</t>
  </si>
  <si>
    <t>Depreciation incl Sens.</t>
  </si>
  <si>
    <t>COMMUS_Model_202507_July 1b.xlsx</t>
  </si>
  <si>
    <t>Coverage of model versus EITI comparisons</t>
  </si>
  <si>
    <t>Total revenues (EITI)</t>
  </si>
  <si>
    <t>Redevance Minière: Quote-part Province (25%)</t>
  </si>
  <si>
    <t>Redevance Minière: Quote-part Trésor (50%)</t>
  </si>
  <si>
    <t>Redevance Minière: Quote-part FOMIN (10%)</t>
  </si>
  <si>
    <t>Redevance Minière : Quote-part ETD (15%)</t>
  </si>
  <si>
    <t>Subnational revenues (royalties)</t>
  </si>
  <si>
    <t>Subnational royalties (EITI)</t>
  </si>
  <si>
    <t>Total royalty (50%)</t>
  </si>
  <si>
    <t>Cumulative subnational royalties difference: 2018 - 2022</t>
  </si>
  <si>
    <t>Deductibility of debt interest</t>
  </si>
  <si>
    <t>Compare vs LIBOR + 4%</t>
  </si>
  <si>
    <t>C2</t>
  </si>
  <si>
    <t>Interest rate</t>
  </si>
  <si>
    <t>Alternative</t>
  </si>
  <si>
    <t>Alternative interest rate: Margin over Libor/SOFR</t>
  </si>
  <si>
    <t>Interest rate: libor/SOFR + margin</t>
  </si>
  <si>
    <t>FS interest repayment schedule</t>
  </si>
  <si>
    <t>LIBOR/SOFR-based interest rate</t>
  </si>
  <si>
    <t>Total interest repayments: FS</t>
  </si>
  <si>
    <t xml:space="preserve">$mn </t>
  </si>
  <si>
    <t>FS interest rate</t>
  </si>
  <si>
    <t>FS interest charge</t>
  </si>
  <si>
    <t>FS or alternative debt interest rates</t>
  </si>
  <si>
    <t>COMMUS MARKET VALUE</t>
  </si>
  <si>
    <t>VaR</t>
  </si>
  <si>
    <t>Rem_LOM</t>
  </si>
  <si>
    <t>Min Mining File 2018-24</t>
  </si>
  <si>
    <t>Somidez 2020 sales contract</t>
  </si>
  <si>
    <t>2021 Min Mining truck stats</t>
  </si>
  <si>
    <t>CoHyd Grade range 30 - 35%</t>
  </si>
  <si>
    <t>500 data points Min Min 2018-24</t>
  </si>
  <si>
    <t>COMMUS PROJECT COSTS</t>
  </si>
  <si>
    <t>LOM</t>
  </si>
  <si>
    <t>What if 5% opex increase</t>
  </si>
  <si>
    <t>Covers period 2023 forward (FS)</t>
  </si>
  <si>
    <t>Insufficient data to evaluate</t>
  </si>
  <si>
    <t>COMMUS TAX RULES</t>
  </si>
  <si>
    <t>Shortfall vs model at 70% payables</t>
  </si>
  <si>
    <t>Model base scenario vs EITI</t>
  </si>
  <si>
    <t>Turnover tax and sub-national royalties</t>
  </si>
  <si>
    <t>Assumes Treasury actuals right</t>
  </si>
  <si>
    <t>Model base scenario vs EITI actuals</t>
  </si>
  <si>
    <t>No annual financials available</t>
  </si>
  <si>
    <t>Potential Tax Treaty Impacts</t>
  </si>
  <si>
    <t>No SWT and reduced DWT if South Africa</t>
  </si>
  <si>
    <t>Corporate network unknown</t>
  </si>
  <si>
    <t>Extra 5% from license renewal 2018</t>
  </si>
  <si>
    <t>Additional transfer unconfirmed</t>
  </si>
  <si>
    <t>Chiffre d'Affaires (EITI)</t>
  </si>
  <si>
    <t>Turnover Tax</t>
  </si>
  <si>
    <t>Subnational revenue streams</t>
  </si>
  <si>
    <t>Subnational royalty difference</t>
  </si>
  <si>
    <t>Cumulative subnational revenue shortfall 2018-22</t>
  </si>
  <si>
    <t>Investment treaty Dividend Witholding Tax</t>
  </si>
  <si>
    <t>Difference in DWT Rates</t>
  </si>
  <si>
    <t>Potential Impact of Tax and Investment treaty obligations</t>
  </si>
  <si>
    <t>No transactions identified</t>
  </si>
  <si>
    <t>Not material</t>
  </si>
  <si>
    <t>Opex cost reporting risk</t>
  </si>
  <si>
    <t>License Renewal Equity</t>
  </si>
  <si>
    <t>21July.1</t>
  </si>
  <si>
    <t>AW comments 22 July 2025</t>
  </si>
  <si>
    <t>SHEET</t>
  </si>
  <si>
    <t>LINK</t>
  </si>
  <si>
    <t>revised AETR without indirect tax formula</t>
  </si>
  <si>
    <t>but at least timeline starts 2006</t>
  </si>
  <si>
    <t>Last year actual</t>
  </si>
  <si>
    <t>2024 was hardcoded in formula</t>
  </si>
  <si>
    <t>Strange variation in FS sulphides price versus Cu</t>
  </si>
  <si>
    <t>Do we know why?</t>
  </si>
  <si>
    <t>Depreciation: calculated or per FS</t>
  </si>
  <si>
    <t>Production case: FS or original</t>
  </si>
  <si>
    <t>Could alternatively use ratio from FS for this, rather than arbitrary avge of 2 years</t>
  </si>
  <si>
    <t>Several instances of hardcoding years in formulas. Even if unlikely to change should be made explicit as constants</t>
  </si>
  <si>
    <t>Operating costs: FS or original</t>
  </si>
  <si>
    <t>Capital costs: FS or original</t>
  </si>
  <si>
    <t>Operating costs (Alternative)</t>
  </si>
  <si>
    <t>Selected cost per unit revenue. Not an appropriate basis for projecting costs. What if Cu price jumps?</t>
  </si>
  <si>
    <t>Some correlation for sure (if we had data), but not linear and we don't usually model costs that way</t>
  </si>
  <si>
    <t>Cost base year</t>
  </si>
  <si>
    <t>23July.1</t>
  </si>
  <si>
    <t>COMMUS_Model_202521_July 1e_AW.xlsx</t>
  </si>
  <si>
    <t>created new cost inflation index from 2022, as that’s when costs determined in FS and from unit opex</t>
  </si>
  <si>
    <t>means about ~10% increase in costs versus original</t>
  </si>
  <si>
    <t>to consider price esclation for FS case, but I think ok.</t>
  </si>
  <si>
    <t>why start the sumproduct calcs in 2011? Does no harm but weird…</t>
  </si>
  <si>
    <t>brought these into scenario sheet</t>
  </si>
  <si>
    <t>All charts hard coded to specific time period! V.Clunky approach rather than using filters</t>
  </si>
  <si>
    <t>Operating Cost reporting risk</t>
  </si>
  <si>
    <t>Realised Price Risk: Co</t>
  </si>
  <si>
    <t>Realised Price Risk: Cu</t>
  </si>
  <si>
    <t>Marketing Fee Risk</t>
  </si>
  <si>
    <t>Cu Vol Underreporting Risk</t>
  </si>
  <si>
    <t>Co Vol Underreporting Risk</t>
  </si>
  <si>
    <t>Co Grade Underreporting Risk</t>
  </si>
  <si>
    <t>Royalty model to actuals</t>
  </si>
  <si>
    <t>Subnational model to actuals</t>
  </si>
  <si>
    <t>2% fee on 3rd party sales</t>
  </si>
  <si>
    <t>Variable Payable Co Rates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</si>
</sst>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3">
    <numFmt numFmtId="164" formatCode="#,##0_);\(#,##0\);&quot;-  &quot;;&quot; &quot;@&quot; &quot;"/>
    <numFmt numFmtId="165" formatCode="###0_);\(###0\);&quot;-  &quot;;&quot; &quot;@&quot; &quot;"/>
    <numFmt numFmtId="166" formatCode="0.00%_);\-0.00%_);&quot;-  &quot;;&quot; &quot;@&quot; &quot;"/>
    <numFmt numFmtId="167" formatCode="dd\ mmm\ yy_);\(###0\);&quot;-  &quot;;&quot; &quot;@&quot; &quot;"/>
    <numFmt numFmtId="168" formatCode="#,##0.0000_);\(#,##0.0000\);&quot;-  &quot;;&quot; &quot;@&quot; &quot;"/>
    <numFmt numFmtId="169" formatCode="#,##0.00_);\(#,##0.00\);&quot;-  &quot;;&quot; &quot;@&quot; &quot;"/>
    <numFmt numFmtId="170" formatCode="#,##0.000000_);\(#,##0.000000\);&quot;-  &quot;;&quot; &quot;@&quot; &quot;"/>
    <numFmt numFmtId="171" formatCode="#,##0_);\(#,##0\);&quot;-  &quot;;&quot; &quot;@"/>
    <numFmt numFmtId="172" formatCode="0.00%\ ;\-0.00%\ _);&quot;-  &quot;;&quot; &quot;@&quot; &quot;"/>
    <numFmt numFmtId="173" formatCode="dd\ mmm\ yyyy_);\(###0\);&quot;-  &quot;;&quot; &quot;@&quot; &quot;"/>
    <numFmt numFmtId="174" formatCode="#,##0.000_);\(#,##0.000\)"/>
    <numFmt numFmtId="175" formatCode="#,##0.00_);\(#,##0.00\);&quot;-  &quot;;&quot; &quot;@"/>
    <numFmt numFmtId="176" formatCode="#,##0.000_);\(#,##0.000\);&quot;-  &quot;;&quot; &quot;@&quot; &quot;"/>
    <numFmt numFmtId="177" formatCode="###0.000_);\(###0.000\);&quot;-  &quot;;&quot; &quot;@&quot; &quot;"/>
    <numFmt numFmtId="178" formatCode="#,##0;\(#,##0\);&quot;-&quot;"/>
    <numFmt numFmtId="179" formatCode="0.0%\ ;\-0.0%\ _);&quot;-  &quot;;&quot; &quot;@&quot; &quot;"/>
    <numFmt numFmtId="180" formatCode="#,##0.000_);\(#,##0.000\);&quot;-  &quot;;&quot; &quot;@"/>
    <numFmt numFmtId="181" formatCode="0%_);\-0%_);&quot;-  &quot;;&quot; &quot;@&quot; &quot;"/>
    <numFmt numFmtId="182" formatCode="[$-F400]h:mm:ss\ AM/PM"/>
    <numFmt numFmtId="183" formatCode="###0.00_);\(###0.00\);&quot;-  &quot;;&quot; &quot;@&quot; &quot;"/>
    <numFmt numFmtId="184" formatCode="0.0%_);\-0.0%_);&quot;-  &quot;;&quot; &quot;@&quot; &quot;"/>
    <numFmt numFmtId="185" formatCode="0%\ ;\-0%\ _);&quot;-  &quot;;&quot; &quot;@&quot; &quot;"/>
    <numFmt numFmtId="186" formatCode="#,##0.00;\(#,##0.00\);&quot;-&quot;"/>
  </numFmts>
  <fonts count="65" x14ac:knownFonts="1">
    <font>
      <sz val="10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color rgb="FFFF0000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20"/>
      <name val="Calibri"/>
      <family val="2"/>
    </font>
    <font>
      <b/>
      <sz val="11"/>
      <name val="Calibri"/>
      <family val="2"/>
    </font>
    <font>
      <u/>
      <sz val="11"/>
      <name val="Calibri"/>
      <family val="2"/>
    </font>
    <font>
      <sz val="11"/>
      <color theme="1"/>
      <name val="Calibri"/>
      <family val="2"/>
    </font>
    <font>
      <sz val="11"/>
      <color indexed="12"/>
      <name val="Calibri"/>
      <family val="2"/>
    </font>
    <font>
      <sz val="11"/>
      <name val="Aptos Narrow"/>
      <family val="2"/>
      <scheme val="minor"/>
    </font>
    <font>
      <sz val="11"/>
      <name val="Calibri"/>
      <family val="2"/>
    </font>
    <font>
      <i/>
      <sz val="11"/>
      <name val="Calibri"/>
      <family val="2"/>
    </font>
    <font>
      <b/>
      <sz val="11"/>
      <color theme="1"/>
      <name val="Calibri"/>
      <family val="2"/>
    </font>
    <font>
      <b/>
      <sz val="11"/>
      <color theme="0"/>
      <name val="Calibri"/>
      <family val="2"/>
    </font>
    <font>
      <b/>
      <u/>
      <sz val="11"/>
      <name val="Calibri"/>
      <family val="2"/>
    </font>
    <font>
      <b/>
      <sz val="20"/>
      <name val="Aptos Narrow"/>
      <family val="2"/>
      <scheme val="minor"/>
    </font>
    <font>
      <u/>
      <sz val="10"/>
      <name val="Aptos Narrow"/>
      <family val="2"/>
      <scheme val="minor"/>
    </font>
    <font>
      <b/>
      <sz val="10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8"/>
      <color theme="1"/>
      <name val="Aptos Narrow"/>
      <family val="2"/>
      <scheme val="minor"/>
    </font>
    <font>
      <b/>
      <sz val="10"/>
      <color rgb="FFFF0000"/>
      <name val="Aptos Narrow"/>
      <family val="2"/>
      <scheme val="minor"/>
    </font>
    <font>
      <sz val="11"/>
      <color rgb="FFFF0000"/>
      <name val="Aptos Narrow"/>
      <family val="2"/>
      <scheme val="minor"/>
    </font>
    <font>
      <sz val="11"/>
      <color rgb="FFFF0000"/>
      <name val="Calibri"/>
      <family val="2"/>
    </font>
    <font>
      <sz val="11"/>
      <color rgb="FF000000"/>
      <name val="Calibri"/>
      <family val="2"/>
    </font>
    <font>
      <u/>
      <sz val="11"/>
      <color theme="10"/>
      <name val="Aptos Narrow"/>
      <family val="2"/>
      <scheme val="minor"/>
    </font>
    <font>
      <u/>
      <sz val="11"/>
      <color rgb="FF000000"/>
      <name val="Calibri"/>
      <family val="2"/>
    </font>
    <font>
      <u/>
      <sz val="11"/>
      <color rgb="FFFF0000"/>
      <name val="Calibri"/>
      <family val="2"/>
    </font>
    <font>
      <sz val="10"/>
      <name val="Calibri"/>
      <family val="2"/>
    </font>
    <font>
      <sz val="10"/>
      <name val="Arial"/>
      <family val="2"/>
    </font>
    <font>
      <sz val="11"/>
      <color rgb="FF0000FF"/>
      <name val="Calibri"/>
      <family val="2"/>
    </font>
    <font>
      <sz val="8"/>
      <name val="Aptos Narrow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1"/>
      <color rgb="FFFF0000"/>
      <name val="Calibri"/>
      <family val="2"/>
    </font>
    <font>
      <b/>
      <u/>
      <sz val="11"/>
      <color rgb="FFFF0000"/>
      <name val="Calibri"/>
      <family val="2"/>
    </font>
    <font>
      <sz val="10"/>
      <name val="Aptos Narrow"/>
      <family val="2"/>
      <scheme val="minor"/>
    </font>
    <font>
      <b/>
      <sz val="11"/>
      <color rgb="FF000000"/>
      <name val="Calibri"/>
      <family val="2"/>
    </font>
    <font>
      <sz val="10"/>
      <color rgb="FF000000"/>
      <name val="Aptos Narrow"/>
      <family val="2"/>
      <scheme val="minor"/>
    </font>
    <font>
      <b/>
      <sz val="11"/>
      <color rgb="FF0000FF"/>
      <name val="Calibri"/>
      <family val="2"/>
    </font>
    <font>
      <u/>
      <sz val="11"/>
      <color rgb="FF0000FF"/>
      <name val="Calibri"/>
      <family val="2"/>
    </font>
    <font>
      <sz val="11"/>
      <color rgb="FF000000"/>
      <name val="Aptos Narrow"/>
      <family val="2"/>
      <scheme val="minor"/>
    </font>
    <font>
      <b/>
      <sz val="10"/>
      <color rgb="FF000000"/>
      <name val="Aptos Narrow"/>
      <family val="2"/>
      <scheme val="minor"/>
    </font>
    <font>
      <u/>
      <sz val="10"/>
      <color rgb="FF000000"/>
      <name val="Aptos Narrow"/>
      <family val="2"/>
      <scheme val="minor"/>
    </font>
    <font>
      <sz val="10"/>
      <color rgb="FF000000"/>
      <name val="Calibri"/>
      <family val="2"/>
    </font>
    <font>
      <sz val="11"/>
      <color theme="0"/>
      <name val="Calibri"/>
      <family val="2"/>
    </font>
    <font>
      <u/>
      <sz val="11"/>
      <color theme="1"/>
      <name val="Calibri"/>
      <family val="2"/>
    </font>
    <font>
      <sz val="20"/>
      <color theme="0"/>
      <name val="Calibri"/>
      <family val="2"/>
    </font>
    <font>
      <sz val="22"/>
      <color theme="0"/>
      <name val="Calibri"/>
      <family val="2"/>
    </font>
    <font>
      <i/>
      <sz val="12"/>
      <color theme="0"/>
      <name val="Calibri"/>
      <family val="2"/>
    </font>
    <font>
      <i/>
      <sz val="20"/>
      <color theme="0"/>
      <name val="Calibri"/>
      <family val="2"/>
    </font>
    <font>
      <sz val="11"/>
      <color rgb="FF00B050"/>
      <name val="Calibri"/>
      <family val="2"/>
    </font>
    <font>
      <b/>
      <u/>
      <sz val="11"/>
      <color rgb="FF000000"/>
      <name val="Calibri"/>
      <family val="2"/>
    </font>
    <font>
      <i/>
      <sz val="11"/>
      <color rgb="FFFF0000"/>
      <name val="Calibri"/>
      <family val="2"/>
    </font>
    <font>
      <sz val="11"/>
      <color rgb="FF0000FF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color rgb="FF00B05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i/>
      <sz val="11"/>
      <color theme="0"/>
      <name val="Calibri"/>
      <family val="2"/>
    </font>
    <font>
      <sz val="10"/>
      <color rgb="FF0000FF"/>
      <name val="Aptos Narrow"/>
      <family val="2"/>
      <scheme val="minor"/>
    </font>
    <font>
      <i/>
      <sz val="11"/>
      <color theme="1"/>
      <name val="Calibri"/>
      <family val="2"/>
    </font>
    <font>
      <i/>
      <sz val="11"/>
      <color rgb="FF000000"/>
      <name val="Calibri"/>
      <family val="2"/>
    </font>
    <font>
      <i/>
      <sz val="11"/>
      <color rgb="FF0000FF"/>
      <name val="Calibri"/>
      <family val="2"/>
    </font>
    <font>
      <sz val="10"/>
      <color theme="0"/>
      <name val="Aptos Narrow"/>
      <family val="2"/>
      <scheme val="minor"/>
    </font>
    <font>
      <b/>
      <sz val="11"/>
      <color rgb="FF000000"/>
      <name val="Aptos Narrow"/>
      <family val="2"/>
      <scheme val="minor"/>
    </font>
  </fonts>
  <fills count="17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rgb="FF1F497D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FFFFA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99FF66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9" tint="-0.499984740745262"/>
        <bgColor indexed="64"/>
      </patternFill>
    </fill>
  </fills>
  <borders count="38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/>
      <diagonal/>
    </border>
    <border>
      <left/>
      <right/>
      <top/>
      <bottom style="thin">
        <color rgb="FF808080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7">
    <xf numFmtId="164" fontId="0" fillId="0" borderId="0" applyFont="0" applyFill="0" applyBorder="0" applyProtection="0">
      <alignment vertical="top"/>
    </xf>
    <xf numFmtId="166" fontId="1" fillId="0" borderId="0" applyFont="0" applyFill="0" applyBorder="0" applyProtection="0">
      <alignment vertical="top"/>
    </xf>
    <xf numFmtId="164" fontId="3" fillId="0" borderId="0" applyFont="0" applyFill="0" applyBorder="0" applyProtection="0">
      <alignment vertical="top"/>
    </xf>
    <xf numFmtId="165" fontId="9" fillId="0" borderId="0" applyFont="0" applyFill="0" applyBorder="0" applyProtection="0">
      <alignment vertical="top"/>
    </xf>
    <xf numFmtId="164" fontId="7" fillId="0" borderId="0" applyFont="0" applyFill="0" applyBorder="0" applyProtection="0">
      <alignment vertical="top"/>
    </xf>
    <xf numFmtId="166" fontId="3" fillId="0" borderId="0" applyFont="0" applyFill="0" applyBorder="0" applyProtection="0">
      <alignment vertical="top"/>
    </xf>
    <xf numFmtId="0" fontId="24" fillId="0" borderId="0" applyNumberFormat="0" applyFill="0" applyBorder="0" applyAlignment="0" applyProtection="0"/>
    <xf numFmtId="167" fontId="28" fillId="0" borderId="0" applyFont="0" applyFill="0" applyBorder="0" applyProtection="0">
      <alignment vertical="top"/>
    </xf>
    <xf numFmtId="168" fontId="28" fillId="0" borderId="0" applyFont="0" applyFill="0" applyBorder="0" applyProtection="0">
      <alignment vertical="top"/>
    </xf>
    <xf numFmtId="173" fontId="1" fillId="0" borderId="0" applyFont="0" applyFill="0" applyBorder="0" applyProtection="0">
      <alignment vertical="top"/>
    </xf>
    <xf numFmtId="171" fontId="1" fillId="0" borderId="0" applyFont="0" applyFill="0" applyBorder="0" applyProtection="0">
      <alignment vertical="top"/>
    </xf>
    <xf numFmtId="168" fontId="1" fillId="0" borderId="0" applyFont="0" applyFill="0" applyBorder="0" applyProtection="0">
      <alignment vertical="top"/>
    </xf>
    <xf numFmtId="172" fontId="1" fillId="0" borderId="0" applyFont="0" applyFill="0" applyBorder="0" applyProtection="0">
      <alignment vertical="top"/>
    </xf>
    <xf numFmtId="171" fontId="3" fillId="0" borderId="0" applyFont="0" applyFill="0" applyBorder="0" applyProtection="0">
      <alignment vertical="top"/>
    </xf>
    <xf numFmtId="172" fontId="3" fillId="0" borderId="0" applyFont="0" applyFill="0" applyBorder="0" applyProtection="0">
      <alignment vertical="top"/>
    </xf>
    <xf numFmtId="164" fontId="1" fillId="0" borderId="0" applyFont="0" applyFill="0" applyBorder="0" applyProtection="0">
      <alignment vertical="top"/>
    </xf>
    <xf numFmtId="0" fontId="3" fillId="0" borderId="0"/>
  </cellStyleXfs>
  <cellXfs count="1270">
    <xf numFmtId="164" fontId="0" fillId="0" borderId="0" xfId="0">
      <alignment vertical="top"/>
    </xf>
    <xf numFmtId="37" fontId="5" fillId="0" borderId="0" xfId="2" applyNumberFormat="1" applyFont="1">
      <alignment vertical="top"/>
    </xf>
    <xf numFmtId="37" fontId="6" fillId="0" borderId="0" xfId="2" applyNumberFormat="1" applyFont="1">
      <alignment vertical="top"/>
    </xf>
    <xf numFmtId="37" fontId="7" fillId="0" borderId="0" xfId="2" applyNumberFormat="1" applyFont="1">
      <alignment vertical="top"/>
    </xf>
    <xf numFmtId="37" fontId="8" fillId="0" borderId="0" xfId="2" applyNumberFormat="1" applyFont="1" applyAlignment="1">
      <alignment horizontal="left" vertical="top"/>
    </xf>
    <xf numFmtId="37" fontId="7" fillId="0" borderId="0" xfId="3" applyNumberFormat="1" applyFont="1" applyFill="1">
      <alignment vertical="top"/>
    </xf>
    <xf numFmtId="37" fontId="10" fillId="2" borderId="0" xfId="2" applyNumberFormat="1" applyFont="1" applyFill="1">
      <alignment vertical="top"/>
    </xf>
    <xf numFmtId="37" fontId="11" fillId="0" borderId="0" xfId="3" applyNumberFormat="1" applyFont="1" applyBorder="1">
      <alignment vertical="top"/>
    </xf>
    <xf numFmtId="165" fontId="10" fillId="0" borderId="0" xfId="3" applyFont="1" applyFill="1" applyBorder="1">
      <alignment vertical="top"/>
    </xf>
    <xf numFmtId="37" fontId="11" fillId="0" borderId="0" xfId="2" applyNumberFormat="1" applyFont="1" applyAlignment="1">
      <alignment horizontal="left" vertical="top"/>
    </xf>
    <xf numFmtId="37" fontId="10" fillId="2" borderId="0" xfId="4" applyNumberFormat="1" applyFont="1" applyFill="1" applyAlignment="1">
      <alignment horizontal="right" vertical="top"/>
    </xf>
    <xf numFmtId="37" fontId="5" fillId="0" borderId="0" xfId="2" applyNumberFormat="1" applyFont="1" applyAlignment="1">
      <alignment horizontal="right"/>
    </xf>
    <xf numFmtId="37" fontId="12" fillId="0" borderId="0" xfId="2" applyNumberFormat="1" applyFont="1">
      <alignment vertical="top"/>
    </xf>
    <xf numFmtId="37" fontId="5" fillId="0" borderId="0" xfId="3" applyNumberFormat="1" applyFont="1" applyFill="1" applyBorder="1">
      <alignment vertical="top"/>
    </xf>
    <xf numFmtId="164" fontId="3" fillId="0" borderId="0" xfId="2">
      <alignment vertical="top"/>
    </xf>
    <xf numFmtId="37" fontId="13" fillId="4" borderId="0" xfId="2" applyNumberFormat="1" applyFont="1" applyFill="1">
      <alignment vertical="top"/>
    </xf>
    <xf numFmtId="37" fontId="5" fillId="4" borderId="0" xfId="2" applyNumberFormat="1" applyFont="1" applyFill="1">
      <alignment vertical="top"/>
    </xf>
    <xf numFmtId="37" fontId="14" fillId="4" borderId="0" xfId="2" applyNumberFormat="1" applyFont="1" applyFill="1">
      <alignment vertical="top"/>
    </xf>
    <xf numFmtId="37" fontId="5" fillId="4" borderId="0" xfId="2" applyNumberFormat="1" applyFont="1" applyFill="1" applyAlignment="1">
      <alignment horizontal="right" vertical="top"/>
    </xf>
    <xf numFmtId="37" fontId="10" fillId="4" borderId="0" xfId="2" applyNumberFormat="1" applyFont="1" applyFill="1">
      <alignment vertical="top"/>
    </xf>
    <xf numFmtId="37" fontId="10" fillId="0" borderId="0" xfId="2" applyNumberFormat="1" applyFont="1" applyAlignment="1">
      <alignment horizontal="right" vertical="top"/>
    </xf>
    <xf numFmtId="37" fontId="10" fillId="0" borderId="0" xfId="2" applyNumberFormat="1" applyFont="1" applyFill="1">
      <alignment vertical="top"/>
    </xf>
    <xf numFmtId="164" fontId="15" fillId="0" borderId="0" xfId="2" applyFont="1">
      <alignment vertical="top"/>
    </xf>
    <xf numFmtId="164" fontId="16" fillId="0" borderId="0" xfId="2" applyFont="1">
      <alignment vertical="top"/>
    </xf>
    <xf numFmtId="164" fontId="17" fillId="0" borderId="0" xfId="2" applyFont="1">
      <alignment vertical="top"/>
    </xf>
    <xf numFmtId="164" fontId="18" fillId="2" borderId="0" xfId="2" applyFont="1" applyFill="1" applyAlignment="1">
      <alignment vertical="top" wrapText="1"/>
    </xf>
    <xf numFmtId="164" fontId="13" fillId="4" borderId="0" xfId="2" applyFont="1" applyFill="1" applyAlignment="1">
      <alignment vertical="center"/>
    </xf>
    <xf numFmtId="164" fontId="12" fillId="2" borderId="0" xfId="2" applyFont="1" applyFill="1" applyAlignment="1">
      <alignment vertical="top" wrapText="1"/>
    </xf>
    <xf numFmtId="166" fontId="0" fillId="2" borderId="0" xfId="5" applyFont="1" applyFill="1" applyBorder="1">
      <alignment vertical="top"/>
    </xf>
    <xf numFmtId="166" fontId="19" fillId="2" borderId="0" xfId="5" applyFont="1" applyFill="1" applyBorder="1">
      <alignment vertical="top"/>
    </xf>
    <xf numFmtId="164" fontId="20" fillId="0" borderId="0" xfId="2" applyFont="1">
      <alignment vertical="top"/>
    </xf>
    <xf numFmtId="164" fontId="21" fillId="2" borderId="0" xfId="2" applyFont="1" applyFill="1">
      <alignment vertical="top"/>
    </xf>
    <xf numFmtId="164" fontId="22" fillId="5" borderId="0" xfId="2" applyFont="1" applyFill="1">
      <alignment vertical="top"/>
    </xf>
    <xf numFmtId="164" fontId="22" fillId="2" borderId="0" xfId="2" applyFont="1" applyFill="1">
      <alignment vertical="top"/>
    </xf>
    <xf numFmtId="164" fontId="22" fillId="0" borderId="0" xfId="2" applyFont="1">
      <alignment vertical="top"/>
    </xf>
    <xf numFmtId="164" fontId="23" fillId="2" borderId="0" xfId="2" applyFont="1" applyFill="1">
      <alignment vertical="top"/>
    </xf>
    <xf numFmtId="164" fontId="23" fillId="0" borderId="0" xfId="2" applyFont="1">
      <alignment vertical="top"/>
    </xf>
    <xf numFmtId="164" fontId="21" fillId="0" borderId="0" xfId="2" applyFont="1">
      <alignment vertical="top"/>
    </xf>
    <xf numFmtId="0" fontId="26" fillId="0" borderId="0" xfId="6" applyFont="1" applyFill="1" applyBorder="1" applyAlignment="1">
      <alignment vertical="top"/>
    </xf>
    <xf numFmtId="164" fontId="10" fillId="2" borderId="0" xfId="2" applyFont="1" applyFill="1">
      <alignment vertical="top"/>
    </xf>
    <xf numFmtId="164" fontId="10" fillId="0" borderId="0" xfId="2" applyFont="1">
      <alignment vertical="top"/>
    </xf>
    <xf numFmtId="164" fontId="27" fillId="0" borderId="0" xfId="2" applyFont="1">
      <alignment vertical="top"/>
    </xf>
    <xf numFmtId="164" fontId="7" fillId="0" borderId="0" xfId="2" applyFont="1">
      <alignment vertical="top"/>
    </xf>
    <xf numFmtId="164" fontId="3" fillId="6" borderId="0" xfId="2" applyFill="1">
      <alignment vertical="top"/>
    </xf>
    <xf numFmtId="37" fontId="15" fillId="0" borderId="0" xfId="2" applyNumberFormat="1" applyFont="1">
      <alignment vertical="top"/>
    </xf>
    <xf numFmtId="37" fontId="10" fillId="0" borderId="0" xfId="2" applyNumberFormat="1" applyFont="1">
      <alignment vertical="top"/>
    </xf>
    <xf numFmtId="37" fontId="8" fillId="3" borderId="0" xfId="2" applyNumberFormat="1" applyFont="1" applyFill="1" applyAlignment="1">
      <alignment horizontal="right" vertical="top"/>
    </xf>
    <xf numFmtId="165" fontId="10" fillId="0" borderId="0" xfId="3" applyFont="1" applyBorder="1">
      <alignment vertical="top"/>
    </xf>
    <xf numFmtId="37" fontId="10" fillId="3" borderId="0" xfId="2" applyNumberFormat="1" applyFont="1" applyFill="1" applyAlignment="1">
      <alignment horizontal="right" vertical="top"/>
    </xf>
    <xf numFmtId="37" fontId="10" fillId="2" borderId="0" xfId="2" applyNumberFormat="1" applyFont="1" applyFill="1" applyAlignment="1">
      <alignment horizontal="right" vertical="top"/>
    </xf>
    <xf numFmtId="165" fontId="23" fillId="0" borderId="0" xfId="3" applyFont="1">
      <alignment vertical="top"/>
    </xf>
    <xf numFmtId="165" fontId="7" fillId="0" borderId="0" xfId="3" applyFont="1">
      <alignment vertical="top"/>
    </xf>
    <xf numFmtId="37" fontId="13" fillId="0" borderId="0" xfId="2" applyNumberFormat="1" applyFont="1" applyFill="1">
      <alignment vertical="top"/>
    </xf>
    <xf numFmtId="37" fontId="5" fillId="0" borderId="0" xfId="2" applyNumberFormat="1" applyFont="1" applyFill="1">
      <alignment vertical="top"/>
    </xf>
    <xf numFmtId="37" fontId="14" fillId="0" borderId="0" xfId="2" applyNumberFormat="1" applyFont="1" applyFill="1">
      <alignment vertical="top"/>
    </xf>
    <xf numFmtId="37" fontId="5" fillId="0" borderId="0" xfId="2" applyNumberFormat="1" applyFont="1" applyFill="1" applyAlignment="1">
      <alignment horizontal="right" vertical="top"/>
    </xf>
    <xf numFmtId="37" fontId="7" fillId="7" borderId="1" xfId="2" applyNumberFormat="1" applyFont="1" applyFill="1" applyBorder="1">
      <alignment vertical="top"/>
    </xf>
    <xf numFmtId="164" fontId="29" fillId="0" borderId="0" xfId="3" applyNumberFormat="1" applyFont="1" applyFill="1">
      <alignment vertical="top"/>
    </xf>
    <xf numFmtId="37" fontId="10" fillId="0" borderId="0" xfId="2" applyNumberFormat="1" applyFont="1" applyFill="1" applyBorder="1">
      <alignment vertical="top"/>
    </xf>
    <xf numFmtId="37" fontId="7" fillId="0" borderId="0" xfId="2" applyNumberFormat="1" applyFont="1" applyFill="1">
      <alignment vertical="top"/>
    </xf>
    <xf numFmtId="37" fontId="10" fillId="7" borderId="1" xfId="2" applyNumberFormat="1" applyFont="1" applyFill="1" applyBorder="1">
      <alignment vertical="top"/>
    </xf>
    <xf numFmtId="37" fontId="29" fillId="0" borderId="0" xfId="2" applyNumberFormat="1" applyFont="1">
      <alignment vertical="top"/>
    </xf>
    <xf numFmtId="37" fontId="10" fillId="0" borderId="1" xfId="2" applyNumberFormat="1" applyFont="1" applyFill="1" applyBorder="1">
      <alignment vertical="top"/>
    </xf>
    <xf numFmtId="37" fontId="7" fillId="2" borderId="0" xfId="2" applyNumberFormat="1" applyFont="1" applyFill="1">
      <alignment vertical="top"/>
    </xf>
    <xf numFmtId="37" fontId="5" fillId="2" borderId="0" xfId="2" applyNumberFormat="1" applyFont="1" applyFill="1">
      <alignment vertical="top"/>
    </xf>
    <xf numFmtId="37" fontId="14" fillId="2" borderId="0" xfId="2" applyNumberFormat="1" applyFont="1" applyFill="1">
      <alignment vertical="top"/>
    </xf>
    <xf numFmtId="37" fontId="5" fillId="2" borderId="0" xfId="2" applyNumberFormat="1" applyFont="1" applyFill="1" applyAlignment="1">
      <alignment horizontal="right" vertical="top"/>
    </xf>
    <xf numFmtId="170" fontId="10" fillId="2" borderId="0" xfId="8" applyNumberFormat="1" applyFont="1" applyFill="1">
      <alignment vertical="top"/>
    </xf>
    <xf numFmtId="37" fontId="7" fillId="0" borderId="0" xfId="5" applyNumberFormat="1" applyFont="1">
      <alignment vertical="top"/>
    </xf>
    <xf numFmtId="37" fontId="10" fillId="2" borderId="0" xfId="5" applyNumberFormat="1" applyFont="1" applyFill="1">
      <alignment vertical="top"/>
    </xf>
    <xf numFmtId="164" fontId="2" fillId="0" borderId="0" xfId="0" applyFont="1">
      <alignment vertical="top"/>
    </xf>
    <xf numFmtId="164" fontId="9" fillId="0" borderId="0" xfId="2" applyFont="1">
      <alignment vertical="top"/>
    </xf>
    <xf numFmtId="166" fontId="7" fillId="0" borderId="0" xfId="1" applyFont="1">
      <alignment vertical="top"/>
    </xf>
    <xf numFmtId="166" fontId="7" fillId="7" borderId="1" xfId="1" applyFont="1" applyFill="1" applyBorder="1">
      <alignment vertical="top"/>
    </xf>
    <xf numFmtId="166" fontId="7" fillId="0" borderId="0" xfId="1" applyFont="1" applyFill="1" applyBorder="1">
      <alignment vertical="top"/>
    </xf>
    <xf numFmtId="37" fontId="5" fillId="7" borderId="1" xfId="2" applyNumberFormat="1" applyFont="1" applyFill="1" applyBorder="1">
      <alignment vertical="top"/>
    </xf>
    <xf numFmtId="37" fontId="23" fillId="7" borderId="2" xfId="2" applyNumberFormat="1" applyFont="1" applyFill="1" applyBorder="1">
      <alignment vertical="top"/>
    </xf>
    <xf numFmtId="37" fontId="7" fillId="0" borderId="0" xfId="2" applyNumberFormat="1" applyFont="1" applyFill="1" applyBorder="1">
      <alignment vertical="top"/>
    </xf>
    <xf numFmtId="37" fontId="7" fillId="0" borderId="1" xfId="2" applyNumberFormat="1" applyFont="1" applyFill="1" applyBorder="1">
      <alignment vertical="top"/>
    </xf>
    <xf numFmtId="37" fontId="23" fillId="7" borderId="1" xfId="2" applyNumberFormat="1" applyFont="1" applyFill="1" applyBorder="1">
      <alignment vertical="top"/>
    </xf>
    <xf numFmtId="37" fontId="5" fillId="0" borderId="0" xfId="2" applyNumberFormat="1" applyFont="1" applyFill="1" applyBorder="1">
      <alignment vertical="top"/>
    </xf>
    <xf numFmtId="37" fontId="5" fillId="0" borderId="0" xfId="2" applyNumberFormat="1" applyFont="1" applyBorder="1">
      <alignment vertical="top"/>
    </xf>
    <xf numFmtId="37" fontId="6" fillId="0" borderId="0" xfId="2" applyNumberFormat="1" applyFont="1" applyBorder="1">
      <alignment vertical="top"/>
    </xf>
    <xf numFmtId="37" fontId="10" fillId="0" borderId="0" xfId="2" applyNumberFormat="1" applyFont="1" applyBorder="1" applyAlignment="1">
      <alignment horizontal="right" vertical="top"/>
    </xf>
    <xf numFmtId="164" fontId="29" fillId="0" borderId="0" xfId="3" applyNumberFormat="1" applyFont="1" applyFill="1" applyBorder="1">
      <alignment vertical="top"/>
    </xf>
    <xf numFmtId="164" fontId="0" fillId="0" borderId="0" xfId="0" applyBorder="1">
      <alignment vertical="top"/>
    </xf>
    <xf numFmtId="37" fontId="5" fillId="0" borderId="6" xfId="2" applyNumberFormat="1" applyFont="1" applyBorder="1">
      <alignment vertical="top"/>
    </xf>
    <xf numFmtId="176" fontId="7" fillId="0" borderId="0" xfId="8" applyNumberFormat="1" applyFont="1" applyFill="1" applyBorder="1">
      <alignment vertical="top"/>
    </xf>
    <xf numFmtId="164" fontId="7" fillId="0" borderId="0" xfId="0" applyFont="1">
      <alignment vertical="top"/>
    </xf>
    <xf numFmtId="164" fontId="0" fillId="0" borderId="0" xfId="0" applyFill="1">
      <alignment vertical="top"/>
    </xf>
    <xf numFmtId="166" fontId="10" fillId="0" borderId="0" xfId="1" applyFont="1">
      <alignment vertical="top"/>
    </xf>
    <xf numFmtId="37" fontId="33" fillId="0" borderId="0" xfId="2" applyNumberFormat="1" applyFont="1">
      <alignment vertical="top"/>
    </xf>
    <xf numFmtId="37" fontId="26" fillId="0" borderId="0" xfId="2" applyNumberFormat="1" applyFont="1">
      <alignment vertical="top"/>
    </xf>
    <xf numFmtId="37" fontId="22" fillId="0" borderId="0" xfId="2" applyNumberFormat="1" applyFont="1">
      <alignment vertical="top"/>
    </xf>
    <xf numFmtId="39" fontId="29" fillId="0" borderId="0" xfId="2" applyNumberFormat="1" applyFont="1">
      <alignment vertical="top"/>
    </xf>
    <xf numFmtId="166" fontId="29" fillId="0" borderId="0" xfId="1" applyFont="1">
      <alignment vertical="top"/>
    </xf>
    <xf numFmtId="172" fontId="29" fillId="0" borderId="0" xfId="2" applyNumberFormat="1" applyFont="1">
      <alignment vertical="top"/>
    </xf>
    <xf numFmtId="37" fontId="33" fillId="0" borderId="0" xfId="2" applyNumberFormat="1" applyFont="1" applyFill="1">
      <alignment vertical="top"/>
    </xf>
    <xf numFmtId="37" fontId="34" fillId="0" borderId="0" xfId="2" applyNumberFormat="1" applyFont="1" applyFill="1">
      <alignment vertical="top"/>
    </xf>
    <xf numFmtId="37" fontId="33" fillId="0" borderId="0" xfId="2" applyNumberFormat="1" applyFont="1" applyFill="1" applyAlignment="1">
      <alignment horizontal="right" vertical="top"/>
    </xf>
    <xf numFmtId="37" fontId="22" fillId="7" borderId="1" xfId="2" applyNumberFormat="1" applyFont="1" applyFill="1" applyBorder="1">
      <alignment vertical="top"/>
    </xf>
    <xf numFmtId="37" fontId="33" fillId="0" borderId="0" xfId="2" applyNumberFormat="1" applyFont="1" applyFill="1" applyBorder="1">
      <alignment vertical="top"/>
    </xf>
    <xf numFmtId="37" fontId="22" fillId="0" borderId="0" xfId="2" applyNumberFormat="1" applyFont="1" applyFill="1" applyBorder="1">
      <alignment vertical="top"/>
    </xf>
    <xf numFmtId="37" fontId="22" fillId="0" borderId="0" xfId="2" applyNumberFormat="1" applyFont="1" applyAlignment="1">
      <alignment horizontal="right" vertical="top"/>
    </xf>
    <xf numFmtId="164" fontId="29" fillId="0" borderId="0" xfId="2" applyFont="1">
      <alignment vertical="top"/>
    </xf>
    <xf numFmtId="164" fontId="35" fillId="0" borderId="0" xfId="0" applyFont="1">
      <alignment vertical="top"/>
    </xf>
    <xf numFmtId="164" fontId="7" fillId="0" borderId="0" xfId="2" applyFont="1" applyBorder="1">
      <alignment vertical="top"/>
    </xf>
    <xf numFmtId="164" fontId="7" fillId="0" borderId="7" xfId="2" applyFont="1" applyBorder="1">
      <alignment vertical="top"/>
    </xf>
    <xf numFmtId="37" fontId="10" fillId="0" borderId="6" xfId="2" applyNumberFormat="1" applyFont="1" applyFill="1" applyBorder="1">
      <alignment vertical="top"/>
    </xf>
    <xf numFmtId="164" fontId="7" fillId="0" borderId="6" xfId="2" applyFont="1" applyBorder="1">
      <alignment vertical="top"/>
    </xf>
    <xf numFmtId="164" fontId="10" fillId="0" borderId="0" xfId="2" applyFont="1" applyBorder="1">
      <alignment vertical="top"/>
    </xf>
    <xf numFmtId="164" fontId="10" fillId="0" borderId="6" xfId="2" applyFont="1" applyBorder="1">
      <alignment vertical="top"/>
    </xf>
    <xf numFmtId="164" fontId="5" fillId="0" borderId="0" xfId="2" applyFont="1">
      <alignment vertical="top"/>
    </xf>
    <xf numFmtId="164" fontId="6" fillId="0" borderId="0" xfId="2" applyFont="1">
      <alignment vertical="top"/>
    </xf>
    <xf numFmtId="37" fontId="33" fillId="7" borderId="1" xfId="2" applyNumberFormat="1" applyFont="1" applyFill="1" applyBorder="1">
      <alignment vertical="top"/>
    </xf>
    <xf numFmtId="164" fontId="8" fillId="0" borderId="0" xfId="2" applyFont="1" applyAlignment="1">
      <alignment horizontal="left" vertical="top"/>
    </xf>
    <xf numFmtId="164" fontId="7" fillId="0" borderId="0" xfId="3" applyNumberFormat="1" applyFont="1" applyFill="1">
      <alignment vertical="top"/>
    </xf>
    <xf numFmtId="164" fontId="5" fillId="0" borderId="0" xfId="2" applyFont="1" applyAlignment="1">
      <alignment horizontal="right"/>
    </xf>
    <xf numFmtId="164" fontId="12" fillId="0" borderId="0" xfId="2" applyFont="1">
      <alignment vertical="top"/>
    </xf>
    <xf numFmtId="164" fontId="5" fillId="4" borderId="0" xfId="2" applyFont="1" applyFill="1">
      <alignment vertical="top"/>
    </xf>
    <xf numFmtId="164" fontId="14" fillId="4" borderId="0" xfId="2" applyFont="1" applyFill="1">
      <alignment vertical="top"/>
    </xf>
    <xf numFmtId="164" fontId="5" fillId="4" borderId="0" xfId="2" applyFont="1" applyFill="1" applyAlignment="1">
      <alignment horizontal="right" vertical="top"/>
    </xf>
    <xf numFmtId="164" fontId="10" fillId="0" borderId="0" xfId="2" applyFont="1" applyAlignment="1">
      <alignment horizontal="right" vertical="top"/>
    </xf>
    <xf numFmtId="164" fontId="5" fillId="0" borderId="6" xfId="2" applyFont="1" applyBorder="1">
      <alignment vertical="top"/>
    </xf>
    <xf numFmtId="164" fontId="6" fillId="0" borderId="6" xfId="2" applyFont="1" applyBorder="1">
      <alignment vertical="top"/>
    </xf>
    <xf numFmtId="164" fontId="7" fillId="0" borderId="6" xfId="3" applyNumberFormat="1" applyFont="1" applyFill="1" applyBorder="1">
      <alignment vertical="top"/>
    </xf>
    <xf numFmtId="164" fontId="10" fillId="0" borderId="0" xfId="1" applyNumberFormat="1" applyFont="1">
      <alignment vertical="top"/>
    </xf>
    <xf numFmtId="164" fontId="10" fillId="0" borderId="0" xfId="2" applyFont="1" applyFill="1">
      <alignment vertical="top"/>
    </xf>
    <xf numFmtId="164" fontId="10" fillId="0" borderId="0" xfId="2" applyFont="1" applyFill="1" applyBorder="1">
      <alignment vertical="top"/>
    </xf>
    <xf numFmtId="164" fontId="5" fillId="0" borderId="0" xfId="2" applyFont="1" applyBorder="1">
      <alignment vertical="top"/>
    </xf>
    <xf numFmtId="164" fontId="6" fillId="0" borderId="0" xfId="2" applyFont="1" applyBorder="1">
      <alignment vertical="top"/>
    </xf>
    <xf numFmtId="164" fontId="7" fillId="0" borderId="0" xfId="3" applyNumberFormat="1" applyFont="1" applyFill="1" applyBorder="1">
      <alignment vertical="top"/>
    </xf>
    <xf numFmtId="164" fontId="5" fillId="0" borderId="7" xfId="2" applyFont="1" applyBorder="1">
      <alignment vertical="top"/>
    </xf>
    <xf numFmtId="164" fontId="6" fillId="0" borderId="7" xfId="2" applyFont="1" applyBorder="1">
      <alignment vertical="top"/>
    </xf>
    <xf numFmtId="164" fontId="7" fillId="0" borderId="7" xfId="3" applyNumberFormat="1" applyFont="1" applyFill="1" applyBorder="1">
      <alignment vertical="top"/>
    </xf>
    <xf numFmtId="166" fontId="22" fillId="0" borderId="0" xfId="1" applyFont="1" applyFill="1" applyBorder="1">
      <alignment vertical="top"/>
    </xf>
    <xf numFmtId="164" fontId="29" fillId="0" borderId="0" xfId="2" applyFont="1" applyFill="1">
      <alignment vertical="top"/>
    </xf>
    <xf numFmtId="164" fontId="10" fillId="0" borderId="7" xfId="2" applyFont="1" applyFill="1" applyBorder="1">
      <alignment vertical="top"/>
    </xf>
    <xf numFmtId="164" fontId="10" fillId="0" borderId="6" xfId="2" applyFont="1" applyFill="1" applyBorder="1">
      <alignment vertical="top"/>
    </xf>
    <xf numFmtId="37" fontId="36" fillId="0" borderId="0" xfId="2" applyNumberFormat="1" applyFont="1">
      <alignment vertical="top"/>
    </xf>
    <xf numFmtId="37" fontId="25" fillId="0" borderId="0" xfId="2" applyNumberFormat="1" applyFont="1">
      <alignment vertical="top"/>
    </xf>
    <xf numFmtId="37" fontId="23" fillId="0" borderId="0" xfId="2" applyNumberFormat="1" applyFont="1" applyAlignment="1">
      <alignment horizontal="right" vertical="top"/>
    </xf>
    <xf numFmtId="37" fontId="23" fillId="0" borderId="0" xfId="2" applyNumberFormat="1" applyFont="1">
      <alignment vertical="top"/>
    </xf>
    <xf numFmtId="164" fontId="37" fillId="0" borderId="0" xfId="0" applyFont="1">
      <alignment vertical="top"/>
    </xf>
    <xf numFmtId="166" fontId="23" fillId="0" borderId="0" xfId="1" applyFont="1">
      <alignment vertical="top"/>
    </xf>
    <xf numFmtId="37" fontId="29" fillId="0" borderId="0" xfId="2" applyNumberFormat="1" applyFont="1" applyBorder="1">
      <alignment vertical="top"/>
    </xf>
    <xf numFmtId="172" fontId="29" fillId="0" borderId="0" xfId="2" applyNumberFormat="1" applyFont="1" applyBorder="1">
      <alignment vertical="top"/>
    </xf>
    <xf numFmtId="164" fontId="29" fillId="0" borderId="0" xfId="2" applyFont="1" applyBorder="1">
      <alignment vertical="top"/>
    </xf>
    <xf numFmtId="164" fontId="29" fillId="0" borderId="0" xfId="2" applyFont="1" applyFill="1" applyBorder="1">
      <alignment vertical="top"/>
    </xf>
    <xf numFmtId="166" fontId="7" fillId="0" borderId="0" xfId="1" applyFont="1" applyBorder="1">
      <alignment vertical="top"/>
    </xf>
    <xf numFmtId="164" fontId="38" fillId="0" borderId="0" xfId="2" applyFont="1">
      <alignment vertical="top"/>
    </xf>
    <xf numFmtId="164" fontId="39" fillId="0" borderId="0" xfId="2" applyFont="1">
      <alignment vertical="top"/>
    </xf>
    <xf numFmtId="37" fontId="33" fillId="0" borderId="6" xfId="2" applyNumberFormat="1" applyFont="1" applyBorder="1">
      <alignment vertical="top"/>
    </xf>
    <xf numFmtId="37" fontId="26" fillId="0" borderId="6" xfId="2" applyNumberFormat="1" applyFont="1" applyBorder="1">
      <alignment vertical="top"/>
    </xf>
    <xf numFmtId="37" fontId="22" fillId="0" borderId="6" xfId="2" applyNumberFormat="1" applyFont="1" applyBorder="1" applyAlignment="1">
      <alignment horizontal="right" vertical="top"/>
    </xf>
    <xf numFmtId="164" fontId="7" fillId="0" borderId="7" xfId="4" applyFont="1" applyBorder="1">
      <alignment vertical="top"/>
    </xf>
    <xf numFmtId="164" fontId="7" fillId="0" borderId="0" xfId="4" applyFont="1" applyBorder="1">
      <alignment vertical="top"/>
    </xf>
    <xf numFmtId="164" fontId="7" fillId="0" borderId="0" xfId="4" applyFont="1" applyFill="1" applyBorder="1">
      <alignment vertical="top"/>
    </xf>
    <xf numFmtId="164" fontId="7" fillId="0" borderId="8" xfId="4" applyFont="1" applyBorder="1">
      <alignment vertical="top"/>
    </xf>
    <xf numFmtId="164" fontId="5" fillId="0" borderId="8" xfId="2" applyFont="1" applyBorder="1">
      <alignment vertical="top"/>
    </xf>
    <xf numFmtId="164" fontId="6" fillId="0" borderId="8" xfId="2" applyFont="1" applyBorder="1">
      <alignment vertical="top"/>
    </xf>
    <xf numFmtId="164" fontId="7" fillId="0" borderId="8" xfId="2" applyFont="1" applyBorder="1">
      <alignment vertical="top"/>
    </xf>
    <xf numFmtId="164" fontId="7" fillId="0" borderId="8" xfId="3" applyNumberFormat="1" applyFont="1" applyFill="1" applyBorder="1">
      <alignment vertical="top"/>
    </xf>
    <xf numFmtId="164" fontId="10" fillId="0" borderId="8" xfId="2" applyFont="1" applyFill="1" applyBorder="1">
      <alignment vertical="top"/>
    </xf>
    <xf numFmtId="164" fontId="5" fillId="0" borderId="0" xfId="4" applyFont="1">
      <alignment vertical="top"/>
    </xf>
    <xf numFmtId="164" fontId="25" fillId="0" borderId="0" xfId="4" applyFont="1">
      <alignment vertical="top"/>
    </xf>
    <xf numFmtId="164" fontId="7" fillId="0" borderId="0" xfId="4" applyFont="1">
      <alignment vertical="top"/>
    </xf>
    <xf numFmtId="164" fontId="1" fillId="0" borderId="0" xfId="0" applyFont="1">
      <alignment vertical="top"/>
    </xf>
    <xf numFmtId="164" fontId="23" fillId="0" borderId="0" xfId="0" applyFont="1">
      <alignment vertical="top"/>
    </xf>
    <xf numFmtId="171" fontId="10" fillId="0" borderId="0" xfId="2" applyNumberFormat="1" applyFont="1">
      <alignment vertical="top"/>
    </xf>
    <xf numFmtId="164" fontId="5" fillId="0" borderId="0" xfId="2" applyFont="1" applyFill="1" applyBorder="1">
      <alignment vertical="top"/>
    </xf>
    <xf numFmtId="164" fontId="6" fillId="0" borderId="0" xfId="2" applyFont="1" applyFill="1" applyBorder="1">
      <alignment vertical="top"/>
    </xf>
    <xf numFmtId="164" fontId="7" fillId="0" borderId="0" xfId="2" applyFont="1" applyFill="1" applyBorder="1">
      <alignment vertical="top"/>
    </xf>
    <xf numFmtId="164" fontId="5" fillId="0" borderId="6" xfId="2" applyFont="1" applyFill="1" applyBorder="1">
      <alignment vertical="top"/>
    </xf>
    <xf numFmtId="164" fontId="6" fillId="0" borderId="6" xfId="2" applyFont="1" applyFill="1" applyBorder="1">
      <alignment vertical="top"/>
    </xf>
    <xf numFmtId="164" fontId="7" fillId="0" borderId="6" xfId="2" applyFont="1" applyFill="1" applyBorder="1">
      <alignment vertical="top"/>
    </xf>
    <xf numFmtId="168" fontId="22" fillId="0" borderId="0" xfId="8" applyFont="1">
      <alignment vertical="top"/>
    </xf>
    <xf numFmtId="164" fontId="29" fillId="0" borderId="0" xfId="0" applyFont="1">
      <alignment vertical="top"/>
    </xf>
    <xf numFmtId="37" fontId="6" fillId="0" borderId="0" xfId="2" applyNumberFormat="1" applyFont="1" applyFill="1">
      <alignment vertical="top"/>
    </xf>
    <xf numFmtId="169" fontId="29" fillId="0" borderId="0" xfId="2" applyNumberFormat="1" applyFont="1">
      <alignment vertical="top"/>
    </xf>
    <xf numFmtId="164" fontId="36" fillId="0" borderId="0" xfId="2" applyFont="1">
      <alignment vertical="top"/>
    </xf>
    <xf numFmtId="164" fontId="25" fillId="0" borderId="0" xfId="2" applyFont="1">
      <alignment vertical="top"/>
    </xf>
    <xf numFmtId="169" fontId="23" fillId="0" borderId="0" xfId="2" applyNumberFormat="1" applyFont="1">
      <alignment vertical="top"/>
    </xf>
    <xf numFmtId="164" fontId="23" fillId="0" borderId="0" xfId="3" applyNumberFormat="1" applyFont="1" applyFill="1">
      <alignment vertical="top"/>
    </xf>
    <xf numFmtId="37" fontId="23" fillId="0" borderId="0" xfId="2" applyNumberFormat="1" applyFont="1" applyFill="1">
      <alignment vertical="top"/>
    </xf>
    <xf numFmtId="164" fontId="23" fillId="0" borderId="0" xfId="3" applyNumberFormat="1" applyFont="1" applyFill="1" applyBorder="1">
      <alignment vertical="top"/>
    </xf>
    <xf numFmtId="37" fontId="23" fillId="0" borderId="0" xfId="3" applyNumberFormat="1" applyFont="1" applyFill="1">
      <alignment vertical="top"/>
    </xf>
    <xf numFmtId="39" fontId="23" fillId="7" borderId="2" xfId="2" applyNumberFormat="1" applyFont="1" applyFill="1" applyBorder="1">
      <alignment vertical="top"/>
    </xf>
    <xf numFmtId="166" fontId="23" fillId="7" borderId="1" xfId="1" applyFont="1" applyFill="1" applyBorder="1">
      <alignment vertical="top"/>
    </xf>
    <xf numFmtId="166" fontId="23" fillId="7" borderId="2" xfId="1" applyFont="1" applyFill="1" applyBorder="1">
      <alignment vertical="top"/>
    </xf>
    <xf numFmtId="168" fontId="23" fillId="7" borderId="2" xfId="8" applyFont="1" applyFill="1" applyBorder="1">
      <alignment vertical="top"/>
    </xf>
    <xf numFmtId="174" fontId="23" fillId="7" borderId="2" xfId="2" applyNumberFormat="1" applyFont="1" applyFill="1" applyBorder="1">
      <alignment vertical="top"/>
    </xf>
    <xf numFmtId="166" fontId="23" fillId="0" borderId="1" xfId="1" applyFont="1" applyFill="1" applyBorder="1">
      <alignment vertical="top"/>
    </xf>
    <xf numFmtId="166" fontId="23" fillId="0" borderId="0" xfId="1" applyFont="1" applyFill="1" applyBorder="1">
      <alignment vertical="top"/>
    </xf>
    <xf numFmtId="177" fontId="23" fillId="7" borderId="1" xfId="3" applyNumberFormat="1" applyFont="1" applyFill="1" applyBorder="1">
      <alignment vertical="top"/>
    </xf>
    <xf numFmtId="177" fontId="23" fillId="0" borderId="0" xfId="3" applyNumberFormat="1" applyFont="1" applyFill="1" applyBorder="1">
      <alignment vertical="top"/>
    </xf>
    <xf numFmtId="37" fontId="36" fillId="4" borderId="0" xfId="2" applyNumberFormat="1" applyFont="1" applyFill="1">
      <alignment vertical="top"/>
    </xf>
    <xf numFmtId="37" fontId="36" fillId="0" borderId="0" xfId="2" applyNumberFormat="1" applyFont="1" applyFill="1">
      <alignment vertical="top"/>
    </xf>
    <xf numFmtId="37" fontId="23" fillId="0" borderId="0" xfId="2" applyNumberFormat="1" applyFont="1" applyFill="1" applyBorder="1">
      <alignment vertical="top"/>
    </xf>
    <xf numFmtId="37" fontId="23" fillId="0" borderId="0" xfId="2" applyNumberFormat="1" applyFont="1" applyBorder="1">
      <alignment vertical="top"/>
    </xf>
    <xf numFmtId="39" fontId="23" fillId="7" borderId="1" xfId="2" applyNumberFormat="1" applyFont="1" applyFill="1" applyBorder="1">
      <alignment vertical="top"/>
    </xf>
    <xf numFmtId="39" fontId="23" fillId="0" borderId="0" xfId="2" applyNumberFormat="1" applyFont="1" applyFill="1" applyBorder="1">
      <alignment vertical="top"/>
    </xf>
    <xf numFmtId="37" fontId="23" fillId="0" borderId="6" xfId="2" applyNumberFormat="1" applyFont="1" applyBorder="1">
      <alignment vertical="top"/>
    </xf>
    <xf numFmtId="39" fontId="23" fillId="0" borderId="6" xfId="2" applyNumberFormat="1" applyFont="1" applyFill="1" applyBorder="1">
      <alignment vertical="top"/>
    </xf>
    <xf numFmtId="164" fontId="23" fillId="0" borderId="6" xfId="3" applyNumberFormat="1" applyFont="1" applyFill="1" applyBorder="1">
      <alignment vertical="top"/>
    </xf>
    <xf numFmtId="37" fontId="23" fillId="2" borderId="0" xfId="2" applyNumberFormat="1" applyFont="1" applyFill="1">
      <alignment vertical="top"/>
    </xf>
    <xf numFmtId="169" fontId="23" fillId="7" borderId="1" xfId="8" applyNumberFormat="1" applyFont="1" applyFill="1" applyBorder="1">
      <alignment vertical="top"/>
    </xf>
    <xf numFmtId="169" fontId="23" fillId="0" borderId="0" xfId="8" applyNumberFormat="1" applyFont="1">
      <alignment vertical="top"/>
    </xf>
    <xf numFmtId="169" fontId="23" fillId="0" borderId="0" xfId="8" applyNumberFormat="1" applyFont="1" applyBorder="1">
      <alignment vertical="top"/>
    </xf>
    <xf numFmtId="39" fontId="23" fillId="0" borderId="0" xfId="2" applyNumberFormat="1" applyFont="1">
      <alignment vertical="top"/>
    </xf>
    <xf numFmtId="169" fontId="23" fillId="0" borderId="6" xfId="8" applyNumberFormat="1" applyFont="1" applyBorder="1">
      <alignment vertical="top"/>
    </xf>
    <xf numFmtId="164" fontId="40" fillId="0" borderId="0" xfId="2" applyFont="1">
      <alignment vertical="top"/>
    </xf>
    <xf numFmtId="37" fontId="23" fillId="7" borderId="5" xfId="2" applyNumberFormat="1" applyFont="1" applyFill="1" applyBorder="1">
      <alignment vertical="top"/>
    </xf>
    <xf numFmtId="39" fontId="23" fillId="7" borderId="5" xfId="2" applyNumberFormat="1" applyFont="1" applyFill="1" applyBorder="1">
      <alignment vertical="top"/>
    </xf>
    <xf numFmtId="164" fontId="37" fillId="0" borderId="0" xfId="0" applyFont="1" applyFill="1">
      <alignment vertical="top"/>
    </xf>
    <xf numFmtId="174" fontId="23" fillId="0" borderId="0" xfId="2" applyNumberFormat="1" applyFont="1" applyFill="1" applyBorder="1">
      <alignment vertical="top"/>
    </xf>
    <xf numFmtId="165" fontId="10" fillId="0" borderId="0" xfId="3" applyFont="1">
      <alignment vertical="top"/>
    </xf>
    <xf numFmtId="164" fontId="35" fillId="7" borderId="1" xfId="0" applyFont="1" applyFill="1" applyBorder="1">
      <alignment vertical="top"/>
    </xf>
    <xf numFmtId="166" fontId="10" fillId="0" borderId="0" xfId="1" applyFont="1" applyFill="1" applyBorder="1">
      <alignment vertical="top"/>
    </xf>
    <xf numFmtId="39" fontId="10" fillId="7" borderId="1" xfId="2" applyNumberFormat="1" applyFont="1" applyFill="1" applyBorder="1">
      <alignment vertical="top"/>
    </xf>
    <xf numFmtId="175" fontId="10" fillId="7" borderId="1" xfId="0" applyNumberFormat="1" applyFont="1" applyFill="1" applyBorder="1">
      <alignment vertical="top"/>
    </xf>
    <xf numFmtId="166" fontId="10" fillId="7" borderId="1" xfId="1" applyFont="1" applyFill="1" applyBorder="1">
      <alignment vertical="top"/>
    </xf>
    <xf numFmtId="39" fontId="10" fillId="0" borderId="0" xfId="2" applyNumberFormat="1" applyFont="1" applyFill="1" applyBorder="1">
      <alignment vertical="top"/>
    </xf>
    <xf numFmtId="175" fontId="10" fillId="0" borderId="0" xfId="0" applyNumberFormat="1" applyFont="1" applyFill="1" applyBorder="1">
      <alignment vertical="top"/>
    </xf>
    <xf numFmtId="37" fontId="10" fillId="7" borderId="3" xfId="2" applyNumberFormat="1" applyFont="1" applyFill="1" applyBorder="1">
      <alignment vertical="top"/>
    </xf>
    <xf numFmtId="166" fontId="10" fillId="7" borderId="4" xfId="1" applyFont="1" applyFill="1" applyBorder="1">
      <alignment vertical="top"/>
    </xf>
    <xf numFmtId="37" fontId="22" fillId="0" borderId="0" xfId="2" applyNumberFormat="1" applyFont="1" applyFill="1">
      <alignment vertical="top"/>
    </xf>
    <xf numFmtId="37" fontId="33" fillId="0" borderId="1" xfId="2" applyNumberFormat="1" applyFont="1" applyFill="1" applyBorder="1">
      <alignment vertical="top"/>
    </xf>
    <xf numFmtId="37" fontId="22" fillId="0" borderId="1" xfId="2" applyNumberFormat="1" applyFont="1" applyFill="1" applyBorder="1">
      <alignment vertical="top"/>
    </xf>
    <xf numFmtId="165" fontId="29" fillId="0" borderId="0" xfId="4" applyNumberFormat="1" applyFont="1">
      <alignment vertical="top"/>
    </xf>
    <xf numFmtId="164" fontId="22" fillId="0" borderId="0" xfId="3" applyNumberFormat="1" applyFont="1" applyFill="1">
      <alignment vertical="top"/>
    </xf>
    <xf numFmtId="166" fontId="29" fillId="0" borderId="0" xfId="2" applyNumberFormat="1" applyFont="1">
      <alignment vertical="top"/>
    </xf>
    <xf numFmtId="37" fontId="36" fillId="0" borderId="0" xfId="2" applyNumberFormat="1" applyFont="1" applyAlignment="1">
      <alignment horizontal="right"/>
    </xf>
    <xf numFmtId="37" fontId="36" fillId="0" borderId="0" xfId="3" applyNumberFormat="1" applyFont="1" applyFill="1" applyBorder="1">
      <alignment vertical="top"/>
    </xf>
    <xf numFmtId="164" fontId="41" fillId="0" borderId="0" xfId="2" applyFont="1">
      <alignment vertical="top"/>
    </xf>
    <xf numFmtId="164" fontId="42" fillId="0" borderId="0" xfId="2" applyFont="1">
      <alignment vertical="top"/>
    </xf>
    <xf numFmtId="164" fontId="40" fillId="2" borderId="0" xfId="2" applyFont="1" applyFill="1">
      <alignment vertical="top"/>
    </xf>
    <xf numFmtId="164" fontId="23" fillId="5" borderId="0" xfId="2" applyFont="1" applyFill="1">
      <alignment vertical="top"/>
    </xf>
    <xf numFmtId="164" fontId="43" fillId="0" borderId="0" xfId="2" applyFont="1">
      <alignment vertical="top"/>
    </xf>
    <xf numFmtId="0" fontId="25" fillId="0" borderId="0" xfId="6" applyFont="1" applyFill="1" applyBorder="1" applyAlignment="1">
      <alignment vertical="top"/>
    </xf>
    <xf numFmtId="164" fontId="23" fillId="7" borderId="1" xfId="0" applyFont="1" applyFill="1" applyBorder="1">
      <alignment vertical="top"/>
    </xf>
    <xf numFmtId="37" fontId="25" fillId="0" borderId="0" xfId="2" applyNumberFormat="1" applyFont="1" applyFill="1">
      <alignment vertical="top"/>
    </xf>
    <xf numFmtId="37" fontId="23" fillId="0" borderId="0" xfId="2" applyNumberFormat="1" applyFont="1" applyFill="1" applyAlignment="1">
      <alignment horizontal="right" vertical="top"/>
    </xf>
    <xf numFmtId="164" fontId="23" fillId="0" borderId="0" xfId="2" applyFont="1" applyFill="1">
      <alignment vertical="top"/>
    </xf>
    <xf numFmtId="164" fontId="5" fillId="0" borderId="0" xfId="2" applyFont="1" applyFill="1">
      <alignment vertical="top"/>
    </xf>
    <xf numFmtId="164" fontId="6" fillId="0" borderId="0" xfId="2" applyFont="1" applyFill="1">
      <alignment vertical="top"/>
    </xf>
    <xf numFmtId="164" fontId="7" fillId="0" borderId="0" xfId="2" applyFont="1" applyFill="1">
      <alignment vertical="top"/>
    </xf>
    <xf numFmtId="37" fontId="29" fillId="0" borderId="0" xfId="2" applyNumberFormat="1" applyFont="1" applyFill="1">
      <alignment vertical="top"/>
    </xf>
    <xf numFmtId="164" fontId="23" fillId="7" borderId="2" xfId="0" applyFont="1" applyFill="1" applyBorder="1">
      <alignment vertical="top"/>
    </xf>
    <xf numFmtId="37" fontId="33" fillId="0" borderId="0" xfId="2" applyNumberFormat="1" applyFont="1" applyBorder="1">
      <alignment vertical="top"/>
    </xf>
    <xf numFmtId="37" fontId="26" fillId="0" borderId="0" xfId="2" applyNumberFormat="1" applyFont="1" applyBorder="1">
      <alignment vertical="top"/>
    </xf>
    <xf numFmtId="37" fontId="22" fillId="0" borderId="0" xfId="2" applyNumberFormat="1" applyFont="1" applyBorder="1" applyAlignment="1">
      <alignment horizontal="right" vertical="top"/>
    </xf>
    <xf numFmtId="164" fontId="7" fillId="7" borderId="1" xfId="2" applyFont="1" applyFill="1" applyBorder="1">
      <alignment vertical="top"/>
    </xf>
    <xf numFmtId="164" fontId="23" fillId="7" borderId="1" xfId="2" applyFont="1" applyFill="1" applyBorder="1">
      <alignment vertical="top"/>
    </xf>
    <xf numFmtId="164" fontId="23" fillId="0" borderId="0" xfId="0" applyFont="1" applyFill="1" applyBorder="1">
      <alignment vertical="top"/>
    </xf>
    <xf numFmtId="0" fontId="29" fillId="0" borderId="0" xfId="2" applyNumberFormat="1" applyFont="1" applyBorder="1">
      <alignment vertical="top"/>
    </xf>
    <xf numFmtId="171" fontId="29" fillId="0" borderId="0" xfId="2" applyNumberFormat="1" applyFont="1" applyBorder="1">
      <alignment vertical="top"/>
    </xf>
    <xf numFmtId="178" fontId="10" fillId="0" borderId="0" xfId="0" applyNumberFormat="1" applyFont="1" applyFill="1">
      <alignment vertical="top"/>
    </xf>
    <xf numFmtId="178" fontId="29" fillId="0" borderId="0" xfId="0" applyNumberFormat="1" applyFont="1" applyFill="1" applyBorder="1" applyAlignment="1">
      <alignment horizontal="right" vertical="top"/>
    </xf>
    <xf numFmtId="178" fontId="29" fillId="0" borderId="0" xfId="0" applyNumberFormat="1" applyFont="1" applyFill="1" applyBorder="1">
      <alignment vertical="top"/>
    </xf>
    <xf numFmtId="164" fontId="23" fillId="0" borderId="0" xfId="2" applyFont="1" applyFill="1" applyBorder="1">
      <alignment vertical="top"/>
    </xf>
    <xf numFmtId="37" fontId="36" fillId="0" borderId="0" xfId="2" applyNumberFormat="1" applyFont="1" applyBorder="1">
      <alignment vertical="top"/>
    </xf>
    <xf numFmtId="37" fontId="25" fillId="0" borderId="0" xfId="2" applyNumberFormat="1" applyFont="1" applyBorder="1">
      <alignment vertical="top"/>
    </xf>
    <xf numFmtId="37" fontId="23" fillId="0" borderId="0" xfId="2" applyNumberFormat="1" applyFont="1" applyBorder="1" applyAlignment="1">
      <alignment horizontal="right" vertical="top"/>
    </xf>
    <xf numFmtId="164" fontId="23" fillId="0" borderId="0" xfId="2" applyFont="1" applyBorder="1">
      <alignment vertical="top"/>
    </xf>
    <xf numFmtId="164" fontId="23" fillId="8" borderId="1" xfId="2" applyFont="1" applyFill="1" applyBorder="1">
      <alignment vertical="top"/>
    </xf>
    <xf numFmtId="178" fontId="44" fillId="6" borderId="0" xfId="0" applyNumberFormat="1" applyFont="1" applyFill="1">
      <alignment vertical="top"/>
    </xf>
    <xf numFmtId="178" fontId="5" fillId="6" borderId="0" xfId="0" applyNumberFormat="1" applyFont="1" applyFill="1">
      <alignment vertical="top"/>
    </xf>
    <xf numFmtId="178" fontId="6" fillId="6" borderId="0" xfId="0" applyNumberFormat="1" applyFont="1" applyFill="1">
      <alignment vertical="top"/>
    </xf>
    <xf numFmtId="178" fontId="10" fillId="6" borderId="0" xfId="0" applyNumberFormat="1" applyFont="1" applyFill="1">
      <alignment vertical="top"/>
    </xf>
    <xf numFmtId="2" fontId="7" fillId="0" borderId="0" xfId="2" applyNumberFormat="1" applyFont="1" applyBorder="1">
      <alignment vertical="top"/>
    </xf>
    <xf numFmtId="2" fontId="10" fillId="0" borderId="0" xfId="2" applyNumberFormat="1" applyFont="1" applyBorder="1">
      <alignment vertical="top"/>
    </xf>
    <xf numFmtId="164" fontId="7" fillId="7" borderId="3" xfId="2" applyFont="1" applyFill="1" applyBorder="1">
      <alignment vertical="top"/>
    </xf>
    <xf numFmtId="166" fontId="7" fillId="0" borderId="1" xfId="1" applyFont="1" applyFill="1" applyBorder="1">
      <alignment vertical="top"/>
    </xf>
    <xf numFmtId="164" fontId="10" fillId="0" borderId="7" xfId="0" applyFont="1" applyFill="1" applyBorder="1">
      <alignment vertical="top"/>
    </xf>
    <xf numFmtId="164" fontId="10" fillId="0" borderId="0" xfId="0" applyFont="1" applyFill="1" applyBorder="1">
      <alignment vertical="top"/>
    </xf>
    <xf numFmtId="164" fontId="10" fillId="0" borderId="8" xfId="0" applyFont="1" applyFill="1" applyBorder="1">
      <alignment vertical="top"/>
    </xf>
    <xf numFmtId="164" fontId="7" fillId="7" borderId="4" xfId="2" applyFont="1" applyFill="1" applyBorder="1">
      <alignment vertical="top"/>
    </xf>
    <xf numFmtId="164" fontId="7" fillId="0" borderId="0" xfId="0" applyFont="1" applyFill="1" applyBorder="1">
      <alignment vertical="top"/>
    </xf>
    <xf numFmtId="164" fontId="37" fillId="7" borderId="1" xfId="0" applyFont="1" applyFill="1" applyBorder="1">
      <alignment vertical="top"/>
    </xf>
    <xf numFmtId="37" fontId="23" fillId="0" borderId="0" xfId="4" applyNumberFormat="1" applyFont="1">
      <alignment vertical="top"/>
    </xf>
    <xf numFmtId="37" fontId="23" fillId="8" borderId="1" xfId="2" applyNumberFormat="1" applyFont="1" applyFill="1" applyBorder="1">
      <alignment vertical="top"/>
    </xf>
    <xf numFmtId="171" fontId="1" fillId="0" borderId="0" xfId="10">
      <alignment vertical="top"/>
    </xf>
    <xf numFmtId="171" fontId="13" fillId="4" borderId="0" xfId="2" applyNumberFormat="1" applyFont="1" applyFill="1">
      <alignment vertical="top"/>
    </xf>
    <xf numFmtId="171" fontId="5" fillId="4" borderId="0" xfId="2" applyNumberFormat="1" applyFont="1" applyFill="1">
      <alignment vertical="top"/>
    </xf>
    <xf numFmtId="171" fontId="14" fillId="4" borderId="0" xfId="2" applyNumberFormat="1" applyFont="1" applyFill="1">
      <alignment vertical="top"/>
    </xf>
    <xf numFmtId="171" fontId="5" fillId="4" borderId="0" xfId="2" applyNumberFormat="1" applyFont="1" applyFill="1" applyAlignment="1">
      <alignment horizontal="right" vertical="top"/>
    </xf>
    <xf numFmtId="171" fontId="10" fillId="4" borderId="0" xfId="2" applyNumberFormat="1" applyFont="1" applyFill="1">
      <alignment vertical="top"/>
    </xf>
    <xf numFmtId="171" fontId="5" fillId="0" borderId="0" xfId="2" applyNumberFormat="1" applyFont="1">
      <alignment vertical="top"/>
    </xf>
    <xf numFmtId="171" fontId="6" fillId="0" borderId="0" xfId="2" applyNumberFormat="1" applyFont="1">
      <alignment vertical="top"/>
    </xf>
    <xf numFmtId="171" fontId="7" fillId="0" borderId="0" xfId="2" applyNumberFormat="1" applyFont="1">
      <alignment vertical="top"/>
    </xf>
    <xf numFmtId="171" fontId="7" fillId="0" borderId="0" xfId="3" applyNumberFormat="1" applyFont="1" applyFill="1">
      <alignment vertical="top"/>
    </xf>
    <xf numFmtId="171" fontId="10" fillId="0" borderId="0" xfId="2" applyNumberFormat="1" applyFont="1" applyAlignment="1">
      <alignment horizontal="right" vertical="top"/>
    </xf>
    <xf numFmtId="171" fontId="23" fillId="0" borderId="0" xfId="2" applyNumberFormat="1" applyFont="1">
      <alignment vertical="top"/>
    </xf>
    <xf numFmtId="171" fontId="23" fillId="0" borderId="0" xfId="2" applyNumberFormat="1" applyFont="1" applyFill="1" applyBorder="1">
      <alignment vertical="top"/>
    </xf>
    <xf numFmtId="171" fontId="7" fillId="7" borderId="1" xfId="2" applyNumberFormat="1" applyFont="1" applyFill="1" applyBorder="1">
      <alignment vertical="top"/>
    </xf>
    <xf numFmtId="171" fontId="7" fillId="7" borderId="3" xfId="2" applyNumberFormat="1" applyFont="1" applyFill="1" applyBorder="1">
      <alignment vertical="top"/>
    </xf>
    <xf numFmtId="171" fontId="7" fillId="7" borderId="2" xfId="2" applyNumberFormat="1" applyFont="1" applyFill="1" applyBorder="1">
      <alignment vertical="top"/>
    </xf>
    <xf numFmtId="164" fontId="1" fillId="0" borderId="0" xfId="10" applyNumberFormat="1">
      <alignment vertical="top"/>
    </xf>
    <xf numFmtId="171" fontId="7" fillId="0" borderId="0" xfId="2" applyNumberFormat="1" applyFont="1" applyFill="1" applyBorder="1">
      <alignment vertical="top"/>
    </xf>
    <xf numFmtId="171" fontId="10" fillId="0" borderId="0" xfId="2" applyNumberFormat="1" applyFont="1" applyFill="1" applyBorder="1">
      <alignment vertical="top"/>
    </xf>
    <xf numFmtId="171" fontId="23" fillId="7" borderId="1" xfId="2" applyNumberFormat="1" applyFont="1" applyFill="1" applyBorder="1">
      <alignment vertical="top"/>
    </xf>
    <xf numFmtId="171" fontId="1" fillId="0" borderId="6" xfId="10" applyBorder="1">
      <alignment vertical="top"/>
    </xf>
    <xf numFmtId="171" fontId="5" fillId="0" borderId="6" xfId="2" applyNumberFormat="1" applyFont="1" applyBorder="1">
      <alignment vertical="top"/>
    </xf>
    <xf numFmtId="171" fontId="6" fillId="0" borderId="6" xfId="2" applyNumberFormat="1" applyFont="1" applyBorder="1">
      <alignment vertical="top"/>
    </xf>
    <xf numFmtId="171" fontId="7" fillId="0" borderId="6" xfId="2" applyNumberFormat="1" applyFont="1" applyBorder="1">
      <alignment vertical="top"/>
    </xf>
    <xf numFmtId="171" fontId="23" fillId="0" borderId="6" xfId="2" applyNumberFormat="1" applyFont="1" applyBorder="1">
      <alignment vertical="top"/>
    </xf>
    <xf numFmtId="171" fontId="7" fillId="0" borderId="6" xfId="3" applyNumberFormat="1" applyFont="1" applyFill="1" applyBorder="1">
      <alignment vertical="top"/>
    </xf>
    <xf numFmtId="171" fontId="7" fillId="0" borderId="6" xfId="2" applyNumberFormat="1" applyFont="1" applyFill="1" applyBorder="1">
      <alignment vertical="top"/>
    </xf>
    <xf numFmtId="171" fontId="1" fillId="0" borderId="0" xfId="10" applyBorder="1">
      <alignment vertical="top"/>
    </xf>
    <xf numFmtId="171" fontId="5" fillId="0" borderId="0" xfId="2" applyNumberFormat="1" applyFont="1" applyBorder="1">
      <alignment vertical="top"/>
    </xf>
    <xf numFmtId="171" fontId="6" fillId="0" borderId="0" xfId="2" applyNumberFormat="1" applyFont="1" applyBorder="1">
      <alignment vertical="top"/>
    </xf>
    <xf numFmtId="171" fontId="7" fillId="0" borderId="0" xfId="2" applyNumberFormat="1" applyFont="1" applyBorder="1">
      <alignment vertical="top"/>
    </xf>
    <xf numFmtId="171" fontId="23" fillId="0" borderId="0" xfId="2" applyNumberFormat="1" applyFont="1" applyBorder="1">
      <alignment vertical="top"/>
    </xf>
    <xf numFmtId="171" fontId="7" fillId="0" borderId="0" xfId="3" applyNumberFormat="1" applyFont="1" applyFill="1" applyBorder="1">
      <alignment vertical="top"/>
    </xf>
    <xf numFmtId="171" fontId="38" fillId="0" borderId="0" xfId="2" applyNumberFormat="1" applyFont="1" applyFill="1">
      <alignment vertical="top"/>
    </xf>
    <xf numFmtId="171" fontId="35" fillId="0" borderId="0" xfId="10" applyFont="1">
      <alignment vertical="top"/>
    </xf>
    <xf numFmtId="171" fontId="10" fillId="0" borderId="6" xfId="2" applyNumberFormat="1" applyFont="1" applyBorder="1">
      <alignment vertical="top"/>
    </xf>
    <xf numFmtId="171" fontId="1" fillId="0" borderId="0" xfId="10" applyFill="1">
      <alignment vertical="top"/>
    </xf>
    <xf numFmtId="171" fontId="5" fillId="0" borderId="0" xfId="2" applyNumberFormat="1" applyFont="1" applyFill="1">
      <alignment vertical="top"/>
    </xf>
    <xf numFmtId="171" fontId="6" fillId="0" borderId="0" xfId="2" applyNumberFormat="1" applyFont="1" applyFill="1">
      <alignment vertical="top"/>
    </xf>
    <xf numFmtId="171" fontId="7" fillId="0" borderId="0" xfId="2" applyNumberFormat="1" applyFont="1" applyFill="1">
      <alignment vertical="top"/>
    </xf>
    <xf numFmtId="171" fontId="10" fillId="0" borderId="0" xfId="2" applyNumberFormat="1" applyFont="1" applyFill="1">
      <alignment vertical="top"/>
    </xf>
    <xf numFmtId="171" fontId="23" fillId="0" borderId="0" xfId="2" applyNumberFormat="1" applyFont="1" applyFill="1">
      <alignment vertical="top"/>
    </xf>
    <xf numFmtId="171" fontId="7" fillId="7" borderId="4" xfId="2" applyNumberFormat="1" applyFont="1" applyFill="1" applyBorder="1">
      <alignment vertical="top"/>
    </xf>
    <xf numFmtId="171" fontId="23" fillId="0" borderId="0" xfId="3" applyNumberFormat="1" applyFont="1" applyFill="1">
      <alignment vertical="top"/>
    </xf>
    <xf numFmtId="171" fontId="40" fillId="7" borderId="1" xfId="2" applyNumberFormat="1" applyFont="1" applyFill="1" applyBorder="1" applyAlignment="1">
      <alignment vertical="center" wrapText="1"/>
    </xf>
    <xf numFmtId="171" fontId="40" fillId="7" borderId="3" xfId="2" applyNumberFormat="1" applyFont="1" applyFill="1" applyBorder="1" applyAlignment="1">
      <alignment vertical="center" wrapText="1"/>
    </xf>
    <xf numFmtId="171" fontId="23" fillId="7" borderId="4" xfId="2" applyNumberFormat="1" applyFont="1" applyFill="1" applyBorder="1">
      <alignment vertical="top"/>
    </xf>
    <xf numFmtId="171" fontId="23" fillId="7" borderId="2" xfId="2" applyNumberFormat="1" applyFont="1" applyFill="1" applyBorder="1">
      <alignment vertical="top"/>
    </xf>
    <xf numFmtId="171" fontId="23" fillId="7" borderId="12" xfId="2" applyNumberFormat="1" applyFont="1" applyFill="1" applyBorder="1">
      <alignment vertical="top"/>
    </xf>
    <xf numFmtId="164" fontId="37" fillId="0" borderId="0" xfId="0" applyFont="1" applyFill="1" applyBorder="1">
      <alignment vertical="top"/>
    </xf>
    <xf numFmtId="171" fontId="5" fillId="0" borderId="0" xfId="2" applyNumberFormat="1" applyFont="1" applyFill="1" applyBorder="1">
      <alignment vertical="top"/>
    </xf>
    <xf numFmtId="171" fontId="6" fillId="0" borderId="0" xfId="2" applyNumberFormat="1" applyFont="1" applyFill="1" applyBorder="1">
      <alignment vertical="top"/>
    </xf>
    <xf numFmtId="171" fontId="23" fillId="0" borderId="0" xfId="3" applyNumberFormat="1" applyFont="1" applyFill="1" applyBorder="1">
      <alignment vertical="top"/>
    </xf>
    <xf numFmtId="37" fontId="23" fillId="8" borderId="2" xfId="2" applyNumberFormat="1" applyFont="1" applyFill="1" applyBorder="1">
      <alignment vertical="top"/>
    </xf>
    <xf numFmtId="37" fontId="23" fillId="7" borderId="0" xfId="2" applyNumberFormat="1" applyFont="1" applyFill="1" applyBorder="1">
      <alignment vertical="top"/>
    </xf>
    <xf numFmtId="171" fontId="23" fillId="0" borderId="6" xfId="2" applyNumberFormat="1" applyFont="1" applyFill="1" applyBorder="1">
      <alignment vertical="top"/>
    </xf>
    <xf numFmtId="168" fontId="7" fillId="0" borderId="0" xfId="11" applyFont="1">
      <alignment vertical="top"/>
    </xf>
    <xf numFmtId="164" fontId="10" fillId="0" borderId="0" xfId="0" applyFont="1">
      <alignment vertical="top"/>
    </xf>
    <xf numFmtId="37" fontId="10" fillId="0" borderId="0" xfId="0" applyNumberFormat="1" applyFont="1">
      <alignment vertical="top"/>
    </xf>
    <xf numFmtId="164" fontId="7" fillId="0" borderId="6" xfId="0" applyFont="1" applyBorder="1">
      <alignment vertical="top"/>
    </xf>
    <xf numFmtId="166" fontId="7" fillId="0" borderId="6" xfId="1" applyFont="1" applyBorder="1">
      <alignment vertical="top"/>
    </xf>
    <xf numFmtId="171" fontId="7" fillId="0" borderId="0" xfId="12" applyNumberFormat="1" applyFont="1">
      <alignment vertical="top"/>
    </xf>
    <xf numFmtId="164" fontId="7" fillId="7" borderId="1" xfId="0" applyFont="1" applyFill="1" applyBorder="1">
      <alignment vertical="top"/>
    </xf>
    <xf numFmtId="171" fontId="7" fillId="0" borderId="7" xfId="4" applyNumberFormat="1" applyFont="1" applyBorder="1">
      <alignment vertical="top"/>
    </xf>
    <xf numFmtId="171" fontId="7" fillId="0" borderId="7" xfId="2" applyNumberFormat="1" applyFont="1" applyBorder="1">
      <alignment vertical="top"/>
    </xf>
    <xf numFmtId="171" fontId="7" fillId="0" borderId="7" xfId="3" applyNumberFormat="1" applyFont="1" applyFill="1" applyBorder="1">
      <alignment vertical="top"/>
    </xf>
    <xf numFmtId="171" fontId="7" fillId="0" borderId="0" xfId="4" applyNumberFormat="1" applyFont="1" applyBorder="1">
      <alignment vertical="top"/>
    </xf>
    <xf numFmtId="171" fontId="7" fillId="0" borderId="0" xfId="4" applyNumberFormat="1" applyFont="1" applyFill="1" applyBorder="1">
      <alignment vertical="top"/>
    </xf>
    <xf numFmtId="171" fontId="7" fillId="0" borderId="8" xfId="4" applyNumberFormat="1" applyFont="1" applyBorder="1">
      <alignment vertical="top"/>
    </xf>
    <xf numFmtId="171" fontId="7" fillId="0" borderId="8" xfId="2" applyNumberFormat="1" applyFont="1" applyBorder="1">
      <alignment vertical="top"/>
    </xf>
    <xf numFmtId="171" fontId="7" fillId="0" borderId="8" xfId="3" applyNumberFormat="1" applyFont="1" applyFill="1" applyBorder="1">
      <alignment vertical="top"/>
    </xf>
    <xf numFmtId="171" fontId="0" fillId="0" borderId="0" xfId="10" applyFont="1">
      <alignment vertical="top"/>
    </xf>
    <xf numFmtId="171" fontId="7" fillId="0" borderId="0" xfId="4" applyNumberFormat="1" applyFont="1">
      <alignment vertical="top"/>
    </xf>
    <xf numFmtId="171" fontId="7" fillId="7" borderId="11" xfId="2" applyNumberFormat="1" applyFont="1" applyFill="1" applyBorder="1">
      <alignment vertical="top"/>
    </xf>
    <xf numFmtId="171" fontId="7" fillId="0" borderId="0" xfId="3" applyNumberFormat="1" applyFont="1">
      <alignment vertical="top"/>
    </xf>
    <xf numFmtId="180" fontId="7" fillId="0" borderId="0" xfId="2" applyNumberFormat="1" applyFont="1">
      <alignment vertical="top"/>
    </xf>
    <xf numFmtId="171" fontId="10" fillId="0" borderId="0" xfId="3" applyNumberFormat="1" applyFont="1" applyFill="1">
      <alignment vertical="top"/>
    </xf>
    <xf numFmtId="37" fontId="26" fillId="0" borderId="0" xfId="2" applyNumberFormat="1" applyFont="1" applyFill="1">
      <alignment vertical="top"/>
    </xf>
    <xf numFmtId="37" fontId="22" fillId="0" borderId="0" xfId="2" applyNumberFormat="1" applyFont="1" applyFill="1" applyAlignment="1">
      <alignment horizontal="right" vertical="top"/>
    </xf>
    <xf numFmtId="164" fontId="2" fillId="0" borderId="0" xfId="0" applyFont="1" applyFill="1">
      <alignment vertical="top"/>
    </xf>
    <xf numFmtId="171" fontId="29" fillId="0" borderId="0" xfId="2" applyNumberFormat="1" applyFont="1">
      <alignment vertical="top"/>
    </xf>
    <xf numFmtId="171" fontId="12" fillId="0" borderId="0" xfId="2" applyNumberFormat="1" applyFont="1">
      <alignment vertical="top"/>
    </xf>
    <xf numFmtId="171" fontId="45" fillId="0" borderId="0" xfId="2" applyNumberFormat="1" applyFont="1">
      <alignment vertical="top"/>
    </xf>
    <xf numFmtId="171" fontId="7" fillId="0" borderId="0" xfId="2" applyNumberFormat="1" applyFont="1" applyAlignment="1">
      <alignment horizontal="right" vertical="top"/>
    </xf>
    <xf numFmtId="171" fontId="7" fillId="7" borderId="5" xfId="2" applyNumberFormat="1" applyFont="1" applyFill="1" applyBorder="1">
      <alignment vertical="top"/>
    </xf>
    <xf numFmtId="171" fontId="7" fillId="7" borderId="9" xfId="2" applyNumberFormat="1" applyFont="1" applyFill="1" applyBorder="1">
      <alignment vertical="top"/>
    </xf>
    <xf numFmtId="171" fontId="7" fillId="7" borderId="10" xfId="2" applyNumberFormat="1" applyFont="1" applyFill="1" applyBorder="1">
      <alignment vertical="top"/>
    </xf>
    <xf numFmtId="164" fontId="1" fillId="0" borderId="0" xfId="0" applyFont="1" applyFill="1">
      <alignment vertical="top"/>
    </xf>
    <xf numFmtId="171" fontId="45" fillId="0" borderId="0" xfId="2" applyNumberFormat="1" applyFont="1" applyFill="1">
      <alignment vertical="top"/>
    </xf>
    <xf numFmtId="171" fontId="7" fillId="0" borderId="0" xfId="2" applyNumberFormat="1" applyFont="1" applyFill="1" applyAlignment="1">
      <alignment horizontal="right" vertical="top"/>
    </xf>
    <xf numFmtId="171" fontId="25" fillId="0" borderId="0" xfId="2" applyNumberFormat="1" applyFont="1" applyFill="1">
      <alignment vertical="top"/>
    </xf>
    <xf numFmtId="171" fontId="23" fillId="0" borderId="0" xfId="2" applyNumberFormat="1" applyFont="1" applyFill="1" applyAlignment="1">
      <alignment horizontal="right" vertical="top"/>
    </xf>
    <xf numFmtId="171" fontId="36" fillId="0" borderId="0" xfId="2" applyNumberFormat="1" applyFont="1">
      <alignment vertical="top"/>
    </xf>
    <xf numFmtId="171" fontId="25" fillId="0" borderId="0" xfId="2" applyNumberFormat="1" applyFont="1">
      <alignment vertical="top"/>
    </xf>
    <xf numFmtId="171" fontId="23" fillId="0" borderId="0" xfId="2" applyNumberFormat="1" applyFont="1" applyAlignment="1">
      <alignment horizontal="right" vertical="top"/>
    </xf>
    <xf numFmtId="171" fontId="36" fillId="0" borderId="0" xfId="2" applyNumberFormat="1" applyFont="1" applyFill="1">
      <alignment vertical="top"/>
    </xf>
    <xf numFmtId="171" fontId="33" fillId="0" borderId="0" xfId="2" applyNumberFormat="1" applyFont="1">
      <alignment vertical="top"/>
    </xf>
    <xf numFmtId="171" fontId="26" fillId="0" borderId="0" xfId="2" applyNumberFormat="1" applyFont="1">
      <alignment vertical="top"/>
    </xf>
    <xf numFmtId="171" fontId="22" fillId="0" borderId="0" xfId="2" applyNumberFormat="1" applyFont="1" applyAlignment="1">
      <alignment horizontal="right" vertical="top"/>
    </xf>
    <xf numFmtId="171" fontId="22" fillId="0" borderId="0" xfId="2" applyNumberFormat="1" applyFont="1">
      <alignment vertical="top"/>
    </xf>
    <xf numFmtId="171" fontId="23" fillId="7" borderId="3" xfId="2" applyNumberFormat="1" applyFont="1" applyFill="1" applyBorder="1">
      <alignment vertical="top"/>
    </xf>
    <xf numFmtId="171" fontId="22" fillId="0" borderId="0" xfId="2" applyNumberFormat="1" applyFont="1" applyFill="1" applyBorder="1">
      <alignment vertical="top"/>
    </xf>
    <xf numFmtId="171" fontId="23" fillId="7" borderId="11" xfId="2" applyNumberFormat="1" applyFont="1" applyFill="1" applyBorder="1">
      <alignment vertical="top"/>
    </xf>
    <xf numFmtId="164" fontId="37" fillId="7" borderId="2" xfId="0" applyFont="1" applyFill="1" applyBorder="1">
      <alignment vertical="top"/>
    </xf>
    <xf numFmtId="164" fontId="22" fillId="0" borderId="0" xfId="2" applyFont="1" applyFill="1">
      <alignment vertical="top"/>
    </xf>
    <xf numFmtId="171" fontId="22" fillId="0" borderId="0" xfId="3" applyNumberFormat="1" applyFont="1" applyFill="1">
      <alignment vertical="top"/>
    </xf>
    <xf numFmtId="171" fontId="23" fillId="8" borderId="2" xfId="2" applyNumberFormat="1" applyFont="1" applyFill="1" applyBorder="1">
      <alignment vertical="top"/>
    </xf>
    <xf numFmtId="171" fontId="23" fillId="8" borderId="1" xfId="2" applyNumberFormat="1" applyFont="1" applyFill="1" applyBorder="1">
      <alignment vertical="top"/>
    </xf>
    <xf numFmtId="164" fontId="23" fillId="7" borderId="2" xfId="2" applyFont="1" applyFill="1" applyBorder="1">
      <alignment vertical="top"/>
    </xf>
    <xf numFmtId="179" fontId="23" fillId="7" borderId="2" xfId="1" applyNumberFormat="1" applyFont="1" applyFill="1" applyBorder="1">
      <alignment vertical="top"/>
    </xf>
    <xf numFmtId="171" fontId="2" fillId="0" borderId="0" xfId="10" applyFont="1">
      <alignment vertical="top"/>
    </xf>
    <xf numFmtId="174" fontId="22" fillId="0" borderId="0" xfId="2" applyNumberFormat="1" applyFont="1" applyFill="1" applyBorder="1">
      <alignment vertical="top"/>
    </xf>
    <xf numFmtId="164" fontId="33" fillId="0" borderId="0" xfId="2" applyFont="1">
      <alignment vertical="top"/>
    </xf>
    <xf numFmtId="164" fontId="26" fillId="0" borderId="0" xfId="2" applyFont="1">
      <alignment vertical="top"/>
    </xf>
    <xf numFmtId="37" fontId="4" fillId="0" borderId="0" xfId="0" applyNumberFormat="1" applyFont="1">
      <alignment vertical="top"/>
    </xf>
    <xf numFmtId="37" fontId="5" fillId="0" borderId="0" xfId="0" applyNumberFormat="1" applyFont="1" applyAlignment="1">
      <alignment horizontal="right"/>
    </xf>
    <xf numFmtId="37" fontId="5" fillId="0" borderId="0" xfId="0" applyNumberFormat="1" applyFont="1">
      <alignment vertical="top"/>
    </xf>
    <xf numFmtId="37" fontId="12" fillId="0" borderId="0" xfId="0" applyNumberFormat="1" applyFont="1">
      <alignment vertical="top"/>
    </xf>
    <xf numFmtId="37" fontId="5" fillId="9" borderId="0" xfId="4" applyNumberFormat="1" applyFont="1" applyFill="1">
      <alignment vertical="top"/>
    </xf>
    <xf numFmtId="37" fontId="25" fillId="9" borderId="0" xfId="4" applyNumberFormat="1" applyFont="1" applyFill="1">
      <alignment vertical="top"/>
    </xf>
    <xf numFmtId="37" fontId="7" fillId="9" borderId="0" xfId="4" applyNumberFormat="1" applyFont="1" applyFill="1">
      <alignment vertical="top"/>
    </xf>
    <xf numFmtId="37" fontId="7" fillId="9" borderId="0" xfId="3" applyNumberFormat="1" applyFont="1" applyFill="1">
      <alignment vertical="top"/>
    </xf>
    <xf numFmtId="164" fontId="7" fillId="9" borderId="0" xfId="4" applyFont="1" applyFill="1">
      <alignment vertical="top"/>
    </xf>
    <xf numFmtId="164" fontId="46" fillId="10" borderId="0" xfId="0" applyFont="1" applyFill="1">
      <alignment vertical="top"/>
    </xf>
    <xf numFmtId="164" fontId="22" fillId="10" borderId="0" xfId="0" applyFont="1" applyFill="1">
      <alignment vertical="top"/>
    </xf>
    <xf numFmtId="164" fontId="47" fillId="10" borderId="0" xfId="0" applyFont="1" applyFill="1" applyAlignment="1">
      <alignment horizontal="right"/>
    </xf>
    <xf numFmtId="164" fontId="22" fillId="0" borderId="0" xfId="0" applyFont="1">
      <alignment vertical="top"/>
    </xf>
    <xf numFmtId="164" fontId="7" fillId="10" borderId="0" xfId="0" applyFont="1" applyFill="1">
      <alignment vertical="top"/>
    </xf>
    <xf numFmtId="164" fontId="47" fillId="10" borderId="0" xfId="0" applyFont="1" applyFill="1" applyAlignment="1"/>
    <xf numFmtId="164" fontId="48" fillId="10" borderId="0" xfId="0" applyFont="1" applyFill="1">
      <alignment vertical="top"/>
    </xf>
    <xf numFmtId="17" fontId="48" fillId="10" borderId="0" xfId="9" applyNumberFormat="1" applyFont="1" applyFill="1">
      <alignment vertical="top"/>
    </xf>
    <xf numFmtId="164" fontId="49" fillId="10" borderId="0" xfId="0" applyFont="1" applyFill="1">
      <alignment vertical="top"/>
    </xf>
    <xf numFmtId="17" fontId="46" fillId="10" borderId="0" xfId="0" applyNumberFormat="1" applyFont="1" applyFill="1">
      <alignment vertical="top"/>
    </xf>
    <xf numFmtId="37" fontId="13" fillId="4" borderId="0" xfId="0" applyNumberFormat="1" applyFont="1" applyFill="1">
      <alignment vertical="top"/>
    </xf>
    <xf numFmtId="37" fontId="5" fillId="4" borderId="0" xfId="0" applyNumberFormat="1" applyFont="1" applyFill="1">
      <alignment vertical="top"/>
    </xf>
    <xf numFmtId="37" fontId="14" fillId="4" borderId="0" xfId="0" applyNumberFormat="1" applyFont="1" applyFill="1">
      <alignment vertical="top"/>
    </xf>
    <xf numFmtId="37" fontId="5" fillId="4" borderId="0" xfId="0" applyNumberFormat="1" applyFont="1" applyFill="1" applyAlignment="1">
      <alignment horizontal="right" vertical="top"/>
    </xf>
    <xf numFmtId="37" fontId="5" fillId="0" borderId="0" xfId="0" applyNumberFormat="1" applyFont="1" applyFill="1">
      <alignment vertical="top"/>
    </xf>
    <xf numFmtId="37" fontId="10" fillId="4" borderId="0" xfId="0" applyNumberFormat="1" applyFont="1" applyFill="1">
      <alignment vertical="top"/>
    </xf>
    <xf numFmtId="37" fontId="6" fillId="0" borderId="0" xfId="0" applyNumberFormat="1" applyFont="1">
      <alignment vertical="top"/>
    </xf>
    <xf numFmtId="37" fontId="10" fillId="0" borderId="0" xfId="0" applyNumberFormat="1" applyFont="1" applyAlignment="1">
      <alignment horizontal="right" vertical="top"/>
    </xf>
    <xf numFmtId="37" fontId="7" fillId="0" borderId="0" xfId="0" applyNumberFormat="1" applyFont="1">
      <alignment vertical="top"/>
    </xf>
    <xf numFmtId="164" fontId="7" fillId="0" borderId="0" xfId="0" applyFont="1" applyFill="1">
      <alignment vertical="top"/>
    </xf>
    <xf numFmtId="165" fontId="29" fillId="0" borderId="0" xfId="3" applyFont="1">
      <alignment vertical="top"/>
    </xf>
    <xf numFmtId="37" fontId="10" fillId="0" borderId="0" xfId="0" applyNumberFormat="1" applyFont="1" applyFill="1">
      <alignment vertical="top"/>
    </xf>
    <xf numFmtId="17" fontId="29" fillId="0" borderId="0" xfId="9" applyNumberFormat="1" applyFont="1">
      <alignment vertical="top"/>
    </xf>
    <xf numFmtId="37" fontId="33" fillId="0" borderId="0" xfId="0" applyNumberFormat="1" applyFont="1">
      <alignment vertical="top"/>
    </xf>
    <xf numFmtId="37" fontId="26" fillId="0" borderId="0" xfId="0" applyNumberFormat="1" applyFont="1">
      <alignment vertical="top"/>
    </xf>
    <xf numFmtId="37" fontId="22" fillId="0" borderId="0" xfId="0" applyNumberFormat="1" applyFont="1">
      <alignment vertical="top"/>
    </xf>
    <xf numFmtId="37" fontId="22" fillId="0" borderId="0" xfId="3" applyNumberFormat="1" applyFont="1" applyFill="1">
      <alignment vertical="top"/>
    </xf>
    <xf numFmtId="37" fontId="22" fillId="0" borderId="0" xfId="0" applyNumberFormat="1" applyFont="1" applyFill="1">
      <alignment vertical="top"/>
    </xf>
    <xf numFmtId="166" fontId="10" fillId="0" borderId="0" xfId="1" applyFont="1" applyFill="1">
      <alignment vertical="top"/>
    </xf>
    <xf numFmtId="37" fontId="29" fillId="0" borderId="0" xfId="1" applyNumberFormat="1" applyFont="1" applyFill="1">
      <alignment vertical="top"/>
    </xf>
    <xf numFmtId="166" fontId="29" fillId="0" borderId="0" xfId="1" applyFont="1" applyFill="1" applyBorder="1">
      <alignment vertical="top"/>
    </xf>
    <xf numFmtId="37" fontId="7" fillId="8" borderId="0" xfId="0" applyNumberFormat="1" applyFont="1" applyFill="1">
      <alignment vertical="top"/>
    </xf>
    <xf numFmtId="164" fontId="44" fillId="10" borderId="0" xfId="0" applyFont="1" applyFill="1">
      <alignment vertical="top"/>
    </xf>
    <xf numFmtId="165" fontId="10" fillId="0" borderId="0" xfId="3" applyFont="1" applyFill="1">
      <alignment vertical="top"/>
    </xf>
    <xf numFmtId="164" fontId="10" fillId="0" borderId="0" xfId="0" applyFont="1" applyFill="1">
      <alignment vertical="top"/>
    </xf>
    <xf numFmtId="37" fontId="10" fillId="0" borderId="0" xfId="4" applyNumberFormat="1" applyFont="1" applyFill="1">
      <alignment vertical="top"/>
    </xf>
    <xf numFmtId="164" fontId="21" fillId="0" borderId="0" xfId="0" applyFont="1">
      <alignment vertical="top"/>
    </xf>
    <xf numFmtId="165" fontId="10" fillId="3" borderId="0" xfId="3" applyFont="1" applyFill="1">
      <alignment vertical="top"/>
    </xf>
    <xf numFmtId="164" fontId="44" fillId="10" borderId="0" xfId="0" applyFont="1" applyFill="1" applyAlignment="1">
      <alignment horizontal="right" vertical="top"/>
    </xf>
    <xf numFmtId="164" fontId="7" fillId="6" borderId="0" xfId="0" applyFont="1" applyFill="1">
      <alignment vertical="top"/>
    </xf>
    <xf numFmtId="37" fontId="4" fillId="0" borderId="0" xfId="13" applyNumberFormat="1" applyFont="1">
      <alignment vertical="top"/>
    </xf>
    <xf numFmtId="37" fontId="5" fillId="0" borderId="0" xfId="13" applyNumberFormat="1" applyFont="1">
      <alignment vertical="top"/>
    </xf>
    <xf numFmtId="37" fontId="6" fillId="0" borderId="0" xfId="13" applyNumberFormat="1" applyFont="1">
      <alignment vertical="top"/>
    </xf>
    <xf numFmtId="37" fontId="7" fillId="0" borderId="0" xfId="13" applyNumberFormat="1" applyFont="1">
      <alignment vertical="top"/>
    </xf>
    <xf numFmtId="37" fontId="8" fillId="0" borderId="0" xfId="13" applyNumberFormat="1" applyFont="1" applyAlignment="1">
      <alignment horizontal="left" vertical="top"/>
    </xf>
    <xf numFmtId="37" fontId="10" fillId="0" borderId="0" xfId="13" applyNumberFormat="1" applyFont="1" applyFill="1">
      <alignment vertical="top"/>
    </xf>
    <xf numFmtId="37" fontId="5" fillId="0" borderId="0" xfId="13" applyNumberFormat="1" applyFont="1" applyAlignment="1">
      <alignment horizontal="right"/>
    </xf>
    <xf numFmtId="37" fontId="12" fillId="0" borderId="0" xfId="13" applyNumberFormat="1" applyFont="1">
      <alignment vertical="top"/>
    </xf>
    <xf numFmtId="171" fontId="7" fillId="0" borderId="0" xfId="13" applyFont="1" applyFill="1">
      <alignment vertical="top"/>
    </xf>
    <xf numFmtId="37" fontId="13" fillId="4" borderId="0" xfId="13" applyNumberFormat="1" applyFont="1" applyFill="1">
      <alignment vertical="top"/>
    </xf>
    <xf numFmtId="37" fontId="5" fillId="4" borderId="0" xfId="13" applyNumberFormat="1" applyFont="1" applyFill="1">
      <alignment vertical="top"/>
    </xf>
    <xf numFmtId="37" fontId="14" fillId="4" borderId="0" xfId="13" applyNumberFormat="1" applyFont="1" applyFill="1">
      <alignment vertical="top"/>
    </xf>
    <xf numFmtId="37" fontId="5" fillId="4" borderId="0" xfId="13" applyNumberFormat="1" applyFont="1" applyFill="1" applyAlignment="1">
      <alignment horizontal="right" vertical="top"/>
    </xf>
    <xf numFmtId="37" fontId="5" fillId="0" borderId="0" xfId="13" applyNumberFormat="1" applyFont="1" applyFill="1">
      <alignment vertical="top"/>
    </xf>
    <xf numFmtId="37" fontId="10" fillId="4" borderId="0" xfId="13" applyNumberFormat="1" applyFont="1" applyFill="1">
      <alignment vertical="top"/>
    </xf>
    <xf numFmtId="37" fontId="10" fillId="0" borderId="0" xfId="13" applyNumberFormat="1" applyFont="1" applyAlignment="1">
      <alignment horizontal="right" vertical="top"/>
    </xf>
    <xf numFmtId="165" fontId="50" fillId="0" borderId="0" xfId="3" applyFont="1">
      <alignment vertical="top"/>
    </xf>
    <xf numFmtId="164" fontId="10" fillId="0" borderId="0" xfId="4" applyFont="1" applyFill="1">
      <alignment vertical="top"/>
    </xf>
    <xf numFmtId="164" fontId="10" fillId="0" borderId="0" xfId="4" applyFont="1">
      <alignment vertical="top"/>
    </xf>
    <xf numFmtId="37" fontId="36" fillId="0" borderId="0" xfId="0" applyNumberFormat="1" applyFont="1">
      <alignment vertical="top"/>
    </xf>
    <xf numFmtId="164" fontId="23" fillId="0" borderId="0" xfId="0" applyFont="1" applyFill="1">
      <alignment vertical="top"/>
    </xf>
    <xf numFmtId="166" fontId="23" fillId="7" borderId="0" xfId="1" applyFont="1" applyFill="1">
      <alignment vertical="top"/>
    </xf>
    <xf numFmtId="164" fontId="23" fillId="0" borderId="0" xfId="4" applyFont="1">
      <alignment vertical="top"/>
    </xf>
    <xf numFmtId="166" fontId="50" fillId="0" borderId="0" xfId="1" applyFont="1">
      <alignment vertical="top"/>
    </xf>
    <xf numFmtId="166" fontId="23" fillId="0" borderId="0" xfId="1" applyFont="1" applyFill="1">
      <alignment vertical="top"/>
    </xf>
    <xf numFmtId="37" fontId="23" fillId="0" borderId="0" xfId="0" applyNumberFormat="1" applyFont="1">
      <alignment vertical="top"/>
    </xf>
    <xf numFmtId="37" fontId="13" fillId="0" borderId="0" xfId="0" applyNumberFormat="1" applyFont="1" applyFill="1">
      <alignment vertical="top"/>
    </xf>
    <xf numFmtId="37" fontId="14" fillId="0" borderId="0" xfId="0" applyNumberFormat="1" applyFont="1" applyFill="1">
      <alignment vertical="top"/>
    </xf>
    <xf numFmtId="37" fontId="5" fillId="0" borderId="0" xfId="0" applyNumberFormat="1" applyFont="1" applyFill="1" applyAlignment="1">
      <alignment horizontal="right" vertical="top"/>
    </xf>
    <xf numFmtId="37" fontId="13" fillId="4" borderId="0" xfId="4" applyNumberFormat="1" applyFont="1" applyFill="1">
      <alignment vertical="top"/>
    </xf>
    <xf numFmtId="37" fontId="5" fillId="4" borderId="0" xfId="4" applyNumberFormat="1" applyFont="1" applyFill="1">
      <alignment vertical="top"/>
    </xf>
    <xf numFmtId="37" fontId="6" fillId="4" borderId="0" xfId="4" applyNumberFormat="1" applyFont="1" applyFill="1">
      <alignment vertical="top"/>
    </xf>
    <xf numFmtId="37" fontId="10" fillId="4" borderId="0" xfId="4" applyNumberFormat="1" applyFont="1" applyFill="1" applyAlignment="1">
      <alignment horizontal="right" vertical="top"/>
    </xf>
    <xf numFmtId="37" fontId="10" fillId="4" borderId="0" xfId="4" applyNumberFormat="1" applyFont="1" applyFill="1">
      <alignment vertical="top"/>
    </xf>
    <xf numFmtId="37" fontId="13" fillId="0" borderId="0" xfId="4" applyNumberFormat="1" applyFont="1">
      <alignment vertical="top"/>
    </xf>
    <xf numFmtId="37" fontId="5" fillId="0" borderId="0" xfId="4" applyNumberFormat="1" applyFont="1">
      <alignment vertical="top"/>
    </xf>
    <xf numFmtId="37" fontId="6" fillId="0" borderId="0" xfId="4" applyNumberFormat="1" applyFont="1">
      <alignment vertical="top"/>
    </xf>
    <xf numFmtId="37" fontId="10" fillId="0" borderId="0" xfId="4" applyNumberFormat="1" applyFont="1">
      <alignment vertical="top"/>
    </xf>
    <xf numFmtId="37" fontId="10" fillId="0" borderId="0" xfId="3" applyNumberFormat="1" applyFont="1" applyFill="1">
      <alignment vertical="top"/>
    </xf>
    <xf numFmtId="37" fontId="10" fillId="6" borderId="0" xfId="4" applyNumberFormat="1" applyFont="1" applyFill="1">
      <alignment vertical="top"/>
    </xf>
    <xf numFmtId="37" fontId="33" fillId="0" borderId="0" xfId="4" applyNumberFormat="1" applyFont="1">
      <alignment vertical="top"/>
    </xf>
    <xf numFmtId="164" fontId="9" fillId="0" borderId="0" xfId="0" applyFont="1">
      <alignment vertical="top"/>
    </xf>
    <xf numFmtId="37" fontId="22" fillId="0" borderId="0" xfId="4" applyNumberFormat="1" applyFont="1">
      <alignment vertical="top"/>
    </xf>
    <xf numFmtId="164" fontId="22" fillId="0" borderId="0" xfId="4" applyFont="1">
      <alignment vertical="top"/>
    </xf>
    <xf numFmtId="37" fontId="36" fillId="9" borderId="0" xfId="4" applyNumberFormat="1" applyFont="1" applyFill="1">
      <alignment vertical="top"/>
    </xf>
    <xf numFmtId="37" fontId="23" fillId="9" borderId="0" xfId="4" applyNumberFormat="1" applyFont="1" applyFill="1">
      <alignment vertical="top"/>
    </xf>
    <xf numFmtId="37" fontId="23" fillId="9" borderId="0" xfId="3" applyNumberFormat="1" applyFont="1" applyFill="1">
      <alignment vertical="top"/>
    </xf>
    <xf numFmtId="164" fontId="23" fillId="9" borderId="0" xfId="4" applyFont="1" applyFill="1">
      <alignment vertical="top"/>
    </xf>
    <xf numFmtId="164" fontId="7" fillId="0" borderId="0" xfId="0" applyFont="1" applyAlignment="1"/>
    <xf numFmtId="37" fontId="23" fillId="8" borderId="0" xfId="0" applyNumberFormat="1" applyFont="1" applyFill="1">
      <alignment vertical="top"/>
    </xf>
    <xf numFmtId="37" fontId="7" fillId="7" borderId="0" xfId="0" applyNumberFormat="1" applyFont="1" applyFill="1">
      <alignment vertical="top"/>
    </xf>
    <xf numFmtId="37" fontId="25" fillId="0" borderId="0" xfId="0" applyNumberFormat="1" applyFont="1">
      <alignment vertical="top"/>
    </xf>
    <xf numFmtId="37" fontId="29" fillId="0" borderId="0" xfId="0" applyNumberFormat="1" applyFont="1">
      <alignment vertical="top"/>
    </xf>
    <xf numFmtId="37" fontId="23" fillId="0" borderId="0" xfId="3" applyNumberFormat="1" applyFont="1" applyFill="1" applyBorder="1">
      <alignment vertical="top"/>
    </xf>
    <xf numFmtId="37" fontId="23" fillId="0" borderId="0" xfId="0" applyNumberFormat="1" applyFont="1" applyFill="1">
      <alignment vertical="top"/>
    </xf>
    <xf numFmtId="37" fontId="10" fillId="0" borderId="0" xfId="0" applyNumberFormat="1" applyFont="1" applyAlignment="1">
      <alignment horizontal="right"/>
    </xf>
    <xf numFmtId="37" fontId="10" fillId="0" borderId="0" xfId="3" applyNumberFormat="1" applyFont="1" applyFill="1" applyBorder="1">
      <alignment vertical="top"/>
    </xf>
    <xf numFmtId="165" fontId="39" fillId="0" borderId="0" xfId="3" applyFont="1">
      <alignment vertical="top"/>
    </xf>
    <xf numFmtId="164" fontId="5" fillId="0" borderId="0" xfId="0" applyFont="1" applyFill="1">
      <alignment vertical="top"/>
    </xf>
    <xf numFmtId="164" fontId="6" fillId="0" borderId="0" xfId="0" applyFont="1" applyFill="1">
      <alignment vertical="top"/>
    </xf>
    <xf numFmtId="164" fontId="13" fillId="0" borderId="0" xfId="0" applyFont="1">
      <alignment vertical="top"/>
    </xf>
    <xf numFmtId="164" fontId="5" fillId="0" borderId="0" xfId="0" applyFont="1">
      <alignment vertical="top"/>
    </xf>
    <xf numFmtId="164" fontId="6" fillId="0" borderId="0" xfId="0" applyFont="1">
      <alignment vertical="top"/>
    </xf>
    <xf numFmtId="166" fontId="29" fillId="0" borderId="1" xfId="1" applyFont="1" applyFill="1" applyBorder="1">
      <alignment vertical="top"/>
    </xf>
    <xf numFmtId="166" fontId="23" fillId="7" borderId="0" xfId="1" applyFont="1" applyFill="1" applyBorder="1">
      <alignment vertical="top"/>
    </xf>
    <xf numFmtId="171" fontId="2" fillId="0" borderId="6" xfId="10" applyFont="1" applyBorder="1">
      <alignment vertical="top"/>
    </xf>
    <xf numFmtId="171" fontId="33" fillId="0" borderId="6" xfId="2" applyNumberFormat="1" applyFont="1" applyBorder="1">
      <alignment vertical="top"/>
    </xf>
    <xf numFmtId="171" fontId="26" fillId="0" borderId="6" xfId="2" applyNumberFormat="1" applyFont="1" applyBorder="1">
      <alignment vertical="top"/>
    </xf>
    <xf numFmtId="171" fontId="22" fillId="0" borderId="6" xfId="2" applyNumberFormat="1" applyFont="1" applyBorder="1">
      <alignment vertical="top"/>
    </xf>
    <xf numFmtId="171" fontId="22" fillId="0" borderId="6" xfId="3" applyNumberFormat="1" applyFont="1" applyFill="1" applyBorder="1">
      <alignment vertical="top"/>
    </xf>
    <xf numFmtId="171" fontId="22" fillId="0" borderId="6" xfId="2" applyNumberFormat="1" applyFont="1" applyFill="1" applyBorder="1">
      <alignment vertical="top"/>
    </xf>
    <xf numFmtId="178" fontId="10" fillId="7" borderId="1" xfId="0" applyNumberFormat="1" applyFont="1" applyFill="1" applyBorder="1" applyAlignment="1">
      <alignment horizontal="right" vertical="top"/>
    </xf>
    <xf numFmtId="165" fontId="29" fillId="0" borderId="0" xfId="2" applyNumberFormat="1" applyFont="1" applyBorder="1">
      <alignment vertical="top"/>
    </xf>
    <xf numFmtId="37" fontId="36" fillId="0" borderId="0" xfId="0" applyNumberFormat="1" applyFont="1" applyFill="1">
      <alignment vertical="top"/>
    </xf>
    <xf numFmtId="37" fontId="51" fillId="0" borderId="0" xfId="0" applyNumberFormat="1" applyFont="1" applyFill="1">
      <alignment vertical="top"/>
    </xf>
    <xf numFmtId="37" fontId="36" fillId="0" borderId="0" xfId="0" applyNumberFormat="1" applyFont="1" applyFill="1" applyAlignment="1">
      <alignment horizontal="right" vertical="top"/>
    </xf>
    <xf numFmtId="165" fontId="23" fillId="0" borderId="0" xfId="3" applyFont="1" applyFill="1">
      <alignment vertical="top"/>
    </xf>
    <xf numFmtId="178" fontId="23" fillId="0" borderId="0" xfId="0" applyNumberFormat="1" applyFont="1" applyFill="1">
      <alignment vertical="top"/>
    </xf>
    <xf numFmtId="165" fontId="23" fillId="7" borderId="1" xfId="3" applyFont="1" applyFill="1" applyBorder="1">
      <alignment vertical="top"/>
    </xf>
    <xf numFmtId="164" fontId="36" fillId="0" borderId="0" xfId="2" applyFont="1" applyFill="1">
      <alignment vertical="top"/>
    </xf>
    <xf numFmtId="164" fontId="25" fillId="0" borderId="0" xfId="2" applyFont="1" applyFill="1">
      <alignment vertical="top"/>
    </xf>
    <xf numFmtId="171" fontId="33" fillId="0" borderId="0" xfId="2" applyNumberFormat="1" applyFont="1" applyFill="1">
      <alignment vertical="top"/>
    </xf>
    <xf numFmtId="37" fontId="10" fillId="0" borderId="0" xfId="2" applyNumberFormat="1" applyFont="1" applyFill="1" applyAlignment="1">
      <alignment horizontal="right" vertical="top"/>
    </xf>
    <xf numFmtId="164" fontId="36" fillId="0" borderId="0" xfId="2" applyFont="1" applyBorder="1">
      <alignment vertical="top"/>
    </xf>
    <xf numFmtId="164" fontId="25" fillId="0" borderId="0" xfId="2" applyFont="1" applyBorder="1">
      <alignment vertical="top"/>
    </xf>
    <xf numFmtId="178" fontId="44" fillId="0" borderId="0" xfId="0" applyNumberFormat="1" applyFont="1" applyFill="1">
      <alignment vertical="top"/>
    </xf>
    <xf numFmtId="178" fontId="5" fillId="0" borderId="0" xfId="0" applyNumberFormat="1" applyFont="1" applyFill="1">
      <alignment vertical="top"/>
    </xf>
    <xf numFmtId="178" fontId="6" fillId="0" borderId="0" xfId="0" applyNumberFormat="1" applyFont="1" applyFill="1">
      <alignment vertical="top"/>
    </xf>
    <xf numFmtId="164" fontId="36" fillId="0" borderId="6" xfId="2" applyFont="1" applyBorder="1">
      <alignment vertical="top"/>
    </xf>
    <xf numFmtId="164" fontId="25" fillId="0" borderId="6" xfId="2" applyFont="1" applyBorder="1">
      <alignment vertical="top"/>
    </xf>
    <xf numFmtId="164" fontId="23" fillId="0" borderId="6" xfId="2" applyFont="1" applyBorder="1">
      <alignment vertical="top"/>
    </xf>
    <xf numFmtId="164" fontId="23" fillId="0" borderId="6" xfId="2" applyFont="1" applyFill="1" applyBorder="1">
      <alignment vertical="top"/>
    </xf>
    <xf numFmtId="178" fontId="10" fillId="0" borderId="0" xfId="2" applyNumberFormat="1" applyFont="1" applyBorder="1">
      <alignment vertical="top"/>
    </xf>
    <xf numFmtId="178" fontId="10" fillId="0" borderId="0" xfId="2" applyNumberFormat="1" applyFont="1">
      <alignment vertical="top"/>
    </xf>
    <xf numFmtId="39" fontId="23" fillId="2" borderId="0" xfId="4" applyNumberFormat="1" applyFont="1" applyFill="1">
      <alignment vertical="top"/>
    </xf>
    <xf numFmtId="164" fontId="22" fillId="0" borderId="0" xfId="2" applyFont="1" applyBorder="1">
      <alignment vertical="top"/>
    </xf>
    <xf numFmtId="164" fontId="2" fillId="0" borderId="0" xfId="0" applyFont="1" applyFill="1" applyBorder="1">
      <alignment vertical="top"/>
    </xf>
    <xf numFmtId="171" fontId="26" fillId="0" borderId="0" xfId="2" applyNumberFormat="1" applyFont="1" applyFill="1" applyBorder="1">
      <alignment vertical="top"/>
    </xf>
    <xf numFmtId="171" fontId="22" fillId="0" borderId="0" xfId="3" applyNumberFormat="1" applyFont="1" applyFill="1" applyBorder="1">
      <alignment vertical="top"/>
    </xf>
    <xf numFmtId="171" fontId="22" fillId="0" borderId="0" xfId="2" applyNumberFormat="1" applyFont="1" applyBorder="1">
      <alignment vertical="top"/>
    </xf>
    <xf numFmtId="171" fontId="25" fillId="0" borderId="0" xfId="2" applyNumberFormat="1" applyFont="1" applyFill="1" applyBorder="1">
      <alignment vertical="top"/>
    </xf>
    <xf numFmtId="164" fontId="2" fillId="0" borderId="6" xfId="0" applyFont="1" applyFill="1" applyBorder="1">
      <alignment vertical="top"/>
    </xf>
    <xf numFmtId="171" fontId="26" fillId="0" borderId="6" xfId="2" applyNumberFormat="1" applyFont="1" applyFill="1" applyBorder="1">
      <alignment vertical="top"/>
    </xf>
    <xf numFmtId="164" fontId="22" fillId="0" borderId="6" xfId="2" applyFont="1" applyBorder="1">
      <alignment vertical="top"/>
    </xf>
    <xf numFmtId="171" fontId="29" fillId="0" borderId="0" xfId="2" applyNumberFormat="1" applyFont="1" applyFill="1">
      <alignment vertical="top"/>
    </xf>
    <xf numFmtId="171" fontId="29" fillId="0" borderId="0" xfId="2" applyNumberFormat="1" applyFont="1" applyFill="1" applyBorder="1">
      <alignment vertical="top"/>
    </xf>
    <xf numFmtId="164" fontId="22" fillId="0" borderId="6" xfId="2" applyFont="1" applyFill="1" applyBorder="1">
      <alignment vertical="top"/>
    </xf>
    <xf numFmtId="37" fontId="29" fillId="0" borderId="0" xfId="2" applyNumberFormat="1" applyFont="1" applyFill="1" applyBorder="1">
      <alignment vertical="top"/>
    </xf>
    <xf numFmtId="171" fontId="33" fillId="0" borderId="6" xfId="2" applyNumberFormat="1" applyFont="1" applyFill="1" applyBorder="1">
      <alignment vertical="top"/>
    </xf>
    <xf numFmtId="164" fontId="23" fillId="0" borderId="6" xfId="0" applyFont="1" applyBorder="1">
      <alignment vertical="top"/>
    </xf>
    <xf numFmtId="164" fontId="29" fillId="0" borderId="6" xfId="0" applyFont="1" applyBorder="1">
      <alignment vertical="top"/>
    </xf>
    <xf numFmtId="164" fontId="10" fillId="0" borderId="6" xfId="0" applyFont="1" applyBorder="1">
      <alignment vertical="top"/>
    </xf>
    <xf numFmtId="178" fontId="29" fillId="0" borderId="0" xfId="2" applyNumberFormat="1" applyFont="1">
      <alignment vertical="top"/>
    </xf>
    <xf numFmtId="164" fontId="33" fillId="0" borderId="6" xfId="2" applyFont="1" applyBorder="1">
      <alignment vertical="top"/>
    </xf>
    <xf numFmtId="164" fontId="26" fillId="0" borderId="6" xfId="2" applyFont="1" applyBorder="1">
      <alignment vertical="top"/>
    </xf>
    <xf numFmtId="164" fontId="33" fillId="0" borderId="0" xfId="2" applyFont="1" applyBorder="1">
      <alignment vertical="top"/>
    </xf>
    <xf numFmtId="164" fontId="26" fillId="0" borderId="0" xfId="2" applyFont="1" applyBorder="1">
      <alignment vertical="top"/>
    </xf>
    <xf numFmtId="164" fontId="22" fillId="0" borderId="0" xfId="2" applyFont="1" applyFill="1" applyBorder="1">
      <alignment vertical="top"/>
    </xf>
    <xf numFmtId="166" fontId="22" fillId="0" borderId="6" xfId="1" applyFont="1" applyFill="1" applyBorder="1">
      <alignment vertical="top"/>
    </xf>
    <xf numFmtId="169" fontId="22" fillId="0" borderId="0" xfId="2" applyNumberFormat="1" applyFont="1">
      <alignment vertical="top"/>
    </xf>
    <xf numFmtId="164" fontId="22" fillId="0" borderId="7" xfId="0" applyFont="1" applyFill="1" applyBorder="1">
      <alignment vertical="top"/>
    </xf>
    <xf numFmtId="164" fontId="22" fillId="0" borderId="7" xfId="3" applyNumberFormat="1" applyFont="1" applyFill="1" applyBorder="1">
      <alignment vertical="top"/>
    </xf>
    <xf numFmtId="164" fontId="22" fillId="0" borderId="7" xfId="2" applyFont="1" applyBorder="1">
      <alignment vertical="top"/>
    </xf>
    <xf numFmtId="164" fontId="22" fillId="0" borderId="0" xfId="0" applyFont="1" applyFill="1" applyBorder="1">
      <alignment vertical="top"/>
    </xf>
    <xf numFmtId="164" fontId="22" fillId="0" borderId="0" xfId="3" applyNumberFormat="1" applyFont="1" applyFill="1" applyBorder="1">
      <alignment vertical="top"/>
    </xf>
    <xf numFmtId="164" fontId="22" fillId="0" borderId="8" xfId="0" applyFont="1" applyFill="1" applyBorder="1">
      <alignment vertical="top"/>
    </xf>
    <xf numFmtId="164" fontId="22" fillId="0" borderId="8" xfId="3" applyNumberFormat="1" applyFont="1" applyFill="1" applyBorder="1">
      <alignment vertical="top"/>
    </xf>
    <xf numFmtId="164" fontId="22" fillId="0" borderId="8" xfId="2" applyFont="1" applyBorder="1">
      <alignment vertical="top"/>
    </xf>
    <xf numFmtId="178" fontId="10" fillId="0" borderId="0" xfId="2" applyNumberFormat="1" applyFont="1" applyFill="1">
      <alignment vertical="top"/>
    </xf>
    <xf numFmtId="164" fontId="29" fillId="0" borderId="6" xfId="2" applyFont="1" applyBorder="1">
      <alignment vertical="top"/>
    </xf>
    <xf numFmtId="164" fontId="36" fillId="0" borderId="6" xfId="2" applyFont="1" applyFill="1" applyBorder="1">
      <alignment vertical="top"/>
    </xf>
    <xf numFmtId="164" fontId="25" fillId="0" borderId="6" xfId="2" applyFont="1" applyFill="1" applyBorder="1">
      <alignment vertical="top"/>
    </xf>
    <xf numFmtId="37" fontId="7" fillId="7" borderId="1" xfId="13" applyNumberFormat="1" applyFont="1" applyFill="1" applyBorder="1">
      <alignment vertical="top"/>
    </xf>
    <xf numFmtId="37" fontId="7" fillId="2" borderId="0" xfId="13" applyNumberFormat="1" applyFont="1" applyFill="1">
      <alignment vertical="top"/>
    </xf>
    <xf numFmtId="165" fontId="29" fillId="3" borderId="0" xfId="3" applyFont="1" applyFill="1">
      <alignment vertical="top"/>
    </xf>
    <xf numFmtId="171" fontId="3" fillId="2" borderId="0" xfId="13" applyFill="1">
      <alignment vertical="top"/>
    </xf>
    <xf numFmtId="171" fontId="3" fillId="0" borderId="0" xfId="13">
      <alignment vertical="top"/>
    </xf>
    <xf numFmtId="37" fontId="33" fillId="0" borderId="0" xfId="13" applyNumberFormat="1" applyFont="1">
      <alignment vertical="top"/>
    </xf>
    <xf numFmtId="37" fontId="26" fillId="0" borderId="0" xfId="13" applyNumberFormat="1" applyFont="1">
      <alignment vertical="top"/>
    </xf>
    <xf numFmtId="37" fontId="22" fillId="0" borderId="0" xfId="13" applyNumberFormat="1" applyFont="1">
      <alignment vertical="top"/>
    </xf>
    <xf numFmtId="171" fontId="35" fillId="3" borderId="0" xfId="13" applyFont="1" applyFill="1" applyAlignment="1">
      <alignment horizontal="center" vertical="top"/>
    </xf>
    <xf numFmtId="37" fontId="52" fillId="0" borderId="0" xfId="13" applyNumberFormat="1" applyFont="1" applyAlignment="1">
      <alignment horizontal="left" vertical="top"/>
    </xf>
    <xf numFmtId="37" fontId="22" fillId="0" borderId="0" xfId="13" applyNumberFormat="1" applyFont="1" applyFill="1">
      <alignment vertical="top"/>
    </xf>
    <xf numFmtId="171" fontId="21" fillId="2" borderId="0" xfId="13" applyFont="1" applyFill="1">
      <alignment vertical="top"/>
    </xf>
    <xf numFmtId="171" fontId="21" fillId="0" borderId="0" xfId="13" applyFont="1">
      <alignment vertical="top"/>
    </xf>
    <xf numFmtId="171" fontId="37" fillId="0" borderId="0" xfId="13" applyFont="1">
      <alignment vertical="top"/>
    </xf>
    <xf numFmtId="37" fontId="5" fillId="2" borderId="0" xfId="13" applyNumberFormat="1" applyFont="1" applyFill="1">
      <alignment vertical="top"/>
    </xf>
    <xf numFmtId="165" fontId="29" fillId="0" borderId="0" xfId="13" applyNumberFormat="1" applyFont="1">
      <alignment vertical="top"/>
    </xf>
    <xf numFmtId="171" fontId="29" fillId="0" borderId="0" xfId="13" applyFont="1" applyAlignment="1">
      <alignment horizontal="right"/>
    </xf>
    <xf numFmtId="178" fontId="29" fillId="0" borderId="0" xfId="13" applyNumberFormat="1" applyFont="1">
      <alignment vertical="top"/>
    </xf>
    <xf numFmtId="171" fontId="35" fillId="0" borderId="0" xfId="13" applyFont="1">
      <alignment vertical="top"/>
    </xf>
    <xf numFmtId="172" fontId="29" fillId="0" borderId="0" xfId="13" applyNumberFormat="1" applyFont="1" applyAlignment="1">
      <alignment horizontal="right"/>
    </xf>
    <xf numFmtId="171" fontId="29" fillId="0" borderId="0" xfId="13" applyFont="1">
      <alignment vertical="top"/>
    </xf>
    <xf numFmtId="37" fontId="29" fillId="0" borderId="0" xfId="13" applyNumberFormat="1" applyFont="1">
      <alignment vertical="top"/>
    </xf>
    <xf numFmtId="165" fontId="29" fillId="0" borderId="0" xfId="13" applyNumberFormat="1" applyFont="1" applyAlignment="1">
      <alignment horizontal="right"/>
    </xf>
    <xf numFmtId="172" fontId="38" fillId="0" borderId="0" xfId="13" applyNumberFormat="1" applyFont="1" applyAlignment="1">
      <alignment horizontal="right"/>
    </xf>
    <xf numFmtId="171" fontId="38" fillId="0" borderId="0" xfId="13" applyFont="1">
      <alignment vertical="top"/>
    </xf>
    <xf numFmtId="168" fontId="29" fillId="0" borderId="0" xfId="13" applyNumberFormat="1" applyFont="1" applyAlignment="1">
      <alignment horizontal="right"/>
    </xf>
    <xf numFmtId="181" fontId="29" fillId="0" borderId="0" xfId="13" applyNumberFormat="1" applyFont="1" applyAlignment="1">
      <alignment horizontal="right"/>
    </xf>
    <xf numFmtId="164" fontId="39" fillId="0" borderId="0" xfId="13" applyNumberFormat="1" applyFont="1">
      <alignment vertical="top"/>
    </xf>
    <xf numFmtId="37" fontId="22" fillId="6" borderId="0" xfId="4" applyNumberFormat="1" applyFont="1" applyFill="1">
      <alignment vertical="top"/>
    </xf>
    <xf numFmtId="37" fontId="22" fillId="0" borderId="0" xfId="4" applyNumberFormat="1" applyFont="1" applyFill="1">
      <alignment vertical="top"/>
    </xf>
    <xf numFmtId="37" fontId="10" fillId="0" borderId="0" xfId="13" applyNumberFormat="1" applyFont="1">
      <alignment vertical="top"/>
    </xf>
    <xf numFmtId="37" fontId="22" fillId="2" borderId="0" xfId="13" applyNumberFormat="1" applyFont="1" applyFill="1">
      <alignment vertical="top"/>
    </xf>
    <xf numFmtId="164" fontId="37" fillId="0" borderId="0" xfId="7" applyNumberFormat="1" applyFont="1">
      <alignment vertical="top"/>
    </xf>
    <xf numFmtId="167" fontId="35" fillId="0" borderId="0" xfId="7" applyFont="1">
      <alignment vertical="top"/>
    </xf>
    <xf numFmtId="182" fontId="35" fillId="0" borderId="0" xfId="7" applyNumberFormat="1" applyFont="1">
      <alignment vertical="top"/>
    </xf>
    <xf numFmtId="37" fontId="7" fillId="2" borderId="0" xfId="4" applyNumberFormat="1" applyFont="1" applyFill="1">
      <alignment vertical="top"/>
    </xf>
    <xf numFmtId="171" fontId="53" fillId="0" borderId="0" xfId="13" applyFont="1">
      <alignment vertical="top"/>
    </xf>
    <xf numFmtId="164" fontId="23" fillId="7" borderId="0" xfId="0" applyFont="1" applyFill="1" applyBorder="1" applyAlignment="1">
      <alignment horizontal="right" vertical="top"/>
    </xf>
    <xf numFmtId="37" fontId="23" fillId="0" borderId="0" xfId="4" applyNumberFormat="1" applyFont="1" applyFill="1">
      <alignment vertical="top"/>
    </xf>
    <xf numFmtId="166" fontId="29" fillId="7" borderId="1" xfId="1" applyFont="1" applyFill="1" applyBorder="1">
      <alignment vertical="top"/>
    </xf>
    <xf numFmtId="37" fontId="23" fillId="7" borderId="0" xfId="4" applyNumberFormat="1" applyFont="1" applyFill="1" applyAlignment="1">
      <alignment horizontal="right" vertical="top"/>
    </xf>
    <xf numFmtId="37" fontId="23" fillId="7" borderId="1" xfId="4" applyNumberFormat="1" applyFont="1" applyFill="1" applyBorder="1" applyAlignment="1">
      <alignment horizontal="right"/>
    </xf>
    <xf numFmtId="164" fontId="44" fillId="0" borderId="0" xfId="0" applyFont="1" applyFill="1">
      <alignment vertical="top"/>
    </xf>
    <xf numFmtId="37" fontId="44" fillId="0" borderId="0" xfId="4" applyNumberFormat="1" applyFont="1" applyFill="1">
      <alignment vertical="top"/>
    </xf>
    <xf numFmtId="37" fontId="6" fillId="0" borderId="0" xfId="4" applyNumberFormat="1" applyFont="1" applyFill="1">
      <alignment vertical="top"/>
    </xf>
    <xf numFmtId="37" fontId="10" fillId="0" borderId="0" xfId="4" applyNumberFormat="1" applyFont="1" applyFill="1" applyAlignment="1">
      <alignment horizontal="right" vertical="top"/>
    </xf>
    <xf numFmtId="164" fontId="25" fillId="0" borderId="0" xfId="0" applyFont="1">
      <alignment vertical="top"/>
    </xf>
    <xf numFmtId="164" fontId="23" fillId="0" borderId="0" xfId="4" applyFont="1" applyFill="1">
      <alignment vertical="top"/>
    </xf>
    <xf numFmtId="37" fontId="33" fillId="0" borderId="0" xfId="0" applyNumberFormat="1" applyFont="1" applyFill="1">
      <alignment vertical="top"/>
    </xf>
    <xf numFmtId="37" fontId="26" fillId="0" borderId="0" xfId="0" applyNumberFormat="1" applyFont="1" applyFill="1">
      <alignment vertical="top"/>
    </xf>
    <xf numFmtId="166" fontId="23" fillId="7" borderId="4" xfId="1" applyFont="1" applyFill="1" applyBorder="1">
      <alignment vertical="top"/>
    </xf>
    <xf numFmtId="172" fontId="23" fillId="0" borderId="0" xfId="2" applyNumberFormat="1" applyFont="1" applyBorder="1">
      <alignment vertical="top"/>
    </xf>
    <xf numFmtId="37" fontId="22" fillId="0" borderId="0" xfId="0" applyNumberFormat="1" applyFont="1" applyAlignment="1">
      <alignment horizontal="right" vertical="top"/>
    </xf>
    <xf numFmtId="37" fontId="10" fillId="7" borderId="1" xfId="0" applyNumberFormat="1" applyFont="1" applyFill="1" applyBorder="1">
      <alignment vertical="top"/>
    </xf>
    <xf numFmtId="37" fontId="10" fillId="7" borderId="2" xfId="0" applyNumberFormat="1" applyFont="1" applyFill="1" applyBorder="1">
      <alignment vertical="top"/>
    </xf>
    <xf numFmtId="172" fontId="10" fillId="0" borderId="0" xfId="14" applyFont="1">
      <alignment vertical="top"/>
    </xf>
    <xf numFmtId="37" fontId="10" fillId="0" borderId="0" xfId="0" applyNumberFormat="1" applyFont="1" applyFill="1" applyBorder="1">
      <alignment vertical="top"/>
    </xf>
    <xf numFmtId="39" fontId="10" fillId="0" borderId="0" xfId="0" applyNumberFormat="1" applyFont="1" applyFill="1" applyBorder="1">
      <alignment vertical="top"/>
    </xf>
    <xf numFmtId="37" fontId="23" fillId="7" borderId="3" xfId="2" applyNumberFormat="1" applyFont="1" applyFill="1" applyBorder="1">
      <alignment vertical="top"/>
    </xf>
    <xf numFmtId="164" fontId="7" fillId="7" borderId="0" xfId="0" applyFont="1" applyFill="1">
      <alignment vertical="top"/>
    </xf>
    <xf numFmtId="39" fontId="7" fillId="8" borderId="0" xfId="0" applyNumberFormat="1" applyFont="1" applyFill="1">
      <alignment vertical="top"/>
    </xf>
    <xf numFmtId="37" fontId="7" fillId="7" borderId="1" xfId="0" applyNumberFormat="1" applyFont="1" applyFill="1" applyBorder="1">
      <alignment vertical="top"/>
    </xf>
    <xf numFmtId="183" fontId="7" fillId="7" borderId="1" xfId="3" applyNumberFormat="1" applyFont="1" applyFill="1" applyBorder="1">
      <alignment vertical="top"/>
    </xf>
    <xf numFmtId="39" fontId="7" fillId="7" borderId="1" xfId="0" applyNumberFormat="1" applyFont="1" applyFill="1" applyBorder="1">
      <alignment vertical="top"/>
    </xf>
    <xf numFmtId="37" fontId="7" fillId="6" borderId="0" xfId="0" applyNumberFormat="1" applyFont="1" applyFill="1">
      <alignment vertical="top"/>
    </xf>
    <xf numFmtId="165" fontId="7" fillId="7" borderId="0" xfId="3" applyFont="1" applyFill="1">
      <alignment vertical="top"/>
    </xf>
    <xf numFmtId="165" fontId="7" fillId="6" borderId="0" xfId="3" applyFont="1" applyFill="1">
      <alignment vertical="top"/>
    </xf>
    <xf numFmtId="37" fontId="34" fillId="0" borderId="0" xfId="0" applyNumberFormat="1" applyFont="1" applyFill="1">
      <alignment vertical="top"/>
    </xf>
    <xf numFmtId="37" fontId="33" fillId="0" borderId="0" xfId="0" applyNumberFormat="1" applyFont="1" applyFill="1" applyAlignment="1">
      <alignment horizontal="right" vertical="top"/>
    </xf>
    <xf numFmtId="171" fontId="29" fillId="0" borderId="0" xfId="1" applyNumberFormat="1" applyFont="1">
      <alignment vertical="top"/>
    </xf>
    <xf numFmtId="164" fontId="23" fillId="7" borderId="0" xfId="0" applyFont="1" applyFill="1">
      <alignment vertical="top"/>
    </xf>
    <xf numFmtId="165" fontId="29" fillId="0" borderId="0" xfId="1" applyNumberFormat="1" applyFont="1">
      <alignment vertical="top"/>
    </xf>
    <xf numFmtId="37" fontId="38" fillId="0" borderId="0" xfId="0" applyNumberFormat="1" applyFont="1">
      <alignment vertical="top"/>
    </xf>
    <xf numFmtId="37" fontId="39" fillId="0" borderId="0" xfId="0" applyNumberFormat="1" applyFont="1">
      <alignment vertical="top"/>
    </xf>
    <xf numFmtId="165" fontId="29" fillId="6" borderId="0" xfId="3" applyFont="1" applyFill="1">
      <alignment vertical="top"/>
    </xf>
    <xf numFmtId="165" fontId="23" fillId="6" borderId="0" xfId="3" applyFont="1" applyFill="1">
      <alignment vertical="top"/>
    </xf>
    <xf numFmtId="37" fontId="6" fillId="0" borderId="0" xfId="0" applyNumberFormat="1" applyFont="1" applyFill="1">
      <alignment vertical="top"/>
    </xf>
    <xf numFmtId="37" fontId="7" fillId="0" borderId="0" xfId="0" applyNumberFormat="1" applyFont="1" applyFill="1">
      <alignment vertical="top"/>
    </xf>
    <xf numFmtId="165" fontId="29" fillId="0" borderId="0" xfId="0" applyNumberFormat="1" applyFont="1" applyFill="1">
      <alignment vertical="top"/>
    </xf>
    <xf numFmtId="164" fontId="29" fillId="0" borderId="0" xfId="0" applyFont="1" applyFill="1">
      <alignment vertical="top"/>
    </xf>
    <xf numFmtId="178" fontId="29" fillId="0" borderId="0" xfId="0" applyNumberFormat="1" applyFont="1" applyFill="1">
      <alignment vertical="top"/>
    </xf>
    <xf numFmtId="178" fontId="5" fillId="0" borderId="0" xfId="0" applyNumberFormat="1" applyFont="1">
      <alignment vertical="top"/>
    </xf>
    <xf numFmtId="178" fontId="10" fillId="0" borderId="0" xfId="0" applyNumberFormat="1" applyFont="1" applyFill="1" applyBorder="1" applyAlignment="1">
      <alignment horizontal="right" vertical="top"/>
    </xf>
    <xf numFmtId="178" fontId="13" fillId="0" borderId="0" xfId="0" applyNumberFormat="1" applyFont="1" applyFill="1">
      <alignment vertical="top"/>
    </xf>
    <xf numFmtId="178" fontId="14" fillId="0" borderId="0" xfId="0" applyNumberFormat="1" applyFont="1" applyFill="1">
      <alignment vertical="top"/>
    </xf>
    <xf numFmtId="178" fontId="10" fillId="0" borderId="0" xfId="0" applyNumberFormat="1" applyFont="1">
      <alignment vertical="top"/>
    </xf>
    <xf numFmtId="178" fontId="10" fillId="7" borderId="0" xfId="0" applyNumberFormat="1" applyFont="1" applyFill="1" applyAlignment="1">
      <alignment horizontal="right" vertical="top"/>
    </xf>
    <xf numFmtId="172" fontId="44" fillId="0" borderId="0" xfId="14" applyFont="1" applyFill="1">
      <alignment vertical="top"/>
    </xf>
    <xf numFmtId="172" fontId="5" fillId="0" borderId="0" xfId="14" applyFont="1" applyFill="1">
      <alignment vertical="top"/>
    </xf>
    <xf numFmtId="172" fontId="6" fillId="0" borderId="0" xfId="14" applyFont="1" applyFill="1">
      <alignment vertical="top"/>
    </xf>
    <xf numFmtId="172" fontId="10" fillId="0" borderId="0" xfId="14" applyFont="1" applyFill="1">
      <alignment vertical="top"/>
    </xf>
    <xf numFmtId="184" fontId="10" fillId="0" borderId="0" xfId="14" applyNumberFormat="1" applyFont="1" applyFill="1">
      <alignment vertical="top"/>
    </xf>
    <xf numFmtId="178" fontId="10" fillId="0" borderId="0" xfId="0" applyNumberFormat="1" applyFont="1" applyFill="1" applyAlignment="1">
      <alignment horizontal="right" vertical="top"/>
    </xf>
    <xf numFmtId="178" fontId="29" fillId="0" borderId="0" xfId="2" applyNumberFormat="1" applyFont="1" applyBorder="1">
      <alignment vertical="top"/>
    </xf>
    <xf numFmtId="178" fontId="13" fillId="0" borderId="0" xfId="0" applyNumberFormat="1" applyFont="1">
      <alignment vertical="top"/>
    </xf>
    <xf numFmtId="178" fontId="6" fillId="0" borderId="0" xfId="0" applyNumberFormat="1" applyFont="1">
      <alignment vertical="top"/>
    </xf>
    <xf numFmtId="178" fontId="10" fillId="0" borderId="0" xfId="0" applyNumberFormat="1" applyFont="1" applyAlignment="1">
      <alignment horizontal="right" vertical="top"/>
    </xf>
    <xf numFmtId="178" fontId="10" fillId="0" borderId="0" xfId="0" applyNumberFormat="1" applyFont="1" applyFill="1" applyBorder="1">
      <alignment vertical="top"/>
    </xf>
    <xf numFmtId="169" fontId="10" fillId="0" borderId="0" xfId="0" applyNumberFormat="1" applyFont="1">
      <alignment vertical="top"/>
    </xf>
    <xf numFmtId="39" fontId="7" fillId="0" borderId="0" xfId="0" applyNumberFormat="1" applyFont="1">
      <alignment vertical="top"/>
    </xf>
    <xf numFmtId="183" fontId="7" fillId="0" borderId="0" xfId="3" applyNumberFormat="1" applyFont="1">
      <alignment vertical="top"/>
    </xf>
    <xf numFmtId="164" fontId="7" fillId="7" borderId="0" xfId="0" applyFont="1" applyFill="1" applyAlignment="1">
      <alignment horizontal="right" vertical="top"/>
    </xf>
    <xf numFmtId="183" fontId="7" fillId="8" borderId="0" xfId="3" applyNumberFormat="1" applyFont="1" applyFill="1">
      <alignment vertical="top"/>
    </xf>
    <xf numFmtId="39" fontId="29" fillId="0" borderId="0" xfId="2" applyNumberFormat="1" applyFont="1" applyFill="1">
      <alignment vertical="top"/>
    </xf>
    <xf numFmtId="169" fontId="29" fillId="0" borderId="0" xfId="2" applyNumberFormat="1" applyFont="1" applyFill="1">
      <alignment vertical="top"/>
    </xf>
    <xf numFmtId="39" fontId="10" fillId="0" borderId="0" xfId="2" applyNumberFormat="1" applyFont="1" applyFill="1">
      <alignment vertical="top"/>
    </xf>
    <xf numFmtId="165" fontId="5" fillId="0" borderId="0" xfId="3" applyFont="1">
      <alignment vertical="top"/>
    </xf>
    <xf numFmtId="165" fontId="6" fillId="0" borderId="0" xfId="3" applyFont="1">
      <alignment vertical="top"/>
    </xf>
    <xf numFmtId="165" fontId="7" fillId="0" borderId="0" xfId="3" applyFont="1" applyFill="1">
      <alignment vertical="top"/>
    </xf>
    <xf numFmtId="164" fontId="29" fillId="0" borderId="0" xfId="0" applyFont="1" applyFill="1" applyBorder="1">
      <alignment vertical="top"/>
    </xf>
    <xf numFmtId="164" fontId="38" fillId="0" borderId="0" xfId="0" applyFont="1" applyFill="1" applyBorder="1">
      <alignment vertical="top"/>
    </xf>
    <xf numFmtId="164" fontId="39" fillId="0" borderId="0" xfId="0" applyFont="1" applyFill="1" applyBorder="1">
      <alignment vertical="top"/>
    </xf>
    <xf numFmtId="164" fontId="10" fillId="0" borderId="0" xfId="0" applyFont="1" applyAlignment="1">
      <alignment horizontal="right" vertical="top"/>
    </xf>
    <xf numFmtId="172" fontId="29" fillId="0" borderId="0" xfId="0" applyNumberFormat="1" applyFont="1" applyFill="1" applyAlignment="1">
      <alignment horizontal="right" vertical="top"/>
    </xf>
    <xf numFmtId="165" fontId="10" fillId="0" borderId="0" xfId="2" applyNumberFormat="1" applyFont="1" applyBorder="1">
      <alignment vertical="top"/>
    </xf>
    <xf numFmtId="37" fontId="36" fillId="0" borderId="0" xfId="2" applyNumberFormat="1" applyFont="1" applyFill="1" applyBorder="1">
      <alignment vertical="top"/>
    </xf>
    <xf numFmtId="164" fontId="36" fillId="0" borderId="0" xfId="2" applyFont="1" applyFill="1" applyBorder="1">
      <alignment vertical="top"/>
    </xf>
    <xf numFmtId="164" fontId="25" fillId="0" borderId="0" xfId="2" applyFont="1" applyFill="1" applyBorder="1">
      <alignment vertical="top"/>
    </xf>
    <xf numFmtId="178" fontId="36" fillId="0" borderId="0" xfId="0" applyNumberFormat="1" applyFont="1" applyFill="1">
      <alignment vertical="top"/>
    </xf>
    <xf numFmtId="178" fontId="25" fillId="0" borderId="0" xfId="0" applyNumberFormat="1" applyFont="1" applyFill="1">
      <alignment vertical="top"/>
    </xf>
    <xf numFmtId="178" fontId="23" fillId="0" borderId="6" xfId="0" applyNumberFormat="1" applyFont="1" applyFill="1" applyBorder="1">
      <alignment vertical="top"/>
    </xf>
    <xf numFmtId="178" fontId="36" fillId="0" borderId="6" xfId="0" applyNumberFormat="1" applyFont="1" applyFill="1" applyBorder="1">
      <alignment vertical="top"/>
    </xf>
    <xf numFmtId="178" fontId="25" fillId="0" borderId="6" xfId="0" applyNumberFormat="1" applyFont="1" applyFill="1" applyBorder="1">
      <alignment vertical="top"/>
    </xf>
    <xf numFmtId="172" fontId="23" fillId="0" borderId="6" xfId="2" applyNumberFormat="1" applyFont="1" applyBorder="1">
      <alignment vertical="top"/>
    </xf>
    <xf numFmtId="171" fontId="10" fillId="0" borderId="0" xfId="2" applyNumberFormat="1" applyFont="1" applyBorder="1">
      <alignment vertical="top"/>
    </xf>
    <xf numFmtId="165" fontId="23" fillId="3" borderId="0" xfId="3" applyFont="1" applyFill="1">
      <alignment vertical="top"/>
    </xf>
    <xf numFmtId="164" fontId="23" fillId="6" borderId="0" xfId="0" applyFont="1" applyFill="1">
      <alignment vertical="top"/>
    </xf>
    <xf numFmtId="164" fontId="29" fillId="0" borderId="0" xfId="13" applyNumberFormat="1" applyFont="1">
      <alignment vertical="top"/>
    </xf>
    <xf numFmtId="178" fontId="23" fillId="0" borderId="0" xfId="0" applyNumberFormat="1" applyFont="1" applyFill="1" applyBorder="1">
      <alignment vertical="top"/>
    </xf>
    <xf numFmtId="178" fontId="36" fillId="0" borderId="0" xfId="0" applyNumberFormat="1" applyFont="1" applyFill="1" applyBorder="1">
      <alignment vertical="top"/>
    </xf>
    <xf numFmtId="178" fontId="25" fillId="0" borderId="0" xfId="0" applyNumberFormat="1" applyFont="1" applyFill="1" applyBorder="1">
      <alignment vertical="top"/>
    </xf>
    <xf numFmtId="164" fontId="8" fillId="3" borderId="0" xfId="0" applyFont="1" applyFill="1">
      <alignment vertical="top"/>
    </xf>
    <xf numFmtId="178" fontId="22" fillId="0" borderId="0" xfId="2" applyNumberFormat="1" applyFont="1">
      <alignment vertical="top"/>
    </xf>
    <xf numFmtId="37" fontId="10" fillId="6" borderId="0" xfId="3" applyNumberFormat="1" applyFont="1" applyFill="1">
      <alignment vertical="top"/>
    </xf>
    <xf numFmtId="171" fontId="10" fillId="0" borderId="0" xfId="13" applyFont="1">
      <alignment vertical="top"/>
    </xf>
    <xf numFmtId="37" fontId="13" fillId="0" borderId="0" xfId="4" applyNumberFormat="1" applyFont="1" applyFill="1">
      <alignment vertical="top"/>
    </xf>
    <xf numFmtId="37" fontId="5" fillId="0" borderId="0" xfId="4" applyNumberFormat="1" applyFont="1" applyFill="1">
      <alignment vertical="top"/>
    </xf>
    <xf numFmtId="37" fontId="36" fillId="0" borderId="0" xfId="4" applyNumberFormat="1" applyFont="1" applyFill="1">
      <alignment vertical="top"/>
    </xf>
    <xf numFmtId="37" fontId="25" fillId="0" borderId="0" xfId="4" applyNumberFormat="1" applyFont="1" applyFill="1">
      <alignment vertical="top"/>
    </xf>
    <xf numFmtId="37" fontId="36" fillId="0" borderId="0" xfId="4" applyNumberFormat="1" applyFont="1">
      <alignment vertical="top"/>
    </xf>
    <xf numFmtId="164" fontId="40" fillId="0" borderId="0" xfId="0" applyFont="1">
      <alignment vertical="top"/>
    </xf>
    <xf numFmtId="181" fontId="23" fillId="0" borderId="0" xfId="14" applyNumberFormat="1" applyFont="1">
      <alignment vertical="top"/>
    </xf>
    <xf numFmtId="181" fontId="23" fillId="0" borderId="0" xfId="1" applyNumberFormat="1" applyFont="1">
      <alignment vertical="top"/>
    </xf>
    <xf numFmtId="164" fontId="29" fillId="0" borderId="0" xfId="13" applyNumberFormat="1" applyFont="1" applyAlignment="1">
      <alignment horizontal="right"/>
    </xf>
    <xf numFmtId="165" fontId="23" fillId="8" borderId="0" xfId="3" applyFont="1" applyFill="1">
      <alignment vertical="top"/>
    </xf>
    <xf numFmtId="37" fontId="36" fillId="0" borderId="0" xfId="13" applyNumberFormat="1" applyFont="1">
      <alignment vertical="top"/>
    </xf>
    <xf numFmtId="171" fontId="36" fillId="0" borderId="0" xfId="13" applyFont="1">
      <alignment vertical="top"/>
    </xf>
    <xf numFmtId="37" fontId="25" fillId="0" borderId="0" xfId="13" applyNumberFormat="1" applyFont="1">
      <alignment vertical="top"/>
    </xf>
    <xf numFmtId="37" fontId="23" fillId="0" borderId="0" xfId="13" applyNumberFormat="1" applyFont="1">
      <alignment vertical="top"/>
    </xf>
    <xf numFmtId="165" fontId="23" fillId="0" borderId="0" xfId="13" applyNumberFormat="1" applyFont="1">
      <alignment vertical="top"/>
    </xf>
    <xf numFmtId="172" fontId="36" fillId="0" borderId="0" xfId="13" applyNumberFormat="1" applyFont="1" applyAlignment="1">
      <alignment horizontal="right"/>
    </xf>
    <xf numFmtId="171" fontId="23" fillId="0" borderId="0" xfId="13" applyFont="1" applyFill="1">
      <alignment vertical="top"/>
    </xf>
    <xf numFmtId="37" fontId="23" fillId="2" borderId="0" xfId="13" applyNumberFormat="1" applyFont="1" applyFill="1">
      <alignment vertical="top"/>
    </xf>
    <xf numFmtId="164" fontId="23" fillId="10" borderId="0" xfId="0" applyFont="1" applyFill="1">
      <alignment vertical="top"/>
    </xf>
    <xf numFmtId="164" fontId="38" fillId="0" borderId="0" xfId="0" applyFont="1">
      <alignment vertical="top"/>
    </xf>
    <xf numFmtId="164" fontId="39" fillId="0" borderId="0" xfId="0" applyFont="1">
      <alignment vertical="top"/>
    </xf>
    <xf numFmtId="164" fontId="13" fillId="4" borderId="0" xfId="0" applyFont="1" applyFill="1">
      <alignment vertical="top"/>
    </xf>
    <xf numFmtId="164" fontId="5" fillId="4" borderId="0" xfId="0" applyFont="1" applyFill="1">
      <alignment vertical="top"/>
    </xf>
    <xf numFmtId="164" fontId="14" fillId="4" borderId="0" xfId="0" applyFont="1" applyFill="1">
      <alignment vertical="top"/>
    </xf>
    <xf numFmtId="164" fontId="33" fillId="6" borderId="0" xfId="0" applyFont="1" applyFill="1">
      <alignment vertical="top"/>
    </xf>
    <xf numFmtId="164" fontId="26" fillId="6" borderId="0" xfId="0" applyFont="1" applyFill="1">
      <alignment vertical="top"/>
    </xf>
    <xf numFmtId="164" fontId="22" fillId="6" borderId="0" xfId="0" applyFont="1" applyFill="1">
      <alignment vertical="top"/>
    </xf>
    <xf numFmtId="164" fontId="36" fillId="6" borderId="0" xfId="0" applyFont="1" applyFill="1">
      <alignment vertical="top"/>
    </xf>
    <xf numFmtId="164" fontId="25" fillId="6" borderId="0" xfId="0" applyFont="1" applyFill="1">
      <alignment vertical="top"/>
    </xf>
    <xf numFmtId="0" fontId="25" fillId="0" borderId="0" xfId="6" applyFont="1"/>
    <xf numFmtId="164" fontId="23" fillId="0" borderId="0" xfId="13" applyNumberFormat="1" applyFont="1">
      <alignment vertical="top"/>
    </xf>
    <xf numFmtId="164" fontId="23" fillId="0" borderId="0" xfId="13" applyNumberFormat="1" applyFont="1" applyAlignment="1">
      <alignment horizontal="right"/>
    </xf>
    <xf numFmtId="37" fontId="7" fillId="7" borderId="4" xfId="3" applyNumberFormat="1" applyFont="1" applyFill="1" applyBorder="1">
      <alignment vertical="top"/>
    </xf>
    <xf numFmtId="37" fontId="7" fillId="0" borderId="0" xfId="13" applyNumberFormat="1" applyFont="1" applyFill="1">
      <alignment vertical="top"/>
    </xf>
    <xf numFmtId="164" fontId="45" fillId="0" borderId="0" xfId="0" applyFont="1">
      <alignment vertical="top"/>
    </xf>
    <xf numFmtId="164" fontId="22" fillId="0" borderId="6" xfId="3" applyNumberFormat="1" applyFont="1" applyFill="1" applyBorder="1">
      <alignment vertical="top"/>
    </xf>
    <xf numFmtId="165" fontId="7" fillId="0" borderId="6" xfId="3" applyFont="1" applyBorder="1">
      <alignment vertical="top"/>
    </xf>
    <xf numFmtId="37" fontId="38" fillId="0" borderId="0" xfId="13" applyNumberFormat="1" applyFont="1" applyFill="1" applyBorder="1">
      <alignment vertical="top"/>
    </xf>
    <xf numFmtId="37" fontId="39" fillId="0" borderId="0" xfId="13" applyNumberFormat="1" applyFont="1" applyFill="1" applyBorder="1">
      <alignment vertical="top"/>
    </xf>
    <xf numFmtId="37" fontId="29" fillId="0" borderId="0" xfId="13" applyNumberFormat="1" applyFont="1" applyFill="1" applyBorder="1">
      <alignment vertical="top"/>
    </xf>
    <xf numFmtId="164" fontId="29" fillId="0" borderId="0" xfId="13" applyNumberFormat="1" applyFont="1" applyFill="1" applyBorder="1">
      <alignment vertical="top"/>
    </xf>
    <xf numFmtId="37" fontId="5" fillId="0" borderId="0" xfId="13" applyNumberFormat="1" applyFont="1" applyFill="1" applyBorder="1">
      <alignment vertical="top"/>
    </xf>
    <xf numFmtId="37" fontId="6" fillId="0" borderId="0" xfId="13" applyNumberFormat="1" applyFont="1" applyFill="1" applyBorder="1">
      <alignment vertical="top"/>
    </xf>
    <xf numFmtId="37" fontId="7" fillId="0" borderId="0" xfId="13" applyNumberFormat="1" applyFont="1" applyFill="1" applyBorder="1">
      <alignment vertical="top"/>
    </xf>
    <xf numFmtId="37" fontId="7" fillId="0" borderId="0" xfId="3" applyNumberFormat="1" applyFont="1" applyFill="1" applyBorder="1">
      <alignment vertical="top"/>
    </xf>
    <xf numFmtId="37" fontId="10" fillId="0" borderId="0" xfId="13" applyNumberFormat="1" applyFont="1" applyFill="1" applyBorder="1">
      <alignment vertical="top"/>
    </xf>
    <xf numFmtId="37" fontId="23" fillId="0" borderId="0" xfId="13" applyNumberFormat="1" applyFont="1" applyFill="1">
      <alignment vertical="top"/>
    </xf>
    <xf numFmtId="37" fontId="38" fillId="0" borderId="0" xfId="13" applyNumberFormat="1" applyFont="1">
      <alignment vertical="top"/>
    </xf>
    <xf numFmtId="37" fontId="39" fillId="0" borderId="0" xfId="13" applyNumberFormat="1" applyFont="1">
      <alignment vertical="top"/>
    </xf>
    <xf numFmtId="164" fontId="36" fillId="0" borderId="0" xfId="0" applyFont="1">
      <alignment vertical="top"/>
    </xf>
    <xf numFmtId="164" fontId="33" fillId="0" borderId="0" xfId="2" applyFont="1" applyFill="1">
      <alignment vertical="top"/>
    </xf>
    <xf numFmtId="164" fontId="26" fillId="0" borderId="0" xfId="2" applyFont="1" applyFill="1">
      <alignment vertical="top"/>
    </xf>
    <xf numFmtId="171" fontId="22" fillId="0" borderId="0" xfId="2" applyNumberFormat="1" applyFont="1" applyFill="1">
      <alignment vertical="top"/>
    </xf>
    <xf numFmtId="178" fontId="22" fillId="0" borderId="0" xfId="0" applyNumberFormat="1" applyFont="1" applyFill="1">
      <alignment vertical="top"/>
    </xf>
    <xf numFmtId="178" fontId="33" fillId="0" borderId="0" xfId="0" applyNumberFormat="1" applyFont="1" applyFill="1">
      <alignment vertical="top"/>
    </xf>
    <xf numFmtId="178" fontId="26" fillId="0" borderId="0" xfId="0" applyNumberFormat="1" applyFont="1" applyFill="1">
      <alignment vertical="top"/>
    </xf>
    <xf numFmtId="178" fontId="22" fillId="0" borderId="6" xfId="0" applyNumberFormat="1" applyFont="1" applyFill="1" applyBorder="1">
      <alignment vertical="top"/>
    </xf>
    <xf numFmtId="178" fontId="33" fillId="0" borderId="6" xfId="0" applyNumberFormat="1" applyFont="1" applyFill="1" applyBorder="1">
      <alignment vertical="top"/>
    </xf>
    <xf numFmtId="178" fontId="26" fillId="0" borderId="6" xfId="0" applyNumberFormat="1" applyFont="1" applyFill="1" applyBorder="1">
      <alignment vertical="top"/>
    </xf>
    <xf numFmtId="164" fontId="33" fillId="0" borderId="0" xfId="0" applyFont="1" applyFill="1">
      <alignment vertical="top"/>
    </xf>
    <xf numFmtId="164" fontId="26" fillId="0" borderId="0" xfId="0" applyFont="1" applyFill="1">
      <alignment vertical="top"/>
    </xf>
    <xf numFmtId="164" fontId="22" fillId="0" borderId="0" xfId="0" applyFont="1" applyFill="1">
      <alignment vertical="top"/>
    </xf>
    <xf numFmtId="172" fontId="22" fillId="0" borderId="6" xfId="2" applyNumberFormat="1" applyFont="1" applyBorder="1">
      <alignment vertical="top"/>
    </xf>
    <xf numFmtId="171" fontId="3" fillId="0" borderId="0" xfId="13" applyFill="1">
      <alignment vertical="top"/>
    </xf>
    <xf numFmtId="171" fontId="21" fillId="0" borderId="0" xfId="13" applyFont="1" applyFill="1">
      <alignment vertical="top"/>
    </xf>
    <xf numFmtId="181" fontId="23" fillId="0" borderId="0" xfId="5" applyNumberFormat="1" applyFont="1">
      <alignment vertical="top"/>
    </xf>
    <xf numFmtId="164" fontId="33" fillId="0" borderId="0" xfId="0" applyFont="1">
      <alignment vertical="top"/>
    </xf>
    <xf numFmtId="164" fontId="26" fillId="0" borderId="0" xfId="0" applyFont="1">
      <alignment vertical="top"/>
    </xf>
    <xf numFmtId="175" fontId="23" fillId="7" borderId="5" xfId="0" applyNumberFormat="1" applyFont="1" applyFill="1" applyBorder="1">
      <alignment vertical="top"/>
    </xf>
    <xf numFmtId="166" fontId="23" fillId="7" borderId="5" xfId="1" applyFont="1" applyFill="1" applyBorder="1">
      <alignment vertical="top"/>
    </xf>
    <xf numFmtId="166" fontId="29" fillId="0" borderId="0" xfId="1" applyFont="1" applyFill="1">
      <alignment vertical="top"/>
    </xf>
    <xf numFmtId="172" fontId="29" fillId="0" borderId="0" xfId="2" applyNumberFormat="1" applyFont="1" applyFill="1" applyBorder="1">
      <alignment vertical="top"/>
    </xf>
    <xf numFmtId="184" fontId="23" fillId="0" borderId="0" xfId="5" applyNumberFormat="1" applyFont="1">
      <alignment vertical="top"/>
    </xf>
    <xf numFmtId="166" fontId="23" fillId="7" borderId="11" xfId="1" applyFont="1" applyFill="1" applyBorder="1">
      <alignment vertical="top"/>
    </xf>
    <xf numFmtId="172" fontId="29" fillId="0" borderId="0" xfId="13" applyNumberFormat="1" applyFont="1">
      <alignment vertical="top"/>
    </xf>
    <xf numFmtId="164" fontId="14" fillId="0" borderId="0" xfId="2" applyFont="1" applyFill="1">
      <alignment vertical="top"/>
    </xf>
    <xf numFmtId="164" fontId="5" fillId="0" borderId="0" xfId="2" applyFont="1" applyFill="1" applyAlignment="1">
      <alignment horizontal="right" vertical="top"/>
    </xf>
    <xf numFmtId="37" fontId="7" fillId="0" borderId="0" xfId="0" applyNumberFormat="1" applyFont="1" applyAlignment="1">
      <alignment horizontal="right" vertical="top"/>
    </xf>
    <xf numFmtId="37" fontId="7" fillId="13" borderId="0" xfId="0" applyNumberFormat="1" applyFont="1" applyFill="1">
      <alignment vertical="top"/>
    </xf>
    <xf numFmtId="164" fontId="13" fillId="0" borderId="6" xfId="0" applyFont="1" applyBorder="1">
      <alignment vertical="top"/>
    </xf>
    <xf numFmtId="164" fontId="5" fillId="0" borderId="6" xfId="0" applyFont="1" applyBorder="1">
      <alignment vertical="top"/>
    </xf>
    <xf numFmtId="164" fontId="6" fillId="0" borderId="6" xfId="0" applyFont="1" applyBorder="1">
      <alignment vertical="top"/>
    </xf>
    <xf numFmtId="37" fontId="23" fillId="13" borderId="0" xfId="0" applyNumberFormat="1" applyFont="1" applyFill="1">
      <alignment vertical="top"/>
    </xf>
    <xf numFmtId="164" fontId="23" fillId="7" borderId="3" xfId="2" applyFont="1" applyFill="1" applyBorder="1">
      <alignment vertical="top"/>
    </xf>
    <xf numFmtId="37" fontId="23" fillId="7" borderId="1" xfId="13" applyNumberFormat="1" applyFont="1" applyFill="1" applyBorder="1">
      <alignment vertical="top"/>
    </xf>
    <xf numFmtId="37" fontId="23" fillId="7" borderId="4" xfId="3" applyNumberFormat="1" applyFont="1" applyFill="1" applyBorder="1">
      <alignment vertical="top"/>
    </xf>
    <xf numFmtId="166" fontId="23" fillId="7" borderId="1" xfId="5" applyFont="1" applyFill="1" applyBorder="1">
      <alignment vertical="top"/>
    </xf>
    <xf numFmtId="164" fontId="6" fillId="0" borderId="0" xfId="4" applyFont="1">
      <alignment vertical="top"/>
    </xf>
    <xf numFmtId="171" fontId="38" fillId="0" borderId="0" xfId="2" applyNumberFormat="1" applyFont="1">
      <alignment vertical="top"/>
    </xf>
    <xf numFmtId="171" fontId="39" fillId="0" borderId="0" xfId="2" applyNumberFormat="1" applyFont="1">
      <alignment vertical="top"/>
    </xf>
    <xf numFmtId="171" fontId="29" fillId="0" borderId="0" xfId="2" applyNumberFormat="1" applyFont="1" applyAlignment="1">
      <alignment horizontal="right" vertical="top"/>
    </xf>
    <xf numFmtId="174" fontId="23" fillId="7" borderId="1" xfId="2" applyNumberFormat="1" applyFont="1" applyFill="1" applyBorder="1">
      <alignment vertical="top"/>
    </xf>
    <xf numFmtId="171" fontId="33" fillId="0" borderId="0" xfId="2" applyNumberFormat="1" applyFont="1" applyBorder="1">
      <alignment vertical="top"/>
    </xf>
    <xf numFmtId="171" fontId="26" fillId="0" borderId="0" xfId="2" applyNumberFormat="1" applyFont="1" applyBorder="1">
      <alignment vertical="top"/>
    </xf>
    <xf numFmtId="166" fontId="22" fillId="0" borderId="0" xfId="1" applyFont="1" applyBorder="1">
      <alignment vertical="top"/>
    </xf>
    <xf numFmtId="164" fontId="13" fillId="0" borderId="0" xfId="4" applyFont="1">
      <alignment vertical="top"/>
    </xf>
    <xf numFmtId="164" fontId="10" fillId="0" borderId="6" xfId="0" applyFont="1" applyFill="1" applyBorder="1">
      <alignment vertical="top"/>
    </xf>
    <xf numFmtId="37" fontId="5" fillId="0" borderId="0" xfId="13" applyNumberFormat="1" applyFont="1" applyAlignment="1">
      <alignment vertical="top" wrapText="1"/>
    </xf>
    <xf numFmtId="37" fontId="6" fillId="0" borderId="0" xfId="13" applyNumberFormat="1" applyFont="1" applyAlignment="1">
      <alignment vertical="top" wrapText="1"/>
    </xf>
    <xf numFmtId="37" fontId="7" fillId="0" borderId="0" xfId="13" applyNumberFormat="1" applyFont="1" applyAlignment="1">
      <alignment vertical="top" wrapText="1"/>
    </xf>
    <xf numFmtId="37" fontId="7" fillId="0" borderId="0" xfId="3" applyNumberFormat="1" applyFont="1" applyFill="1" applyAlignment="1">
      <alignment vertical="top" wrapText="1"/>
    </xf>
    <xf numFmtId="37" fontId="10" fillId="0" borderId="0" xfId="13" applyNumberFormat="1" applyFont="1" applyFill="1" applyAlignment="1">
      <alignment vertical="top" wrapText="1"/>
    </xf>
    <xf numFmtId="37" fontId="7" fillId="2" borderId="0" xfId="13" applyNumberFormat="1" applyFont="1" applyFill="1" applyAlignment="1">
      <alignment vertical="top" wrapText="1"/>
    </xf>
    <xf numFmtId="37" fontId="7" fillId="0" borderId="0" xfId="13" applyNumberFormat="1" applyFont="1" applyFill="1" applyAlignment="1">
      <alignment vertical="top" wrapText="1"/>
    </xf>
    <xf numFmtId="169" fontId="10" fillId="0" borderId="0" xfId="4" applyNumberFormat="1" applyFont="1">
      <alignment vertical="top"/>
    </xf>
    <xf numFmtId="164" fontId="29" fillId="0" borderId="0" xfId="4" applyFont="1">
      <alignment vertical="top"/>
    </xf>
    <xf numFmtId="168" fontId="29" fillId="0" borderId="0" xfId="4" applyNumberFormat="1" applyFont="1">
      <alignment vertical="top"/>
    </xf>
    <xf numFmtId="171" fontId="29" fillId="0" borderId="0" xfId="4" applyNumberFormat="1" applyFont="1">
      <alignment vertical="top"/>
    </xf>
    <xf numFmtId="164" fontId="10" fillId="0" borderId="6" xfId="4" applyFont="1" applyBorder="1">
      <alignment vertical="top"/>
    </xf>
    <xf numFmtId="166" fontId="29" fillId="0" borderId="0" xfId="4" applyNumberFormat="1" applyFont="1">
      <alignment vertical="top"/>
    </xf>
    <xf numFmtId="164" fontId="13" fillId="0" borderId="0" xfId="4" applyFont="1" applyFill="1">
      <alignment vertical="top"/>
    </xf>
    <xf numFmtId="164" fontId="5" fillId="0" borderId="0" xfId="4" applyFont="1" applyFill="1">
      <alignment vertical="top"/>
    </xf>
    <xf numFmtId="164" fontId="6" fillId="0" borderId="0" xfId="4" applyFont="1" applyFill="1">
      <alignment vertical="top"/>
    </xf>
    <xf numFmtId="164" fontId="10" fillId="0" borderId="6" xfId="4" applyFont="1" applyFill="1" applyBorder="1">
      <alignment vertical="top"/>
    </xf>
    <xf numFmtId="164" fontId="10" fillId="0" borderId="0" xfId="4" applyFont="1" applyFill="1" applyBorder="1">
      <alignment vertical="top"/>
    </xf>
    <xf numFmtId="172" fontId="29" fillId="0" borderId="0" xfId="0" applyNumberFormat="1" applyFont="1" applyFill="1">
      <alignment vertical="top"/>
    </xf>
    <xf numFmtId="166" fontId="23" fillId="7" borderId="3" xfId="1" applyFont="1" applyFill="1" applyBorder="1">
      <alignment vertical="top"/>
    </xf>
    <xf numFmtId="178" fontId="10" fillId="0" borderId="6" xfId="2" applyNumberFormat="1" applyFont="1" applyBorder="1">
      <alignment vertical="top"/>
    </xf>
    <xf numFmtId="164" fontId="38" fillId="0" borderId="0" xfId="2" applyFont="1" applyFill="1" applyBorder="1">
      <alignment vertical="top"/>
    </xf>
    <xf numFmtId="164" fontId="39" fillId="0" borderId="0" xfId="2" applyFont="1" applyFill="1" applyBorder="1">
      <alignment vertical="top"/>
    </xf>
    <xf numFmtId="166" fontId="23" fillId="0" borderId="0" xfId="5" applyFont="1" applyFill="1" applyBorder="1">
      <alignment vertical="top"/>
    </xf>
    <xf numFmtId="164" fontId="10" fillId="7" borderId="1" xfId="4" applyFont="1" applyFill="1" applyBorder="1" applyAlignment="1">
      <alignment horizontal="right" vertical="top"/>
    </xf>
    <xf numFmtId="166" fontId="23" fillId="0" borderId="0" xfId="5" applyFont="1">
      <alignment vertical="top"/>
    </xf>
    <xf numFmtId="166" fontId="29" fillId="0" borderId="0" xfId="2" applyNumberFormat="1" applyFont="1" applyFill="1">
      <alignment vertical="top"/>
    </xf>
    <xf numFmtId="166" fontId="7" fillId="0" borderId="0" xfId="1" applyFont="1" applyFill="1">
      <alignment vertical="top"/>
    </xf>
    <xf numFmtId="165" fontId="29" fillId="0" borderId="0" xfId="2" applyNumberFormat="1" applyFont="1" applyFill="1">
      <alignment vertical="top"/>
    </xf>
    <xf numFmtId="164" fontId="10" fillId="0" borderId="7" xfId="0" applyFont="1" applyBorder="1">
      <alignment vertical="top"/>
    </xf>
    <xf numFmtId="164" fontId="10" fillId="0" borderId="7" xfId="4" applyFont="1" applyBorder="1">
      <alignment vertical="top"/>
    </xf>
    <xf numFmtId="37" fontId="10" fillId="0" borderId="0" xfId="4" applyNumberFormat="1" applyFont="1" applyAlignment="1">
      <alignment horizontal="right" vertical="top"/>
    </xf>
    <xf numFmtId="164" fontId="10" fillId="0" borderId="0" xfId="0" applyFont="1" applyBorder="1">
      <alignment vertical="top"/>
    </xf>
    <xf numFmtId="164" fontId="10" fillId="0" borderId="0" xfId="4" applyFont="1" applyBorder="1">
      <alignment vertical="top"/>
    </xf>
    <xf numFmtId="164" fontId="10" fillId="0" borderId="8" xfId="0" applyFont="1" applyBorder="1">
      <alignment vertical="top"/>
    </xf>
    <xf numFmtId="164" fontId="10" fillId="0" borderId="8" xfId="4" applyFont="1" applyBorder="1">
      <alignment vertical="top"/>
    </xf>
    <xf numFmtId="164" fontId="10" fillId="6" borderId="8" xfId="4" applyFont="1" applyFill="1" applyBorder="1">
      <alignment vertical="top"/>
    </xf>
    <xf numFmtId="165" fontId="10" fillId="7" borderId="1" xfId="3" applyFont="1" applyFill="1" applyBorder="1">
      <alignment vertical="top"/>
    </xf>
    <xf numFmtId="165" fontId="13" fillId="0" borderId="0" xfId="3" applyFont="1">
      <alignment vertical="top"/>
    </xf>
    <xf numFmtId="165" fontId="10" fillId="0" borderId="0" xfId="2" applyNumberFormat="1" applyFont="1">
      <alignment vertical="top"/>
    </xf>
    <xf numFmtId="178" fontId="23" fillId="0" borderId="0" xfId="2" applyNumberFormat="1" applyFont="1">
      <alignment vertical="top"/>
    </xf>
    <xf numFmtId="164" fontId="22" fillId="0" borderId="6" xfId="0" applyFont="1" applyBorder="1">
      <alignment vertical="top"/>
    </xf>
    <xf numFmtId="164" fontId="7" fillId="0" borderId="0" xfId="0" applyFont="1" applyBorder="1">
      <alignment vertical="top"/>
    </xf>
    <xf numFmtId="165" fontId="10" fillId="3" borderId="0" xfId="3" applyFont="1" applyFill="1" applyBorder="1">
      <alignment vertical="top"/>
    </xf>
    <xf numFmtId="165" fontId="22" fillId="3" borderId="0" xfId="3" applyFont="1" applyFill="1">
      <alignment vertical="top"/>
    </xf>
    <xf numFmtId="37" fontId="10" fillId="0" borderId="0" xfId="5" applyNumberFormat="1" applyFont="1" applyFill="1">
      <alignment vertical="top"/>
    </xf>
    <xf numFmtId="165" fontId="29" fillId="0" borderId="0" xfId="2" applyNumberFormat="1" applyFont="1">
      <alignment vertical="top"/>
    </xf>
    <xf numFmtId="37" fontId="10" fillId="2" borderId="0" xfId="4" applyNumberFormat="1" applyFont="1" applyFill="1">
      <alignment vertical="top"/>
    </xf>
    <xf numFmtId="168" fontId="10" fillId="0" borderId="0" xfId="8" applyFont="1">
      <alignment vertical="top"/>
    </xf>
    <xf numFmtId="37" fontId="10" fillId="10" borderId="0" xfId="4" applyNumberFormat="1" applyFont="1" applyFill="1">
      <alignment vertical="top"/>
    </xf>
    <xf numFmtId="37" fontId="10" fillId="10" borderId="0" xfId="3" applyNumberFormat="1" applyFont="1" applyFill="1">
      <alignment vertical="top"/>
    </xf>
    <xf numFmtId="165" fontId="44" fillId="10" borderId="0" xfId="3" applyFont="1" applyFill="1">
      <alignment vertical="top"/>
    </xf>
    <xf numFmtId="165" fontId="10" fillId="10" borderId="0" xfId="3" applyFont="1" applyFill="1">
      <alignment vertical="top"/>
    </xf>
    <xf numFmtId="165" fontId="44" fillId="10" borderId="0" xfId="3" applyFont="1" applyFill="1" applyAlignment="1">
      <alignment horizontal="right" vertical="top"/>
    </xf>
    <xf numFmtId="165" fontId="44" fillId="10" borderId="0" xfId="0" applyNumberFormat="1" applyFont="1" applyFill="1">
      <alignment vertical="top"/>
    </xf>
    <xf numFmtId="164" fontId="44" fillId="14" borderId="0" xfId="0" applyFont="1" applyFill="1">
      <alignment vertical="top"/>
    </xf>
    <xf numFmtId="37" fontId="44" fillId="14" borderId="0" xfId="4" applyNumberFormat="1" applyFont="1" applyFill="1">
      <alignment vertical="top"/>
    </xf>
    <xf numFmtId="165" fontId="44" fillId="14" borderId="0" xfId="3" applyFont="1" applyFill="1">
      <alignment vertical="top"/>
    </xf>
    <xf numFmtId="37" fontId="22" fillId="6" borderId="0" xfId="3" applyNumberFormat="1" applyFont="1" applyFill="1">
      <alignment vertical="top"/>
    </xf>
    <xf numFmtId="164" fontId="23" fillId="0" borderId="7" xfId="0" applyFont="1" applyBorder="1">
      <alignment vertical="top"/>
    </xf>
    <xf numFmtId="181" fontId="22" fillId="0" borderId="0" xfId="5" applyNumberFormat="1" applyFont="1">
      <alignment vertical="top"/>
    </xf>
    <xf numFmtId="164" fontId="29" fillId="6" borderId="0" xfId="0" applyFont="1" applyFill="1">
      <alignment vertical="top"/>
    </xf>
    <xf numFmtId="171" fontId="10" fillId="0" borderId="0" xfId="4" applyNumberFormat="1" applyFont="1" applyFill="1">
      <alignment vertical="top"/>
    </xf>
    <xf numFmtId="164" fontId="35" fillId="0" borderId="0" xfId="0" applyFont="1" applyFill="1">
      <alignment vertical="top"/>
    </xf>
    <xf numFmtId="171" fontId="10" fillId="0" borderId="0" xfId="4" applyNumberFormat="1" applyFont="1">
      <alignment vertical="top"/>
    </xf>
    <xf numFmtId="168" fontId="23" fillId="0" borderId="0" xfId="0" applyNumberFormat="1" applyFont="1">
      <alignment vertical="top"/>
    </xf>
    <xf numFmtId="164" fontId="22" fillId="10" borderId="0" xfId="0" applyFont="1" applyFill="1" applyAlignment="1">
      <alignment horizontal="right" vertical="top"/>
    </xf>
    <xf numFmtId="185" fontId="29" fillId="0" borderId="0" xfId="1" applyNumberFormat="1" applyFont="1">
      <alignment vertical="top"/>
    </xf>
    <xf numFmtId="164" fontId="7" fillId="15" borderId="0" xfId="2" applyFont="1" applyFill="1">
      <alignment vertical="top"/>
    </xf>
    <xf numFmtId="166" fontId="7" fillId="0" borderId="0" xfId="5" applyFont="1">
      <alignment vertical="top"/>
    </xf>
    <xf numFmtId="37" fontId="10" fillId="15" borderId="0" xfId="2" applyNumberFormat="1" applyFont="1" applyFill="1">
      <alignment vertical="top"/>
    </xf>
    <xf numFmtId="37" fontId="29" fillId="0" borderId="0" xfId="0" applyNumberFormat="1" applyFont="1" applyFill="1">
      <alignment vertical="top"/>
    </xf>
    <xf numFmtId="171" fontId="29" fillId="3" borderId="0" xfId="2" applyNumberFormat="1" applyFont="1" applyFill="1" applyAlignment="1">
      <alignment horizontal="right" vertical="top"/>
    </xf>
    <xf numFmtId="171" fontId="2" fillId="3" borderId="0" xfId="13" applyFont="1" applyFill="1" applyAlignment="1">
      <alignment horizontal="center" vertical="top"/>
    </xf>
    <xf numFmtId="165" fontId="29" fillId="3" borderId="0" xfId="2" applyNumberFormat="1" applyFont="1" applyFill="1" applyAlignment="1">
      <alignment horizontal="right" vertical="top"/>
    </xf>
    <xf numFmtId="37" fontId="52" fillId="0" borderId="0" xfId="3" applyNumberFormat="1" applyFont="1" applyBorder="1">
      <alignment vertical="top"/>
    </xf>
    <xf numFmtId="171" fontId="2" fillId="0" borderId="0" xfId="13" applyFont="1">
      <alignment vertical="top"/>
    </xf>
    <xf numFmtId="37" fontId="23" fillId="2" borderId="0" xfId="2" applyNumberFormat="1" applyFont="1" applyFill="1" applyAlignment="1">
      <alignment horizontal="right" vertical="top"/>
    </xf>
    <xf numFmtId="165" fontId="23" fillId="0" borderId="0" xfId="3" applyFont="1" applyBorder="1">
      <alignment vertical="top"/>
    </xf>
    <xf numFmtId="165" fontId="10" fillId="3" borderId="0" xfId="2" applyNumberFormat="1" applyFont="1" applyFill="1" applyAlignment="1">
      <alignment horizontal="right" vertical="top"/>
    </xf>
    <xf numFmtId="171" fontId="23" fillId="11" borderId="0" xfId="13" applyFont="1" applyFill="1" applyBorder="1" applyAlignment="1">
      <alignment horizontal="left" vertical="top"/>
    </xf>
    <xf numFmtId="171" fontId="7" fillId="11" borderId="0" xfId="13" applyFont="1" applyFill="1" applyBorder="1" applyAlignment="1">
      <alignment horizontal="left" vertical="top" wrapText="1"/>
    </xf>
    <xf numFmtId="164" fontId="54" fillId="10" borderId="0" xfId="2" applyFont="1" applyFill="1">
      <alignment vertical="top"/>
    </xf>
    <xf numFmtId="164" fontId="55" fillId="0" borderId="0" xfId="2" applyFont="1">
      <alignment vertical="top"/>
    </xf>
    <xf numFmtId="164" fontId="3" fillId="7" borderId="13" xfId="2" applyFill="1" applyBorder="1" applyAlignment="1">
      <alignment horizontal="right" vertical="top" wrapText="1"/>
    </xf>
    <xf numFmtId="164" fontId="1" fillId="6" borderId="0" xfId="15" applyFill="1">
      <alignment vertical="top"/>
    </xf>
    <xf numFmtId="164" fontId="3" fillId="0" borderId="0" xfId="2" applyAlignment="1">
      <alignment horizontal="center" vertical="top"/>
    </xf>
    <xf numFmtId="178" fontId="22" fillId="7" borderId="0" xfId="2" applyNumberFormat="1" applyFont="1" applyFill="1" applyBorder="1" applyAlignment="1">
      <alignment horizontal="right" vertical="top"/>
    </xf>
    <xf numFmtId="166" fontId="10" fillId="7" borderId="0" xfId="5" applyFont="1" applyFill="1" applyBorder="1">
      <alignment vertical="top"/>
    </xf>
    <xf numFmtId="166" fontId="23" fillId="12" borderId="0" xfId="5" applyFont="1" applyFill="1">
      <alignment vertical="top"/>
    </xf>
    <xf numFmtId="164" fontId="23" fillId="6" borderId="0" xfId="2" applyFont="1" applyFill="1">
      <alignment vertical="top"/>
    </xf>
    <xf numFmtId="166" fontId="23" fillId="7" borderId="0" xfId="5" applyFont="1" applyFill="1">
      <alignment vertical="top"/>
    </xf>
    <xf numFmtId="164" fontId="23" fillId="6" borderId="0" xfId="4" applyFont="1" applyFill="1">
      <alignment vertical="top"/>
    </xf>
    <xf numFmtId="164" fontId="23" fillId="12" borderId="0" xfId="2" applyFont="1" applyFill="1">
      <alignment vertical="top"/>
    </xf>
    <xf numFmtId="166" fontId="23" fillId="6" borderId="0" xfId="5" applyFont="1" applyFill="1">
      <alignment vertical="top"/>
    </xf>
    <xf numFmtId="164" fontId="23" fillId="7" borderId="0" xfId="2" applyFont="1" applyFill="1">
      <alignment vertical="top"/>
    </xf>
    <xf numFmtId="164" fontId="56" fillId="0" borderId="0" xfId="2" applyFont="1">
      <alignment vertical="top"/>
    </xf>
    <xf numFmtId="0" fontId="3" fillId="0" borderId="0" xfId="16" applyAlignment="1">
      <alignment vertical="top"/>
    </xf>
    <xf numFmtId="165" fontId="23" fillId="7" borderId="0" xfId="3" applyFont="1" applyFill="1">
      <alignment vertical="top"/>
    </xf>
    <xf numFmtId="171" fontId="55" fillId="0" borderId="0" xfId="2" applyNumberFormat="1" applyFont="1">
      <alignment vertical="top"/>
    </xf>
    <xf numFmtId="178" fontId="22" fillId="0" borderId="14" xfId="2" applyNumberFormat="1" applyFont="1" applyFill="1" applyBorder="1">
      <alignment vertical="top"/>
    </xf>
    <xf numFmtId="164" fontId="21" fillId="6" borderId="14" xfId="2" applyFont="1" applyFill="1" applyBorder="1">
      <alignment vertical="top"/>
    </xf>
    <xf numFmtId="164" fontId="22" fillId="7" borderId="14" xfId="2" applyFont="1" applyFill="1" applyBorder="1" applyAlignment="1">
      <alignment horizontal="right" vertical="top"/>
    </xf>
    <xf numFmtId="178" fontId="22" fillId="0" borderId="0" xfId="2" applyNumberFormat="1" applyFont="1" applyFill="1">
      <alignment vertical="top"/>
    </xf>
    <xf numFmtId="164" fontId="21" fillId="6" borderId="0" xfId="2" applyFont="1" applyFill="1">
      <alignment vertical="top"/>
    </xf>
    <xf numFmtId="164" fontId="22" fillId="7" borderId="0" xfId="2" applyFont="1" applyFill="1" applyBorder="1" applyAlignment="1">
      <alignment horizontal="right" vertical="top"/>
    </xf>
    <xf numFmtId="165" fontId="23" fillId="0" borderId="0" xfId="0" applyNumberFormat="1" applyFont="1" applyFill="1">
      <alignment vertical="top"/>
    </xf>
    <xf numFmtId="166" fontId="22" fillId="7" borderId="0" xfId="5" applyFont="1" applyFill="1" applyBorder="1">
      <alignment vertical="top"/>
    </xf>
    <xf numFmtId="165" fontId="23" fillId="0" borderId="14" xfId="3" applyFont="1" applyFill="1" applyBorder="1">
      <alignment vertical="top"/>
    </xf>
    <xf numFmtId="164" fontId="23" fillId="12" borderId="14" xfId="2" applyFont="1" applyFill="1" applyBorder="1" applyAlignment="1">
      <alignment horizontal="right" vertical="top"/>
    </xf>
    <xf numFmtId="178" fontId="23" fillId="0" borderId="14" xfId="2" applyNumberFormat="1" applyFont="1" applyFill="1" applyBorder="1">
      <alignment vertical="top"/>
    </xf>
    <xf numFmtId="164" fontId="23" fillId="12" borderId="0" xfId="2" applyFont="1" applyFill="1" applyBorder="1" applyAlignment="1">
      <alignment horizontal="right" vertical="top"/>
    </xf>
    <xf numFmtId="178" fontId="23" fillId="0" borderId="0" xfId="2" applyNumberFormat="1" applyFont="1" applyFill="1">
      <alignment vertical="top"/>
    </xf>
    <xf numFmtId="178" fontId="23" fillId="12" borderId="0" xfId="2" applyNumberFormat="1" applyFont="1" applyFill="1" applyBorder="1" applyAlignment="1">
      <alignment horizontal="right" vertical="top"/>
    </xf>
    <xf numFmtId="166" fontId="23" fillId="12" borderId="0" xfId="5" applyFont="1" applyFill="1" applyBorder="1">
      <alignment vertical="top"/>
    </xf>
    <xf numFmtId="37" fontId="23" fillId="12" borderId="0" xfId="4" applyNumberFormat="1" applyFont="1" applyFill="1" applyBorder="1" applyAlignment="1">
      <alignment horizontal="right" vertical="top"/>
    </xf>
    <xf numFmtId="166" fontId="23" fillId="12" borderId="14" xfId="5" applyFont="1" applyFill="1" applyBorder="1">
      <alignment vertical="top"/>
    </xf>
    <xf numFmtId="164" fontId="23" fillId="0" borderId="14" xfId="2" applyFont="1" applyBorder="1">
      <alignment vertical="top"/>
    </xf>
    <xf numFmtId="165" fontId="23" fillId="6" borderId="14" xfId="3" applyFont="1" applyFill="1" applyBorder="1">
      <alignment vertical="top"/>
    </xf>
    <xf numFmtId="164" fontId="58" fillId="0" borderId="0" xfId="0" applyFont="1" applyFill="1">
      <alignment vertical="top"/>
    </xf>
    <xf numFmtId="17" fontId="44" fillId="0" borderId="0" xfId="0" applyNumberFormat="1" applyFont="1" applyFill="1">
      <alignment vertical="top"/>
    </xf>
    <xf numFmtId="166" fontId="23" fillId="7" borderId="14" xfId="5" applyFont="1" applyFill="1" applyBorder="1">
      <alignment vertical="top"/>
    </xf>
    <xf numFmtId="37" fontId="23" fillId="0" borderId="14" xfId="5" applyNumberFormat="1" applyFont="1" applyFill="1" applyBorder="1">
      <alignment vertical="top"/>
    </xf>
    <xf numFmtId="164" fontId="23" fillId="7" borderId="14" xfId="2" applyFont="1" applyFill="1" applyBorder="1" applyAlignment="1">
      <alignment horizontal="right" vertical="top"/>
    </xf>
    <xf numFmtId="164" fontId="23" fillId="7" borderId="0" xfId="2" applyFont="1" applyFill="1" applyBorder="1" applyAlignment="1">
      <alignment horizontal="right" vertical="top"/>
    </xf>
    <xf numFmtId="178" fontId="23" fillId="7" borderId="0" xfId="2" applyNumberFormat="1" applyFont="1" applyFill="1" applyBorder="1" applyAlignment="1">
      <alignment horizontal="right" vertical="top"/>
    </xf>
    <xf numFmtId="166" fontId="23" fillId="7" borderId="0" xfId="5" applyFont="1" applyFill="1" applyBorder="1">
      <alignment vertical="top"/>
    </xf>
    <xf numFmtId="37" fontId="23" fillId="7" borderId="0" xfId="4" applyNumberFormat="1" applyFont="1" applyFill="1" applyBorder="1" applyAlignment="1">
      <alignment horizontal="right" vertical="top"/>
    </xf>
    <xf numFmtId="166" fontId="29" fillId="0" borderId="0" xfId="13" applyNumberFormat="1" applyFont="1" applyAlignment="1">
      <alignment horizontal="right"/>
    </xf>
    <xf numFmtId="164" fontId="40" fillId="6" borderId="0" xfId="2" applyFont="1" applyFill="1">
      <alignment vertical="top"/>
    </xf>
    <xf numFmtId="164" fontId="22" fillId="7" borderId="0" xfId="2" applyFont="1" applyFill="1">
      <alignment vertical="top"/>
    </xf>
    <xf numFmtId="164" fontId="21" fillId="7" borderId="0" xfId="2" applyFont="1" applyFill="1">
      <alignment vertical="top"/>
    </xf>
    <xf numFmtId="165" fontId="23" fillId="0" borderId="14" xfId="3" applyFont="1" applyBorder="1">
      <alignment vertical="top"/>
    </xf>
    <xf numFmtId="164" fontId="23" fillId="12" borderId="14" xfId="4" applyFont="1" applyFill="1" applyBorder="1">
      <alignment vertical="top"/>
    </xf>
    <xf numFmtId="164" fontId="23" fillId="0" borderId="14" xfId="4" applyFont="1" applyBorder="1">
      <alignment vertical="top"/>
    </xf>
    <xf numFmtId="164" fontId="23" fillId="6" borderId="14" xfId="4" applyFont="1" applyFill="1" applyBorder="1">
      <alignment vertical="top"/>
    </xf>
    <xf numFmtId="164" fontId="40" fillId="6" borderId="14" xfId="2" applyFont="1" applyFill="1" applyBorder="1">
      <alignment vertical="top"/>
    </xf>
    <xf numFmtId="164" fontId="23" fillId="7" borderId="14" xfId="4" applyFont="1" applyFill="1" applyBorder="1">
      <alignment vertical="top"/>
    </xf>
    <xf numFmtId="164" fontId="40" fillId="12" borderId="0" xfId="2" applyFont="1" applyFill="1">
      <alignment vertical="top"/>
    </xf>
    <xf numFmtId="164" fontId="40" fillId="7" borderId="0" xfId="2" applyFont="1" applyFill="1">
      <alignment vertical="top"/>
    </xf>
    <xf numFmtId="165" fontId="10" fillId="7" borderId="0" xfId="3" applyFont="1" applyFill="1">
      <alignment vertical="top"/>
    </xf>
    <xf numFmtId="165" fontId="23" fillId="0" borderId="0" xfId="0" applyNumberFormat="1" applyFont="1" applyAlignment="1">
      <alignment horizontal="right" vertical="top"/>
    </xf>
    <xf numFmtId="181" fontId="23" fillId="6" borderId="0" xfId="5" applyNumberFormat="1" applyFont="1" applyFill="1">
      <alignment vertical="top"/>
    </xf>
    <xf numFmtId="164" fontId="45" fillId="0" borderId="0" xfId="2" applyFont="1">
      <alignment vertical="top"/>
    </xf>
    <xf numFmtId="164" fontId="7" fillId="0" borderId="0" xfId="2" applyFont="1" applyAlignment="1">
      <alignment horizontal="right" vertical="top"/>
    </xf>
    <xf numFmtId="164" fontId="22" fillId="0" borderId="0" xfId="2" applyFont="1" applyAlignment="1">
      <alignment horizontal="right" vertical="top"/>
    </xf>
    <xf numFmtId="166" fontId="7" fillId="7" borderId="0" xfId="5" applyFont="1" applyFill="1">
      <alignment vertical="top"/>
    </xf>
    <xf numFmtId="164" fontId="0" fillId="6" borderId="0" xfId="0" applyFill="1">
      <alignment vertical="top"/>
    </xf>
    <xf numFmtId="164" fontId="54" fillId="16" borderId="0" xfId="0" applyFont="1" applyFill="1">
      <alignment vertical="top"/>
    </xf>
    <xf numFmtId="164" fontId="0" fillId="16" borderId="0" xfId="0" applyFill="1">
      <alignment vertical="top"/>
    </xf>
    <xf numFmtId="164" fontId="10" fillId="7" borderId="0" xfId="0" applyFont="1" applyFill="1" applyBorder="1">
      <alignment vertical="top"/>
    </xf>
    <xf numFmtId="164" fontId="57" fillId="0" borderId="8" xfId="0" applyFont="1" applyBorder="1" applyAlignment="1">
      <alignment horizontal="right" vertical="top"/>
    </xf>
    <xf numFmtId="164" fontId="10" fillId="7" borderId="0" xfId="4" applyFont="1" applyFill="1" applyBorder="1" applyAlignment="1">
      <alignment horizontal="right" vertical="top"/>
    </xf>
    <xf numFmtId="164" fontId="12" fillId="0" borderId="0" xfId="0" applyFont="1" applyBorder="1">
      <alignment vertical="top"/>
    </xf>
    <xf numFmtId="164" fontId="60" fillId="0" borderId="8" xfId="0" applyFont="1" applyBorder="1" applyAlignment="1">
      <alignment horizontal="right" vertical="top"/>
    </xf>
    <xf numFmtId="164" fontId="60" fillId="0" borderId="0" xfId="0" applyFont="1" applyAlignment="1">
      <alignment horizontal="right" vertical="top"/>
    </xf>
    <xf numFmtId="164" fontId="44" fillId="10" borderId="0" xfId="2" applyFont="1" applyFill="1">
      <alignment vertical="top"/>
    </xf>
    <xf numFmtId="164" fontId="44" fillId="16" borderId="0" xfId="2" applyFont="1" applyFill="1">
      <alignment vertical="top"/>
    </xf>
    <xf numFmtId="164" fontId="7" fillId="16" borderId="0" xfId="2" applyFont="1" applyFill="1">
      <alignment vertical="top"/>
    </xf>
    <xf numFmtId="164" fontId="7" fillId="6" borderId="0" xfId="2" applyFont="1" applyFill="1">
      <alignment vertical="top"/>
    </xf>
    <xf numFmtId="164" fontId="12" fillId="0" borderId="0" xfId="0" applyFont="1">
      <alignment vertical="top"/>
    </xf>
    <xf numFmtId="164" fontId="7" fillId="0" borderId="7" xfId="0" applyFont="1" applyBorder="1">
      <alignment vertical="top"/>
    </xf>
    <xf numFmtId="165" fontId="7" fillId="0" borderId="0" xfId="3" applyFont="1" applyBorder="1">
      <alignment vertical="top"/>
    </xf>
    <xf numFmtId="165" fontId="7" fillId="0" borderId="0" xfId="3" applyFont="1" applyBorder="1" applyAlignment="1">
      <alignment horizontal="right" vertical="top"/>
    </xf>
    <xf numFmtId="164" fontId="7" fillId="0" borderId="0" xfId="0" applyFont="1" applyBorder="1" applyAlignment="1">
      <alignment horizontal="right" vertical="top"/>
    </xf>
    <xf numFmtId="164" fontId="7" fillId="7" borderId="0" xfId="0" applyFont="1" applyFill="1" applyBorder="1">
      <alignment vertical="top"/>
    </xf>
    <xf numFmtId="164" fontId="7" fillId="12" borderId="0" xfId="0" applyFont="1" applyFill="1" applyBorder="1">
      <alignment vertical="top"/>
    </xf>
    <xf numFmtId="164" fontId="7" fillId="0" borderId="8" xfId="0" applyFont="1" applyBorder="1">
      <alignment vertical="top"/>
    </xf>
    <xf numFmtId="164" fontId="7" fillId="0" borderId="0" xfId="0" applyFont="1" applyAlignment="1">
      <alignment wrapText="1"/>
    </xf>
    <xf numFmtId="166" fontId="10" fillId="7" borderId="0" xfId="5" applyFont="1" applyFill="1">
      <alignment vertical="top"/>
    </xf>
    <xf numFmtId="37" fontId="6" fillId="0" borderId="0" xfId="13" applyNumberFormat="1" applyFont="1" applyFill="1">
      <alignment vertical="top"/>
    </xf>
    <xf numFmtId="165" fontId="29" fillId="0" borderId="0" xfId="0" applyNumberFormat="1" applyFont="1">
      <alignment vertical="top"/>
    </xf>
    <xf numFmtId="164" fontId="13" fillId="6" borderId="0" xfId="0" applyFont="1" applyFill="1">
      <alignment vertical="top"/>
    </xf>
    <xf numFmtId="164" fontId="5" fillId="6" borderId="0" xfId="0" applyFont="1" applyFill="1">
      <alignment vertical="top"/>
    </xf>
    <xf numFmtId="164" fontId="6" fillId="6" borderId="0" xfId="0" applyFont="1" applyFill="1">
      <alignment vertical="top"/>
    </xf>
    <xf numFmtId="164" fontId="10" fillId="6" borderId="0" xfId="0" applyFont="1" applyFill="1">
      <alignment vertical="top"/>
    </xf>
    <xf numFmtId="37" fontId="33" fillId="0" borderId="0" xfId="2" applyNumberFormat="1" applyFont="1" applyAlignment="1">
      <alignment horizontal="right"/>
    </xf>
    <xf numFmtId="37" fontId="33" fillId="0" borderId="0" xfId="3" applyNumberFormat="1" applyFont="1" applyFill="1" applyBorder="1">
      <alignment vertical="top"/>
    </xf>
    <xf numFmtId="165" fontId="22" fillId="0" borderId="0" xfId="3" applyFont="1">
      <alignment vertical="top"/>
    </xf>
    <xf numFmtId="164" fontId="7" fillId="7" borderId="0" xfId="2" applyFont="1" applyFill="1" applyBorder="1">
      <alignment vertical="top"/>
    </xf>
    <xf numFmtId="165" fontId="5" fillId="4" borderId="0" xfId="3" applyFont="1" applyFill="1">
      <alignment vertical="top"/>
    </xf>
    <xf numFmtId="170" fontId="7" fillId="0" borderId="0" xfId="8" applyNumberFormat="1" applyFont="1">
      <alignment vertical="top"/>
    </xf>
    <xf numFmtId="168" fontId="23" fillId="0" borderId="0" xfId="8" applyFont="1" applyFill="1">
      <alignment vertical="top"/>
    </xf>
    <xf numFmtId="165" fontId="50" fillId="0" borderId="0" xfId="3" applyFont="1" applyFill="1">
      <alignment vertical="top"/>
    </xf>
    <xf numFmtId="168" fontId="23" fillId="0" borderId="0" xfId="8" applyFont="1">
      <alignment vertical="top"/>
    </xf>
    <xf numFmtId="166" fontId="7" fillId="7" borderId="1" xfId="5" applyFont="1" applyFill="1" applyBorder="1">
      <alignment vertical="top"/>
    </xf>
    <xf numFmtId="165" fontId="7" fillId="7" borderId="1" xfId="3" applyFont="1" applyFill="1" applyBorder="1">
      <alignment vertical="top"/>
    </xf>
    <xf numFmtId="164" fontId="7" fillId="7" borderId="1" xfId="0" applyFont="1" applyFill="1" applyBorder="1" applyAlignment="1"/>
    <xf numFmtId="168" fontId="7" fillId="7" borderId="1" xfId="8" applyFont="1" applyFill="1" applyBorder="1">
      <alignment vertical="top"/>
    </xf>
    <xf numFmtId="165" fontId="29" fillId="0" borderId="0" xfId="3" applyFont="1" applyFill="1">
      <alignment vertical="top"/>
    </xf>
    <xf numFmtId="37" fontId="29" fillId="0" borderId="0" xfId="3" applyNumberFormat="1" applyFont="1" applyFill="1">
      <alignment vertical="top"/>
    </xf>
    <xf numFmtId="166" fontId="7" fillId="0" borderId="0" xfId="5" applyFont="1" applyFill="1">
      <alignment vertical="top"/>
    </xf>
    <xf numFmtId="165" fontId="7" fillId="9" borderId="0" xfId="3" applyFont="1" applyFill="1">
      <alignment vertical="top"/>
    </xf>
    <xf numFmtId="165" fontId="29" fillId="0" borderId="0" xfId="0" applyNumberFormat="1" applyFont="1" applyFill="1" applyBorder="1">
      <alignment vertical="top"/>
    </xf>
    <xf numFmtId="165" fontId="23" fillId="7" borderId="0" xfId="3" applyFont="1" applyFill="1" applyBorder="1">
      <alignment vertical="top"/>
    </xf>
    <xf numFmtId="165" fontId="50" fillId="0" borderId="0" xfId="4" applyNumberFormat="1" applyFont="1">
      <alignment vertical="top"/>
    </xf>
    <xf numFmtId="164" fontId="50" fillId="0" borderId="0" xfId="0" applyFont="1" applyFill="1" applyBorder="1">
      <alignment vertical="top"/>
    </xf>
    <xf numFmtId="164" fontId="50" fillId="0" borderId="0" xfId="4" applyFont="1">
      <alignment vertical="top"/>
    </xf>
    <xf numFmtId="165" fontId="50" fillId="0" borderId="0" xfId="1" applyNumberFormat="1" applyFont="1" applyFill="1">
      <alignment vertical="top"/>
    </xf>
    <xf numFmtId="37" fontId="50" fillId="0" borderId="0" xfId="1" applyNumberFormat="1" applyFont="1" applyFill="1">
      <alignment vertical="top"/>
    </xf>
    <xf numFmtId="166" fontId="29" fillId="0" borderId="0" xfId="5" applyFont="1">
      <alignment vertical="top"/>
    </xf>
    <xf numFmtId="166" fontId="22" fillId="0" borderId="0" xfId="5" applyFont="1">
      <alignment vertical="top"/>
    </xf>
    <xf numFmtId="164" fontId="50" fillId="0" borderId="0" xfId="3" applyNumberFormat="1" applyFont="1">
      <alignment vertical="top"/>
    </xf>
    <xf numFmtId="166" fontId="10" fillId="7" borderId="0" xfId="1" applyFont="1" applyFill="1" applyBorder="1">
      <alignment vertical="top"/>
    </xf>
    <xf numFmtId="166" fontId="50" fillId="0" borderId="0" xfId="1" applyFont="1" applyFill="1" applyBorder="1">
      <alignment vertical="top"/>
    </xf>
    <xf numFmtId="165" fontId="50" fillId="0" borderId="0" xfId="1" applyNumberFormat="1" applyFont="1">
      <alignment vertical="top"/>
    </xf>
    <xf numFmtId="164" fontId="50" fillId="0" borderId="0" xfId="1" applyNumberFormat="1" applyFont="1">
      <alignment vertical="top"/>
    </xf>
    <xf numFmtId="37" fontId="29" fillId="0" borderId="0" xfId="0" applyNumberFormat="1" applyFont="1" applyFill="1" applyBorder="1">
      <alignment vertical="top"/>
    </xf>
    <xf numFmtId="165" fontId="50" fillId="0" borderId="0" xfId="3" applyFont="1" applyFill="1" applyBorder="1">
      <alignment vertical="top"/>
    </xf>
    <xf numFmtId="164" fontId="50" fillId="0" borderId="0" xfId="0" applyFont="1" applyFill="1" applyBorder="1" applyAlignment="1">
      <alignment horizontal="right" vertical="top"/>
    </xf>
    <xf numFmtId="178" fontId="50" fillId="0" borderId="0" xfId="0" applyNumberFormat="1" applyFont="1" applyFill="1" applyBorder="1">
      <alignment vertical="top"/>
    </xf>
    <xf numFmtId="178" fontId="50" fillId="0" borderId="0" xfId="3" applyNumberFormat="1" applyFont="1" applyFill="1" applyBorder="1">
      <alignment vertical="top"/>
    </xf>
    <xf numFmtId="165" fontId="50" fillId="0" borderId="0" xfId="0" applyNumberFormat="1" applyFont="1" applyFill="1" applyBorder="1">
      <alignment vertical="top"/>
    </xf>
    <xf numFmtId="37" fontId="50" fillId="0" borderId="0" xfId="0" applyNumberFormat="1" applyFont="1" applyFill="1" applyBorder="1">
      <alignment vertical="top"/>
    </xf>
    <xf numFmtId="37" fontId="23" fillId="0" borderId="0" xfId="0" applyNumberFormat="1" applyFont="1" applyFill="1" applyBorder="1">
      <alignment vertical="top"/>
    </xf>
    <xf numFmtId="169" fontId="23" fillId="7" borderId="1" xfId="0" applyNumberFormat="1" applyFont="1" applyFill="1" applyBorder="1">
      <alignment vertical="top"/>
    </xf>
    <xf numFmtId="37" fontId="23" fillId="7" borderId="1" xfId="4" applyNumberFormat="1" applyFont="1" applyFill="1" applyBorder="1" applyAlignment="1">
      <alignment horizontal="right" vertical="top"/>
    </xf>
    <xf numFmtId="165" fontId="50" fillId="0" borderId="0" xfId="4" applyNumberFormat="1" applyFont="1" applyFill="1">
      <alignment vertical="top"/>
    </xf>
    <xf numFmtId="165" fontId="50" fillId="0" borderId="0" xfId="4" applyNumberFormat="1" applyFont="1" applyFill="1" applyBorder="1">
      <alignment vertical="top"/>
    </xf>
    <xf numFmtId="164" fontId="50" fillId="0" borderId="0" xfId="4" applyFont="1" applyFill="1" applyBorder="1">
      <alignment vertical="top"/>
    </xf>
    <xf numFmtId="166" fontId="50" fillId="0" borderId="0" xfId="5" applyFont="1" applyFill="1" applyBorder="1">
      <alignment vertical="top"/>
    </xf>
    <xf numFmtId="172" fontId="10" fillId="7" borderId="0" xfId="14" applyFont="1" applyFill="1" applyBorder="1">
      <alignment vertical="top"/>
    </xf>
    <xf numFmtId="172" fontId="10" fillId="7" borderId="1" xfId="14" applyFont="1" applyFill="1" applyBorder="1">
      <alignment vertical="top"/>
    </xf>
    <xf numFmtId="165" fontId="10" fillId="0" borderId="0" xfId="0" applyNumberFormat="1" applyFont="1">
      <alignment vertical="top"/>
    </xf>
    <xf numFmtId="166" fontId="29" fillId="0" borderId="0" xfId="0" applyNumberFormat="1" applyFont="1">
      <alignment vertical="top"/>
    </xf>
    <xf numFmtId="164" fontId="23" fillId="0" borderId="1" xfId="2" applyFont="1" applyFill="1" applyBorder="1">
      <alignment vertical="top"/>
    </xf>
    <xf numFmtId="37" fontId="29" fillId="7" borderId="0" xfId="0" applyNumberFormat="1" applyFont="1" applyFill="1" applyAlignment="1">
      <alignment horizontal="right" vertical="top"/>
    </xf>
    <xf numFmtId="183" fontId="29" fillId="0" borderId="0" xfId="0" applyNumberFormat="1" applyFont="1">
      <alignment vertical="top"/>
    </xf>
    <xf numFmtId="165" fontId="50" fillId="0" borderId="0" xfId="6" applyNumberFormat="1" applyFont="1" applyFill="1" applyBorder="1" applyAlignment="1">
      <alignment vertical="top"/>
    </xf>
    <xf numFmtId="178" fontId="50" fillId="0" borderId="0" xfId="6" applyNumberFormat="1" applyFont="1" applyFill="1" applyBorder="1" applyAlignment="1">
      <alignment vertical="top"/>
    </xf>
    <xf numFmtId="165" fontId="50" fillId="0" borderId="0" xfId="2" applyNumberFormat="1" applyFont="1">
      <alignment vertical="top"/>
    </xf>
    <xf numFmtId="178" fontId="50" fillId="0" borderId="0" xfId="2" applyNumberFormat="1" applyFont="1">
      <alignment vertical="top"/>
    </xf>
    <xf numFmtId="165" fontId="50" fillId="0" borderId="0" xfId="2" applyNumberFormat="1" applyFont="1" applyFill="1" applyBorder="1">
      <alignment vertical="top"/>
    </xf>
    <xf numFmtId="178" fontId="50" fillId="0" borderId="0" xfId="2" applyNumberFormat="1" applyFont="1" applyFill="1" applyBorder="1">
      <alignment vertical="top"/>
    </xf>
    <xf numFmtId="37" fontId="50" fillId="0" borderId="0" xfId="2" applyNumberFormat="1" applyFont="1" applyFill="1" applyBorder="1">
      <alignment vertical="top"/>
    </xf>
    <xf numFmtId="37" fontId="23" fillId="7" borderId="1" xfId="0" applyNumberFormat="1" applyFont="1" applyFill="1" applyBorder="1" applyAlignment="1">
      <alignment horizontal="right" vertical="top"/>
    </xf>
    <xf numFmtId="37" fontId="50" fillId="0" borderId="0" xfId="0" applyNumberFormat="1" applyFont="1" applyFill="1">
      <alignment vertical="top"/>
    </xf>
    <xf numFmtId="178" fontId="50" fillId="0" borderId="0" xfId="1" applyNumberFormat="1" applyFont="1" applyFill="1" applyBorder="1">
      <alignment vertical="top"/>
    </xf>
    <xf numFmtId="164" fontId="50" fillId="0" borderId="0" xfId="0" applyFont="1" applyFill="1">
      <alignment vertical="top"/>
    </xf>
    <xf numFmtId="164" fontId="59" fillId="0" borderId="0" xfId="0" applyFont="1">
      <alignment vertical="top"/>
    </xf>
    <xf numFmtId="178" fontId="29" fillId="0" borderId="0" xfId="0" applyNumberFormat="1" applyFont="1">
      <alignment vertical="top"/>
    </xf>
    <xf numFmtId="166" fontId="29" fillId="0" borderId="0" xfId="2" applyNumberFormat="1" applyFont="1" applyBorder="1">
      <alignment vertical="top"/>
    </xf>
    <xf numFmtId="164" fontId="34" fillId="0" borderId="0" xfId="0" applyFont="1">
      <alignment vertical="top"/>
    </xf>
    <xf numFmtId="165" fontId="22" fillId="0" borderId="0" xfId="0" applyNumberFormat="1" applyFont="1" applyAlignment="1">
      <alignment horizontal="right" vertical="top"/>
    </xf>
    <xf numFmtId="164" fontId="59" fillId="6" borderId="0" xfId="0" applyFont="1" applyFill="1">
      <alignment vertical="top"/>
    </xf>
    <xf numFmtId="171" fontId="23" fillId="0" borderId="0" xfId="3" applyNumberFormat="1" applyFont="1">
      <alignment vertical="top"/>
    </xf>
    <xf numFmtId="165" fontId="23" fillId="0" borderId="0" xfId="2" applyNumberFormat="1" applyFont="1" applyAlignment="1">
      <alignment horizontal="right" vertical="top"/>
    </xf>
    <xf numFmtId="171" fontId="23" fillId="6" borderId="0" xfId="2" applyNumberFormat="1" applyFont="1" applyFill="1">
      <alignment vertical="top"/>
    </xf>
    <xf numFmtId="0" fontId="29" fillId="0" borderId="7" xfId="0" applyNumberFormat="1" applyFont="1" applyBorder="1">
      <alignment vertical="top"/>
    </xf>
    <xf numFmtId="0" fontId="29" fillId="0" borderId="0" xfId="0" applyNumberFormat="1" applyFont="1" applyBorder="1">
      <alignment vertical="top"/>
    </xf>
    <xf numFmtId="164" fontId="57" fillId="0" borderId="0" xfId="0" applyFont="1" applyBorder="1" applyAlignment="1">
      <alignment horizontal="right" vertical="top"/>
    </xf>
    <xf numFmtId="164" fontId="12" fillId="0" borderId="0" xfId="2" applyFont="1" applyBorder="1">
      <alignment vertical="top"/>
    </xf>
    <xf numFmtId="164" fontId="7" fillId="0" borderId="0" xfId="2" applyFont="1" applyBorder="1" applyAlignment="1">
      <alignment horizontal="right" vertical="top"/>
    </xf>
    <xf numFmtId="164" fontId="7" fillId="12" borderId="0" xfId="2" applyFont="1" applyFill="1" applyBorder="1">
      <alignment vertical="top"/>
    </xf>
    <xf numFmtId="164" fontId="12" fillId="0" borderId="7" xfId="2" applyFont="1" applyBorder="1">
      <alignment vertical="top"/>
    </xf>
    <xf numFmtId="165" fontId="7" fillId="0" borderId="7" xfId="3" applyFont="1" applyBorder="1">
      <alignment vertical="top"/>
    </xf>
    <xf numFmtId="165" fontId="7" fillId="0" borderId="7" xfId="3" applyFont="1" applyBorder="1" applyAlignment="1">
      <alignment horizontal="right" vertical="top"/>
    </xf>
    <xf numFmtId="164" fontId="7" fillId="0" borderId="7" xfId="2" applyFont="1" applyBorder="1" applyAlignment="1">
      <alignment horizontal="right" vertical="top"/>
    </xf>
    <xf numFmtId="178" fontId="10" fillId="7" borderId="7" xfId="2" applyNumberFormat="1" applyFont="1" applyFill="1" applyBorder="1" applyAlignment="1">
      <alignment horizontal="right" vertical="top"/>
    </xf>
    <xf numFmtId="166" fontId="7" fillId="7" borderId="7" xfId="5" applyFont="1" applyFill="1" applyBorder="1">
      <alignment vertical="top"/>
    </xf>
    <xf numFmtId="164" fontId="7" fillId="12" borderId="8" xfId="2" applyFont="1" applyFill="1" applyBorder="1">
      <alignment vertical="top"/>
    </xf>
    <xf numFmtId="0" fontId="29" fillId="0" borderId="7" xfId="2" applyNumberFormat="1" applyFont="1" applyBorder="1">
      <alignment vertical="top"/>
    </xf>
    <xf numFmtId="164" fontId="23" fillId="0" borderId="0" xfId="4" applyFont="1" applyBorder="1">
      <alignment vertical="top"/>
    </xf>
    <xf numFmtId="164" fontId="23" fillId="7" borderId="0" xfId="4" applyFont="1" applyFill="1" applyBorder="1">
      <alignment vertical="top"/>
    </xf>
    <xf numFmtId="172" fontId="23" fillId="12" borderId="0" xfId="14" applyFont="1" applyFill="1">
      <alignment vertical="top"/>
    </xf>
    <xf numFmtId="164" fontId="22" fillId="0" borderId="0" xfId="4" applyFont="1" applyBorder="1">
      <alignment vertical="top"/>
    </xf>
    <xf numFmtId="164" fontId="50" fillId="0" borderId="0" xfId="4" applyFont="1" applyFill="1">
      <alignment vertical="top"/>
    </xf>
    <xf numFmtId="172" fontId="50" fillId="0" borderId="0" xfId="0" applyNumberFormat="1" applyFont="1">
      <alignment vertical="top"/>
    </xf>
    <xf numFmtId="164" fontId="50" fillId="0" borderId="0" xfId="0" applyFont="1">
      <alignment vertical="top"/>
    </xf>
    <xf numFmtId="165" fontId="29" fillId="0" borderId="0" xfId="2" applyNumberFormat="1" applyFont="1" applyFill="1" applyBorder="1">
      <alignment vertical="top"/>
    </xf>
    <xf numFmtId="183" fontId="29" fillId="0" borderId="0" xfId="2" applyNumberFormat="1" applyFont="1" applyFill="1" applyBorder="1">
      <alignment vertical="top"/>
    </xf>
    <xf numFmtId="37" fontId="22" fillId="0" borderId="0" xfId="3" applyNumberFormat="1" applyFont="1" applyFill="1" applyBorder="1">
      <alignment vertical="top"/>
    </xf>
    <xf numFmtId="183" fontId="29" fillId="0" borderId="0" xfId="0" applyNumberFormat="1" applyFont="1" applyFill="1">
      <alignment vertical="top"/>
    </xf>
    <xf numFmtId="183" fontId="23" fillId="0" borderId="0" xfId="0" applyNumberFormat="1" applyFont="1" applyFill="1">
      <alignment vertical="top"/>
    </xf>
    <xf numFmtId="178" fontId="23" fillId="12" borderId="0" xfId="0" applyNumberFormat="1" applyFont="1" applyFill="1" applyBorder="1" applyAlignment="1">
      <alignment horizontal="right" vertical="top"/>
    </xf>
    <xf numFmtId="164" fontId="40" fillId="0" borderId="0" xfId="2" applyFont="1" applyFill="1">
      <alignment vertical="top"/>
    </xf>
    <xf numFmtId="164" fontId="37" fillId="6" borderId="0" xfId="0" applyFont="1" applyFill="1" applyBorder="1">
      <alignment vertical="top"/>
    </xf>
    <xf numFmtId="172" fontId="23" fillId="7" borderId="0" xfId="14" applyFont="1" applyFill="1">
      <alignment vertical="top"/>
    </xf>
    <xf numFmtId="37" fontId="50" fillId="0" borderId="0" xfId="4" applyNumberFormat="1" applyFont="1" applyFill="1">
      <alignment vertical="top"/>
    </xf>
    <xf numFmtId="166" fontId="50" fillId="0" borderId="0" xfId="1" applyFont="1" applyFill="1">
      <alignment vertical="top"/>
    </xf>
    <xf numFmtId="37" fontId="23" fillId="0" borderId="0" xfId="0" applyNumberFormat="1" applyFont="1" applyAlignment="1">
      <alignment horizontal="right"/>
    </xf>
    <xf numFmtId="164" fontId="22" fillId="0" borderId="0" xfId="0" applyFont="1" applyBorder="1">
      <alignment vertical="top"/>
    </xf>
    <xf numFmtId="164" fontId="23" fillId="0" borderId="0" xfId="0" applyFont="1" applyBorder="1">
      <alignment vertical="top"/>
    </xf>
    <xf numFmtId="164" fontId="23" fillId="12" borderId="0" xfId="0" applyFont="1" applyFill="1" applyBorder="1">
      <alignment vertical="top"/>
    </xf>
    <xf numFmtId="164" fontId="50" fillId="0" borderId="0" xfId="2" applyFont="1">
      <alignment vertical="top"/>
    </xf>
    <xf numFmtId="166" fontId="23" fillId="0" borderId="0" xfId="2" applyNumberFormat="1" applyFont="1" applyFill="1">
      <alignment vertical="top"/>
    </xf>
    <xf numFmtId="185" fontId="22" fillId="0" borderId="0" xfId="1" applyNumberFormat="1" applyFont="1">
      <alignment vertical="top"/>
    </xf>
    <xf numFmtId="164" fontId="23" fillId="0" borderId="8" xfId="0" applyFont="1" applyBorder="1">
      <alignment vertical="top"/>
    </xf>
    <xf numFmtId="164" fontId="36" fillId="0" borderId="0" xfId="0" applyFont="1" applyFill="1">
      <alignment vertical="top"/>
    </xf>
    <xf numFmtId="164" fontId="25" fillId="0" borderId="0" xfId="0" applyFont="1" applyFill="1">
      <alignment vertical="top"/>
    </xf>
    <xf numFmtId="178" fontId="22" fillId="0" borderId="0" xfId="0" applyNumberFormat="1" applyFont="1" applyFill="1" applyBorder="1">
      <alignment vertical="top"/>
    </xf>
    <xf numFmtId="178" fontId="33" fillId="0" borderId="0" xfId="0" applyNumberFormat="1" applyFont="1" applyFill="1" applyBorder="1">
      <alignment vertical="top"/>
    </xf>
    <xf numFmtId="178" fontId="26" fillId="0" borderId="0" xfId="0" applyNumberFormat="1" applyFont="1" applyFill="1" applyBorder="1">
      <alignment vertical="top"/>
    </xf>
    <xf numFmtId="164" fontId="0" fillId="0" borderId="6" xfId="0" applyBorder="1">
      <alignment vertical="top"/>
    </xf>
    <xf numFmtId="186" fontId="10" fillId="0" borderId="0" xfId="0" applyNumberFormat="1" applyFont="1" applyFill="1" applyBorder="1">
      <alignment vertical="top"/>
    </xf>
    <xf numFmtId="164" fontId="60" fillId="0" borderId="0" xfId="0" applyFont="1" applyBorder="1" applyAlignment="1">
      <alignment horizontal="right" vertical="top"/>
    </xf>
    <xf numFmtId="164" fontId="5" fillId="0" borderId="0" xfId="0" applyFont="1" applyBorder="1">
      <alignment vertical="top"/>
    </xf>
    <xf numFmtId="172" fontId="0" fillId="0" borderId="0" xfId="14" applyFont="1">
      <alignment vertical="top"/>
    </xf>
    <xf numFmtId="172" fontId="10" fillId="7" borderId="0" xfId="5" applyNumberFormat="1" applyFont="1" applyFill="1" applyBorder="1">
      <alignment vertical="top"/>
    </xf>
    <xf numFmtId="37" fontId="33" fillId="0" borderId="0" xfId="13" applyNumberFormat="1" applyFont="1" applyFill="1" applyBorder="1">
      <alignment vertical="top"/>
    </xf>
    <xf numFmtId="37" fontId="26" fillId="0" borderId="0" xfId="13" applyNumberFormat="1" applyFont="1" applyFill="1" applyBorder="1">
      <alignment vertical="top"/>
    </xf>
    <xf numFmtId="37" fontId="22" fillId="0" borderId="0" xfId="13" applyNumberFormat="1" applyFont="1" applyFill="1" applyBorder="1">
      <alignment vertical="top"/>
    </xf>
    <xf numFmtId="181" fontId="7" fillId="0" borderId="0" xfId="5" applyNumberFormat="1" applyFont="1" applyFill="1">
      <alignment vertical="top"/>
    </xf>
    <xf numFmtId="164" fontId="61" fillId="0" borderId="8" xfId="0" applyFont="1" applyBorder="1" applyAlignment="1">
      <alignment horizontal="right" vertical="top"/>
    </xf>
    <xf numFmtId="164" fontId="37" fillId="0" borderId="8" xfId="0" applyFont="1" applyBorder="1">
      <alignment vertical="top"/>
    </xf>
    <xf numFmtId="164" fontId="29" fillId="0" borderId="0" xfId="0" applyFont="1" applyBorder="1">
      <alignment vertical="top"/>
    </xf>
    <xf numFmtId="164" fontId="36" fillId="0" borderId="0" xfId="0" applyFont="1" applyBorder="1">
      <alignment vertical="top"/>
    </xf>
    <xf numFmtId="164" fontId="7" fillId="7" borderId="2" xfId="2" applyFont="1" applyFill="1" applyBorder="1">
      <alignment vertical="top"/>
    </xf>
    <xf numFmtId="164" fontId="7" fillId="7" borderId="11" xfId="2" applyFont="1" applyFill="1" applyBorder="1">
      <alignment vertical="top"/>
    </xf>
    <xf numFmtId="37" fontId="7" fillId="7" borderId="2" xfId="13" applyNumberFormat="1" applyFont="1" applyFill="1" applyBorder="1">
      <alignment vertical="top"/>
    </xf>
    <xf numFmtId="37" fontId="7" fillId="7" borderId="12" xfId="3" applyNumberFormat="1" applyFont="1" applyFill="1" applyBorder="1">
      <alignment vertical="top"/>
    </xf>
    <xf numFmtId="37" fontId="5" fillId="0" borderId="6" xfId="13" applyNumberFormat="1" applyFont="1" applyBorder="1">
      <alignment vertical="top"/>
    </xf>
    <xf numFmtId="37" fontId="6" fillId="0" borderId="6" xfId="13" applyNumberFormat="1" applyFont="1" applyBorder="1">
      <alignment vertical="top"/>
    </xf>
    <xf numFmtId="37" fontId="7" fillId="0" borderId="6" xfId="13" applyNumberFormat="1" applyFont="1" applyBorder="1">
      <alignment vertical="top"/>
    </xf>
    <xf numFmtId="37" fontId="7" fillId="0" borderId="6" xfId="3" applyNumberFormat="1" applyFont="1" applyFill="1" applyBorder="1">
      <alignment vertical="top"/>
    </xf>
    <xf numFmtId="37" fontId="10" fillId="0" borderId="6" xfId="13" applyNumberFormat="1" applyFont="1" applyFill="1" applyBorder="1">
      <alignment vertical="top"/>
    </xf>
    <xf numFmtId="37" fontId="7" fillId="0" borderId="6" xfId="0" applyNumberFormat="1" applyFont="1" applyBorder="1">
      <alignment vertical="top"/>
    </xf>
    <xf numFmtId="164" fontId="61" fillId="0" borderId="0" xfId="0" applyFont="1" applyBorder="1" applyAlignment="1">
      <alignment horizontal="right" vertical="top"/>
    </xf>
    <xf numFmtId="164" fontId="37" fillId="0" borderId="0" xfId="0" applyFont="1" applyBorder="1">
      <alignment vertical="top"/>
    </xf>
    <xf numFmtId="164" fontId="52" fillId="0" borderId="0" xfId="0" applyFont="1" applyBorder="1" applyAlignment="1">
      <alignment horizontal="right" vertical="top"/>
    </xf>
    <xf numFmtId="164" fontId="2" fillId="0" borderId="0" xfId="0" applyFont="1" applyBorder="1">
      <alignment vertical="top"/>
    </xf>
    <xf numFmtId="166" fontId="40" fillId="7" borderId="0" xfId="1" applyFont="1" applyFill="1">
      <alignment vertical="top"/>
    </xf>
    <xf numFmtId="166" fontId="50" fillId="7" borderId="2" xfId="1" applyFont="1" applyFill="1" applyBorder="1">
      <alignment vertical="top"/>
    </xf>
    <xf numFmtId="37" fontId="5" fillId="0" borderId="0" xfId="13" applyNumberFormat="1" applyFont="1" applyBorder="1">
      <alignment vertical="top"/>
    </xf>
    <xf numFmtId="37" fontId="6" fillId="0" borderId="0" xfId="13" applyNumberFormat="1" applyFont="1" applyBorder="1">
      <alignment vertical="top"/>
    </xf>
    <xf numFmtId="37" fontId="7" fillId="0" borderId="0" xfId="13" applyNumberFormat="1" applyFont="1" applyBorder="1">
      <alignment vertical="top"/>
    </xf>
    <xf numFmtId="164" fontId="10" fillId="0" borderId="0" xfId="13" applyNumberFormat="1" applyFont="1" applyBorder="1">
      <alignment vertical="top"/>
    </xf>
    <xf numFmtId="164" fontId="53" fillId="0" borderId="28" xfId="0" applyFont="1" applyBorder="1" applyAlignment="1">
      <alignment horizontal="center" vertical="top"/>
    </xf>
    <xf numFmtId="166" fontId="23" fillId="0" borderId="0" xfId="5" applyFont="1" applyFill="1">
      <alignment vertical="top"/>
    </xf>
    <xf numFmtId="166" fontId="23" fillId="7" borderId="1" xfId="5" applyFont="1" applyFill="1" applyBorder="1" applyAlignment="1">
      <alignment horizontal="right" vertical="top"/>
    </xf>
    <xf numFmtId="164" fontId="36" fillId="0" borderId="7" xfId="2" applyFont="1" applyBorder="1">
      <alignment vertical="top"/>
    </xf>
    <xf numFmtId="164" fontId="25" fillId="0" borderId="7" xfId="2" applyFont="1" applyBorder="1">
      <alignment vertical="top"/>
    </xf>
    <xf numFmtId="164" fontId="23" fillId="0" borderId="7" xfId="2" applyFont="1" applyBorder="1">
      <alignment vertical="top"/>
    </xf>
    <xf numFmtId="164" fontId="37" fillId="0" borderId="6" xfId="0" applyFont="1" applyBorder="1">
      <alignment vertical="top"/>
    </xf>
    <xf numFmtId="164" fontId="36" fillId="0" borderId="8" xfId="2" applyFont="1" applyBorder="1">
      <alignment vertical="top"/>
    </xf>
    <xf numFmtId="164" fontId="25" fillId="0" borderId="8" xfId="2" applyFont="1" applyBorder="1">
      <alignment vertical="top"/>
    </xf>
    <xf numFmtId="164" fontId="23" fillId="0" borderId="8" xfId="2" applyFont="1" applyBorder="1">
      <alignment vertical="top"/>
    </xf>
    <xf numFmtId="171" fontId="23" fillId="0" borderId="8" xfId="2" applyNumberFormat="1" applyFont="1" applyBorder="1">
      <alignment vertical="top"/>
    </xf>
    <xf numFmtId="171" fontId="23" fillId="0" borderId="7" xfId="2" applyNumberFormat="1" applyFont="1" applyBorder="1">
      <alignment vertical="top"/>
    </xf>
    <xf numFmtId="37" fontId="45" fillId="0" borderId="0" xfId="2" applyNumberFormat="1" applyFont="1" applyFill="1">
      <alignment vertical="top"/>
    </xf>
    <xf numFmtId="165" fontId="37" fillId="7" borderId="1" xfId="3" applyFont="1" applyFill="1" applyBorder="1">
      <alignment vertical="top"/>
    </xf>
    <xf numFmtId="165" fontId="23" fillId="0" borderId="7" xfId="3" applyFont="1" applyBorder="1">
      <alignment vertical="top"/>
    </xf>
    <xf numFmtId="165" fontId="29" fillId="0" borderId="0" xfId="3" applyFont="1" applyBorder="1">
      <alignment vertical="top"/>
    </xf>
    <xf numFmtId="165" fontId="23" fillId="0" borderId="8" xfId="3" applyFont="1" applyBorder="1">
      <alignment vertical="top"/>
    </xf>
    <xf numFmtId="37" fontId="25" fillId="0" borderId="0" xfId="0" applyNumberFormat="1" applyFont="1" applyFill="1">
      <alignment vertical="top"/>
    </xf>
    <xf numFmtId="164" fontId="50" fillId="0" borderId="0" xfId="1" applyNumberFormat="1" applyFont="1" applyFill="1" applyBorder="1">
      <alignment vertical="top"/>
    </xf>
    <xf numFmtId="164" fontId="53" fillId="0" borderId="0" xfId="2" applyFont="1">
      <alignment vertical="top"/>
    </xf>
    <xf numFmtId="164" fontId="61" fillId="0" borderId="6" xfId="0" applyFont="1" applyBorder="1" applyAlignment="1">
      <alignment horizontal="right" vertical="top"/>
    </xf>
    <xf numFmtId="164" fontId="36" fillId="0" borderId="0" xfId="0" applyFont="1" applyBorder="1" applyAlignment="1">
      <alignment horizontal="left" vertical="top"/>
    </xf>
    <xf numFmtId="3" fontId="3" fillId="0" borderId="0" xfId="16" applyNumberFormat="1" applyAlignment="1">
      <alignment vertical="top"/>
    </xf>
    <xf numFmtId="3" fontId="53" fillId="0" borderId="28" xfId="3" applyNumberFormat="1" applyFont="1" applyBorder="1">
      <alignment vertical="top"/>
    </xf>
    <xf numFmtId="164" fontId="53" fillId="0" borderId="20" xfId="0" applyFont="1" applyBorder="1" applyAlignment="1">
      <alignment horizontal="center" vertical="top"/>
    </xf>
    <xf numFmtId="3" fontId="53" fillId="0" borderId="31" xfId="3" applyNumberFormat="1" applyFont="1" applyBorder="1">
      <alignment vertical="top"/>
    </xf>
    <xf numFmtId="164" fontId="22" fillId="12" borderId="0" xfId="2" applyFont="1" applyFill="1" applyBorder="1">
      <alignment vertical="top"/>
    </xf>
    <xf numFmtId="164" fontId="22" fillId="12" borderId="0" xfId="0" applyFont="1" applyFill="1" applyBorder="1">
      <alignment vertical="top"/>
    </xf>
    <xf numFmtId="164" fontId="22" fillId="0" borderId="8" xfId="0" applyFont="1" applyBorder="1">
      <alignment vertical="top"/>
    </xf>
    <xf numFmtId="164" fontId="29" fillId="0" borderId="0" xfId="13" applyNumberFormat="1" applyFont="1" applyBorder="1">
      <alignment vertical="top"/>
    </xf>
    <xf numFmtId="37" fontId="33" fillId="0" borderId="0" xfId="13" applyNumberFormat="1" applyFont="1" applyBorder="1">
      <alignment vertical="top"/>
    </xf>
    <xf numFmtId="37" fontId="26" fillId="0" borderId="0" xfId="13" applyNumberFormat="1" applyFont="1" applyBorder="1">
      <alignment vertical="top"/>
    </xf>
    <xf numFmtId="37" fontId="22" fillId="0" borderId="0" xfId="13" applyNumberFormat="1" applyFont="1" applyBorder="1">
      <alignment vertical="top"/>
    </xf>
    <xf numFmtId="164" fontId="22" fillId="0" borderId="0" xfId="13" applyNumberFormat="1" applyFont="1" applyBorder="1">
      <alignment vertical="top"/>
    </xf>
    <xf numFmtId="165" fontId="22" fillId="0" borderId="0" xfId="4" applyNumberFormat="1" applyFont="1" applyFill="1" applyBorder="1">
      <alignment vertical="top"/>
    </xf>
    <xf numFmtId="164" fontId="22" fillId="0" borderId="0" xfId="4" applyFont="1" applyFill="1" applyBorder="1">
      <alignment vertical="top"/>
    </xf>
    <xf numFmtId="164" fontId="7" fillId="0" borderId="24" xfId="2" applyFont="1" applyBorder="1">
      <alignment vertical="top"/>
    </xf>
    <xf numFmtId="164" fontId="7" fillId="0" borderId="24" xfId="3" applyNumberFormat="1" applyFont="1" applyFill="1" applyBorder="1">
      <alignment vertical="top"/>
    </xf>
    <xf numFmtId="164" fontId="10" fillId="0" borderId="24" xfId="2" applyFont="1" applyFill="1" applyBorder="1">
      <alignment vertical="top"/>
    </xf>
    <xf numFmtId="164" fontId="63" fillId="10" borderId="0" xfId="0" applyFont="1" applyFill="1">
      <alignment vertical="top"/>
    </xf>
    <xf numFmtId="165" fontId="23" fillId="0" borderId="6" xfId="3" applyFont="1" applyBorder="1">
      <alignment vertical="top"/>
    </xf>
    <xf numFmtId="164" fontId="7" fillId="7" borderId="0" xfId="2" applyFont="1" applyFill="1">
      <alignment vertical="top"/>
    </xf>
    <xf numFmtId="165" fontId="36" fillId="0" borderId="0" xfId="3" applyFont="1">
      <alignment vertical="top"/>
    </xf>
    <xf numFmtId="165" fontId="25" fillId="0" borderId="0" xfId="3" applyFont="1">
      <alignment vertical="top"/>
    </xf>
    <xf numFmtId="165" fontId="37" fillId="0" borderId="0" xfId="3" applyFont="1">
      <alignment vertical="top"/>
    </xf>
    <xf numFmtId="164" fontId="23" fillId="8" borderId="0" xfId="0" applyFont="1" applyFill="1">
      <alignment vertical="top"/>
    </xf>
    <xf numFmtId="164" fontId="23" fillId="7" borderId="0" xfId="2" applyFont="1" applyFill="1" applyAlignment="1">
      <alignment horizontal="right" vertical="top"/>
    </xf>
    <xf numFmtId="164" fontId="40" fillId="12" borderId="0" xfId="2" applyFont="1" applyFill="1" applyAlignment="1">
      <alignment horizontal="right" vertical="top"/>
    </xf>
    <xf numFmtId="164" fontId="7" fillId="8" borderId="0" xfId="0" applyFont="1" applyFill="1">
      <alignment vertical="top"/>
    </xf>
    <xf numFmtId="164" fontId="5" fillId="8" borderId="0" xfId="2" applyFont="1" applyFill="1">
      <alignment vertical="top"/>
    </xf>
    <xf numFmtId="164" fontId="29" fillId="8" borderId="0" xfId="0" applyFont="1" applyFill="1">
      <alignment vertical="top"/>
    </xf>
    <xf numFmtId="164" fontId="0" fillId="8" borderId="0" xfId="0" applyFill="1">
      <alignment vertical="top"/>
    </xf>
    <xf numFmtId="37" fontId="29" fillId="8" borderId="0" xfId="2" applyNumberFormat="1" applyFont="1" applyFill="1">
      <alignment vertical="top"/>
    </xf>
    <xf numFmtId="172" fontId="29" fillId="8" borderId="0" xfId="2" applyNumberFormat="1" applyFont="1" applyFill="1">
      <alignment vertical="top"/>
    </xf>
    <xf numFmtId="164" fontId="23" fillId="0" borderId="14" xfId="0" applyFont="1" applyBorder="1">
      <alignment vertical="top"/>
    </xf>
    <xf numFmtId="37" fontId="23" fillId="0" borderId="14" xfId="4" applyNumberFormat="1" applyFont="1" applyFill="1" applyBorder="1">
      <alignment vertical="top"/>
    </xf>
    <xf numFmtId="164" fontId="40" fillId="6" borderId="0" xfId="2" applyFont="1" applyFill="1" applyBorder="1">
      <alignment vertical="top"/>
    </xf>
    <xf numFmtId="164" fontId="40" fillId="0" borderId="0" xfId="2" applyFont="1" applyBorder="1">
      <alignment vertical="top"/>
    </xf>
    <xf numFmtId="165" fontId="23" fillId="6" borderId="0" xfId="3" applyFont="1" applyFill="1" applyBorder="1">
      <alignment vertical="top"/>
    </xf>
    <xf numFmtId="37" fontId="23" fillId="0" borderId="0" xfId="4" applyNumberFormat="1" applyFont="1" applyFill="1" applyBorder="1">
      <alignment vertical="top"/>
    </xf>
    <xf numFmtId="164" fontId="23" fillId="12" borderId="14" xfId="4" applyFont="1" applyFill="1" applyBorder="1" applyAlignment="1">
      <alignment horizontal="right" vertical="top"/>
    </xf>
    <xf numFmtId="164" fontId="23" fillId="12" borderId="0" xfId="4" applyFont="1" applyFill="1" applyBorder="1" applyAlignment="1">
      <alignment horizontal="right" vertical="top"/>
    </xf>
    <xf numFmtId="37" fontId="23" fillId="0" borderId="14" xfId="0" applyNumberFormat="1" applyFont="1" applyBorder="1">
      <alignment vertical="top"/>
    </xf>
    <xf numFmtId="164" fontId="50" fillId="0" borderId="0" xfId="0" applyFont="1" applyBorder="1">
      <alignment vertical="top"/>
    </xf>
    <xf numFmtId="164" fontId="50" fillId="7" borderId="2" xfId="2" applyFont="1" applyFill="1" applyBorder="1">
      <alignment vertical="top"/>
    </xf>
    <xf numFmtId="164" fontId="50" fillId="0" borderId="0" xfId="2" applyFont="1" applyBorder="1">
      <alignment vertical="top"/>
    </xf>
    <xf numFmtId="37" fontId="50" fillId="0" borderId="0" xfId="0" applyNumberFormat="1" applyFont="1">
      <alignment vertical="top"/>
    </xf>
    <xf numFmtId="164" fontId="50" fillId="7" borderId="1" xfId="2" applyFont="1" applyFill="1" applyBorder="1">
      <alignment vertical="top"/>
    </xf>
    <xf numFmtId="37" fontId="62" fillId="0" borderId="0" xfId="2" applyNumberFormat="1" applyFont="1" applyAlignment="1">
      <alignment horizontal="left" vertical="top"/>
    </xf>
    <xf numFmtId="164" fontId="23" fillId="7" borderId="37" xfId="2" applyFont="1" applyFill="1" applyBorder="1">
      <alignment vertical="top"/>
    </xf>
    <xf numFmtId="164" fontId="22" fillId="7" borderId="37" xfId="2" applyFont="1" applyFill="1" applyBorder="1">
      <alignment vertical="top"/>
    </xf>
    <xf numFmtId="164" fontId="21" fillId="6" borderId="37" xfId="2" applyFont="1" applyFill="1" applyBorder="1">
      <alignment vertical="top"/>
    </xf>
    <xf numFmtId="168" fontId="7" fillId="0" borderId="0" xfId="8" applyFont="1">
      <alignment vertical="top"/>
    </xf>
    <xf numFmtId="168" fontId="29" fillId="0" borderId="0" xfId="8" applyFont="1" applyFill="1">
      <alignment vertical="top"/>
    </xf>
    <xf numFmtId="37" fontId="29" fillId="0" borderId="0" xfId="2" applyNumberFormat="1" applyFont="1" applyBorder="1" applyAlignment="1">
      <alignment horizontal="right" vertical="top"/>
    </xf>
    <xf numFmtId="165" fontId="10" fillId="7" borderId="0" xfId="3" applyFont="1" applyFill="1" applyBorder="1">
      <alignment vertical="top"/>
    </xf>
    <xf numFmtId="171" fontId="59" fillId="3" borderId="0" xfId="0" applyNumberFormat="1" applyFont="1" applyFill="1" applyAlignment="1">
      <alignment horizontal="right" vertical="top"/>
    </xf>
    <xf numFmtId="171" fontId="22" fillId="3" borderId="0" xfId="2" applyNumberFormat="1" applyFont="1" applyFill="1" applyAlignment="1">
      <alignment horizontal="right" vertical="top"/>
    </xf>
    <xf numFmtId="37" fontId="52" fillId="0" borderId="0" xfId="2" applyNumberFormat="1" applyFont="1" applyAlignment="1">
      <alignment horizontal="left" vertical="top"/>
    </xf>
    <xf numFmtId="0" fontId="40" fillId="6" borderId="15" xfId="16" applyFont="1" applyFill="1" applyBorder="1" applyAlignment="1">
      <alignment vertical="top"/>
    </xf>
    <xf numFmtId="0" fontId="64" fillId="6" borderId="16" xfId="16" applyFont="1" applyFill="1" applyBorder="1" applyAlignment="1">
      <alignment horizontal="left" vertical="top"/>
    </xf>
    <xf numFmtId="0" fontId="64" fillId="6" borderId="16" xfId="16" applyFont="1" applyFill="1" applyBorder="1" applyAlignment="1">
      <alignment horizontal="center" vertical="top"/>
    </xf>
    <xf numFmtId="0" fontId="64" fillId="6" borderId="17" xfId="16" applyFont="1" applyFill="1" applyBorder="1" applyAlignment="1">
      <alignment horizontal="center" vertical="top"/>
    </xf>
    <xf numFmtId="3" fontId="64" fillId="6" borderId="17" xfId="16" applyNumberFormat="1" applyFont="1" applyFill="1" applyBorder="1" applyAlignment="1">
      <alignment horizontal="center" vertical="top"/>
    </xf>
    <xf numFmtId="0" fontId="64" fillId="6" borderId="18" xfId="16" applyFont="1" applyFill="1" applyBorder="1" applyAlignment="1">
      <alignment horizontal="center" vertical="top"/>
    </xf>
    <xf numFmtId="0" fontId="40" fillId="6" borderId="18" xfId="16" applyFont="1" applyFill="1" applyBorder="1" applyAlignment="1">
      <alignment vertical="top"/>
    </xf>
    <xf numFmtId="0" fontId="40" fillId="0" borderId="0" xfId="16" applyFont="1" applyAlignment="1">
      <alignment vertical="top"/>
    </xf>
    <xf numFmtId="0" fontId="64" fillId="6" borderId="19" xfId="16" applyFont="1" applyFill="1" applyBorder="1" applyAlignment="1">
      <alignment vertical="top"/>
    </xf>
    <xf numFmtId="0" fontId="40" fillId="6" borderId="20" xfId="16" applyFont="1" applyFill="1" applyBorder="1" applyAlignment="1">
      <alignment vertical="top"/>
    </xf>
    <xf numFmtId="0" fontId="40" fillId="6" borderId="21" xfId="16" applyFont="1" applyFill="1" applyBorder="1" applyAlignment="1">
      <alignment vertical="top"/>
    </xf>
    <xf numFmtId="0" fontId="40" fillId="6" borderId="22" xfId="16" applyFont="1" applyFill="1" applyBorder="1" applyAlignment="1">
      <alignment vertical="top"/>
    </xf>
    <xf numFmtId="0" fontId="64" fillId="6" borderId="23" xfId="16" applyFont="1" applyFill="1" applyBorder="1" applyAlignment="1">
      <alignment vertical="top"/>
    </xf>
    <xf numFmtId="0" fontId="64" fillId="6" borderId="0" xfId="16" applyFont="1" applyFill="1" applyAlignment="1">
      <alignment vertical="top"/>
    </xf>
    <xf numFmtId="0" fontId="64" fillId="6" borderId="24" xfId="16" applyFont="1" applyFill="1" applyBorder="1" applyAlignment="1">
      <alignment vertical="top"/>
    </xf>
    <xf numFmtId="3" fontId="64" fillId="6" borderId="24" xfId="16" applyNumberFormat="1" applyFont="1" applyFill="1" applyBorder="1" applyAlignment="1">
      <alignment vertical="top"/>
    </xf>
    <xf numFmtId="0" fontId="64" fillId="6" borderId="25" xfId="16" applyFont="1" applyFill="1" applyBorder="1" applyAlignment="1">
      <alignment vertical="top"/>
    </xf>
    <xf numFmtId="0" fontId="40" fillId="6" borderId="25" xfId="16" applyFont="1" applyFill="1" applyBorder="1" applyAlignment="1">
      <alignment vertical="top"/>
    </xf>
    <xf numFmtId="0" fontId="40" fillId="6" borderId="26" xfId="16" applyFont="1" applyFill="1" applyBorder="1" applyAlignment="1">
      <alignment vertical="top"/>
    </xf>
    <xf numFmtId="0" fontId="40" fillId="6" borderId="27" xfId="16" applyFont="1" applyFill="1" applyBorder="1" applyAlignment="1">
      <alignment vertical="top"/>
    </xf>
    <xf numFmtId="0" fontId="40" fillId="6" borderId="0" xfId="16" applyFont="1" applyFill="1" applyAlignment="1">
      <alignment vertical="top"/>
    </xf>
    <xf numFmtId="0" fontId="64" fillId="6" borderId="28" xfId="16" applyFont="1" applyFill="1" applyBorder="1" applyAlignment="1">
      <alignment vertical="top"/>
    </xf>
    <xf numFmtId="3" fontId="64" fillId="6" borderId="28" xfId="16" applyNumberFormat="1" applyFont="1" applyFill="1" applyBorder="1" applyAlignment="1">
      <alignment vertical="top"/>
    </xf>
    <xf numFmtId="0" fontId="64" fillId="6" borderId="27" xfId="16" applyFont="1" applyFill="1" applyBorder="1" applyAlignment="1">
      <alignment vertical="top"/>
    </xf>
    <xf numFmtId="0" fontId="64" fillId="6" borderId="20" xfId="16" applyFont="1" applyFill="1" applyBorder="1" applyAlignment="1">
      <alignment vertical="top"/>
    </xf>
    <xf numFmtId="0" fontId="64" fillId="0" borderId="28" xfId="16" applyFont="1" applyBorder="1" applyAlignment="1">
      <alignment horizontal="center" vertical="top"/>
    </xf>
    <xf numFmtId="0" fontId="40" fillId="0" borderId="28" xfId="16" applyFont="1" applyBorder="1" applyAlignment="1">
      <alignment vertical="top"/>
    </xf>
    <xf numFmtId="0" fontId="40" fillId="0" borderId="29" xfId="16" applyFont="1" applyBorder="1" applyAlignment="1">
      <alignment vertical="top"/>
    </xf>
    <xf numFmtId="0" fontId="40" fillId="6" borderId="29" xfId="16" applyFont="1" applyFill="1" applyBorder="1" applyAlignment="1">
      <alignment vertical="top"/>
    </xf>
    <xf numFmtId="0" fontId="40" fillId="0" borderId="28" xfId="16" applyFont="1" applyBorder="1" applyAlignment="1">
      <alignment horizontal="center" vertical="top"/>
    </xf>
    <xf numFmtId="0" fontId="40" fillId="0" borderId="20" xfId="16" applyFont="1" applyBorder="1" applyAlignment="1">
      <alignment vertical="top"/>
    </xf>
    <xf numFmtId="0" fontId="40" fillId="6" borderId="28" xfId="16" applyFont="1" applyFill="1" applyBorder="1" applyAlignment="1">
      <alignment vertical="top"/>
    </xf>
    <xf numFmtId="171" fontId="40" fillId="6" borderId="25" xfId="16" applyNumberFormat="1" applyFont="1" applyFill="1" applyBorder="1" applyAlignment="1">
      <alignment vertical="top"/>
    </xf>
    <xf numFmtId="0" fontId="40" fillId="0" borderId="28" xfId="16" quotePrefix="1" applyFont="1" applyBorder="1" applyAlignment="1">
      <alignment vertical="top"/>
    </xf>
    <xf numFmtId="0" fontId="40" fillId="6" borderId="30" xfId="16" applyFont="1" applyFill="1" applyBorder="1" applyAlignment="1">
      <alignment vertical="top"/>
    </xf>
    <xf numFmtId="0" fontId="40" fillId="0" borderId="31" xfId="16" applyFont="1" applyBorder="1" applyAlignment="1">
      <alignment vertical="top"/>
    </xf>
    <xf numFmtId="0" fontId="40" fillId="6" borderId="31" xfId="16" applyFont="1" applyFill="1" applyBorder="1" applyAlignment="1">
      <alignment vertical="top"/>
    </xf>
    <xf numFmtId="0" fontId="64" fillId="0" borderId="31" xfId="16" applyFont="1" applyBorder="1" applyAlignment="1">
      <alignment horizontal="center" vertical="top"/>
    </xf>
    <xf numFmtId="0" fontId="40" fillId="0" borderId="31" xfId="16" applyFont="1" applyBorder="1" applyAlignment="1">
      <alignment horizontal="center" vertical="top"/>
    </xf>
    <xf numFmtId="0" fontId="40" fillId="6" borderId="36" xfId="16" applyFont="1" applyFill="1" applyBorder="1" applyAlignment="1">
      <alignment vertical="top"/>
    </xf>
    <xf numFmtId="0" fontId="40" fillId="0" borderId="34" xfId="16" applyFont="1" applyBorder="1" applyAlignment="1">
      <alignment vertical="top"/>
    </xf>
    <xf numFmtId="0" fontId="40" fillId="6" borderId="32" xfId="16" applyFont="1" applyFill="1" applyBorder="1" applyAlignment="1">
      <alignment vertical="top"/>
    </xf>
    <xf numFmtId="171" fontId="40" fillId="6" borderId="32" xfId="16" applyNumberFormat="1" applyFont="1" applyFill="1" applyBorder="1" applyAlignment="1">
      <alignment vertical="top"/>
    </xf>
    <xf numFmtId="0" fontId="40" fillId="0" borderId="21" xfId="16" applyFont="1" applyBorder="1" applyAlignment="1">
      <alignment vertical="top"/>
    </xf>
    <xf numFmtId="3" fontId="40" fillId="0" borderId="0" xfId="16" applyNumberFormat="1" applyFont="1" applyAlignment="1">
      <alignment vertical="top"/>
    </xf>
    <xf numFmtId="0" fontId="40" fillId="0" borderId="25" xfId="16" applyFont="1" applyBorder="1" applyAlignment="1">
      <alignment vertical="top"/>
    </xf>
    <xf numFmtId="0" fontId="40" fillId="6" borderId="35" xfId="16" applyFont="1" applyFill="1" applyBorder="1" applyAlignment="1">
      <alignment vertical="top"/>
    </xf>
    <xf numFmtId="0" fontId="64" fillId="0" borderId="31" xfId="16" applyFont="1" applyBorder="1" applyAlignment="1">
      <alignment vertical="top"/>
    </xf>
    <xf numFmtId="0" fontId="64" fillId="0" borderId="28" xfId="16" applyFont="1" applyBorder="1" applyAlignment="1">
      <alignment vertical="top"/>
    </xf>
    <xf numFmtId="3" fontId="53" fillId="0" borderId="33" xfId="3" applyNumberFormat="1" applyFont="1" applyBorder="1">
      <alignment vertical="top"/>
    </xf>
    <xf numFmtId="165" fontId="53" fillId="0" borderId="28" xfId="0" applyNumberFormat="1" applyFont="1" applyBorder="1" applyAlignment="1">
      <alignment horizontal="center" vertical="top"/>
    </xf>
    <xf numFmtId="171" fontId="23" fillId="11" borderId="0" xfId="13" applyFont="1" applyFill="1" applyBorder="1" applyAlignment="1">
      <alignment horizontal="left" vertical="top"/>
    </xf>
    <xf numFmtId="171" fontId="7" fillId="11" borderId="0" xfId="13" applyFont="1" applyFill="1" applyBorder="1" applyAlignment="1">
      <alignment horizontal="left" vertical="top" wrapText="1"/>
    </xf>
    <xf numFmtId="49" fontId="23" fillId="11" borderId="0" xfId="13" applyNumberFormat="1" applyFont="1" applyFill="1" applyBorder="1" applyAlignment="1">
      <alignment horizontal="left" vertical="top" wrapText="1"/>
    </xf>
    <xf numFmtId="0" fontId="29" fillId="0" borderId="0" xfId="0" applyNumberFormat="1" applyFont="1" applyBorder="1" applyAlignment="1">
      <alignment horizontal="left" vertical="top"/>
    </xf>
  </cellXfs>
  <cellStyles count="17">
    <cellStyle name="DateLong" xfId="9" xr:uid="{6C91C9E3-E87E-4B86-8F31-18705219CD54}"/>
    <cellStyle name="DateShort" xfId="7" xr:uid="{5C5DE235-D5C3-4F57-B4A2-3D3D1335748F}"/>
    <cellStyle name="Factor" xfId="8" xr:uid="{E10B8B0E-96DC-4C9A-B7FE-2378E0A1CB7A}"/>
    <cellStyle name="Factor 2" xfId="11" xr:uid="{4BA954AD-1073-4D13-B71E-E1BD2C52326C}"/>
    <cellStyle name="Hyperlink 2" xfId="6" xr:uid="{7A4F20DB-C675-4CD5-9EC2-EE8A46CCD82D}"/>
    <cellStyle name="Normal" xfId="0" builtinId="0" customBuiltin="1"/>
    <cellStyle name="Normal 2" xfId="2" xr:uid="{D1E7A2E6-F348-4EB1-BE19-E6179F6C3A3A}"/>
    <cellStyle name="Normal 2 2" xfId="4" xr:uid="{DADCB31F-1716-4AE5-8B6B-C6A840CFA886}"/>
    <cellStyle name="Normal 3" xfId="10" xr:uid="{25CEC3DD-1CE5-4015-9E53-D2215DD55A76}"/>
    <cellStyle name="Normal 4" xfId="13" xr:uid="{F1988942-7898-4B78-8A27-9278E9D9F2EF}"/>
    <cellStyle name="Normal 5" xfId="15" xr:uid="{9B5D4884-8BFA-46FB-81AE-B6705CF17B0C}"/>
    <cellStyle name="Normal 6" xfId="16" xr:uid="{FE5A4346-856B-4B7E-8A62-2B2F429D1503}"/>
    <cellStyle name="Percent" xfId="1" builtinId="5" customBuiltin="1"/>
    <cellStyle name="Percent 2" xfId="5" xr:uid="{75065747-DA6F-4938-A4CC-08631CAD9D92}"/>
    <cellStyle name="Percent 2 2" xfId="12" xr:uid="{0DCBCF93-B651-4098-8F33-2BC302B8F987}"/>
    <cellStyle name="Percent 3" xfId="14" xr:uid="{657FF721-052D-44C0-B85C-4DF6EBDB33F2}"/>
    <cellStyle name="Year" xfId="3" xr:uid="{5934B7D5-A06A-49C4-B8B0-91A50173FABF}"/>
  </cellStyles>
  <dxfs count="191">
    <dxf>
      <fill>
        <patternFill>
          <bgColor indexed="44"/>
        </patternFill>
      </fill>
    </dxf>
    <dxf>
      <font>
        <b val="0"/>
        <i val="0"/>
        <condense val="0"/>
        <extend val="0"/>
      </font>
      <fill>
        <patternFill>
          <bgColor indexed="47"/>
        </patternFill>
      </fill>
    </dxf>
    <dxf>
      <fill>
        <patternFill>
          <bgColor rgb="FF00B0F0"/>
        </patternFill>
      </fill>
    </dxf>
    <dxf>
      <fill>
        <patternFill>
          <bgColor theme="0" tint="-0.34998626667073579"/>
        </patternFill>
      </fill>
    </dxf>
    <dxf>
      <fill>
        <patternFill>
          <bgColor rgb="FFCCFFFF"/>
        </patternFill>
      </fill>
    </dxf>
    <dxf>
      <font>
        <b val="0"/>
        <i val="0"/>
        <condense val="0"/>
        <extend val="0"/>
      </font>
      <fill>
        <patternFill>
          <bgColor indexed="47"/>
        </patternFill>
      </fill>
    </dxf>
    <dxf>
      <fill>
        <patternFill>
          <bgColor indexed="51"/>
        </patternFill>
      </fill>
    </dxf>
    <dxf>
      <fill>
        <patternFill>
          <bgColor indexed="51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44"/>
        </patternFill>
      </fill>
    </dxf>
    <dxf>
      <font>
        <b val="0"/>
        <i val="0"/>
        <condense val="0"/>
        <extend val="0"/>
      </font>
      <fill>
        <patternFill>
          <bgColor indexed="47"/>
        </patternFill>
      </fill>
    </dxf>
    <dxf>
      <fill>
        <patternFill>
          <bgColor rgb="FF00B0F0"/>
        </patternFill>
      </fill>
    </dxf>
    <dxf>
      <fill>
        <patternFill>
          <bgColor theme="0" tint="-0.34998626667073579"/>
        </patternFill>
      </fill>
    </dxf>
    <dxf>
      <fill>
        <patternFill>
          <bgColor rgb="FFCCFFFF"/>
        </patternFill>
      </fill>
    </dxf>
    <dxf>
      <font>
        <b val="0"/>
        <i val="0"/>
        <condense val="0"/>
        <extend val="0"/>
      </font>
      <fill>
        <patternFill>
          <bgColor indexed="47"/>
        </patternFill>
      </fill>
    </dxf>
    <dxf>
      <fill>
        <patternFill>
          <bgColor indexed="51"/>
        </patternFill>
      </fill>
    </dxf>
    <dxf>
      <fill>
        <patternFill>
          <bgColor indexed="51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44"/>
        </patternFill>
      </fill>
    </dxf>
    <dxf>
      <font>
        <b val="0"/>
        <i val="0"/>
        <condense val="0"/>
        <extend val="0"/>
      </font>
      <fill>
        <patternFill>
          <bgColor indexed="47"/>
        </patternFill>
      </fill>
    </dxf>
    <dxf>
      <fill>
        <patternFill>
          <bgColor rgb="FF00B0F0"/>
        </patternFill>
      </fill>
    </dxf>
    <dxf>
      <fill>
        <patternFill>
          <bgColor theme="0" tint="-0.34998626667073579"/>
        </patternFill>
      </fill>
    </dxf>
    <dxf>
      <fill>
        <patternFill>
          <bgColor rgb="FFCCFFFF"/>
        </patternFill>
      </fill>
    </dxf>
    <dxf>
      <font>
        <b val="0"/>
        <i val="0"/>
        <condense val="0"/>
        <extend val="0"/>
      </font>
      <fill>
        <patternFill>
          <bgColor indexed="47"/>
        </patternFill>
      </fill>
    </dxf>
    <dxf>
      <fill>
        <patternFill>
          <bgColor indexed="51"/>
        </patternFill>
      </fill>
    </dxf>
    <dxf>
      <fill>
        <patternFill>
          <bgColor indexed="51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44"/>
        </patternFill>
      </fill>
    </dxf>
    <dxf>
      <font>
        <b val="0"/>
        <i val="0"/>
        <condense val="0"/>
        <extend val="0"/>
      </font>
      <fill>
        <patternFill>
          <bgColor indexed="47"/>
        </patternFill>
      </fill>
    </dxf>
    <dxf>
      <fill>
        <patternFill>
          <bgColor rgb="FF00B0F0"/>
        </patternFill>
      </fill>
    </dxf>
    <dxf>
      <fill>
        <patternFill>
          <bgColor theme="0" tint="-0.34998626667073579"/>
        </patternFill>
      </fill>
    </dxf>
    <dxf>
      <fill>
        <patternFill>
          <bgColor rgb="FFCCFFFF"/>
        </patternFill>
      </fill>
    </dxf>
    <dxf>
      <font>
        <b val="0"/>
        <i val="0"/>
        <condense val="0"/>
        <extend val="0"/>
      </font>
      <fill>
        <patternFill>
          <bgColor indexed="47"/>
        </patternFill>
      </fill>
    </dxf>
    <dxf>
      <fill>
        <patternFill>
          <bgColor indexed="51"/>
        </patternFill>
      </fill>
    </dxf>
    <dxf>
      <fill>
        <patternFill>
          <bgColor indexed="51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44"/>
        </patternFill>
      </fill>
    </dxf>
    <dxf>
      <font>
        <b val="0"/>
        <i val="0"/>
        <condense val="0"/>
        <extend val="0"/>
      </font>
      <fill>
        <patternFill>
          <bgColor indexed="47"/>
        </patternFill>
      </fill>
    </dxf>
    <dxf>
      <fill>
        <patternFill>
          <bgColor rgb="FF00B0F0"/>
        </patternFill>
      </fill>
    </dxf>
    <dxf>
      <fill>
        <patternFill>
          <bgColor theme="0" tint="-0.34998626667073579"/>
        </patternFill>
      </fill>
    </dxf>
    <dxf>
      <fill>
        <patternFill>
          <bgColor rgb="FFCCFFFF"/>
        </patternFill>
      </fill>
    </dxf>
    <dxf>
      <font>
        <b val="0"/>
        <i val="0"/>
        <condense val="0"/>
        <extend val="0"/>
      </font>
      <fill>
        <patternFill>
          <bgColor indexed="47"/>
        </patternFill>
      </fill>
    </dxf>
    <dxf>
      <fill>
        <patternFill>
          <bgColor indexed="51"/>
        </patternFill>
      </fill>
    </dxf>
    <dxf>
      <fill>
        <patternFill>
          <bgColor indexed="51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44"/>
        </patternFill>
      </fill>
    </dxf>
    <dxf>
      <font>
        <b val="0"/>
        <i val="0"/>
        <condense val="0"/>
        <extend val="0"/>
      </font>
      <fill>
        <patternFill>
          <bgColor indexed="47"/>
        </patternFill>
      </fill>
    </dxf>
    <dxf>
      <fill>
        <patternFill>
          <bgColor rgb="FF00B0F0"/>
        </patternFill>
      </fill>
    </dxf>
    <dxf>
      <fill>
        <patternFill>
          <bgColor theme="0" tint="-0.34998626667073579"/>
        </patternFill>
      </fill>
    </dxf>
    <dxf>
      <fill>
        <patternFill>
          <bgColor rgb="FFCCFFFF"/>
        </patternFill>
      </fill>
    </dxf>
    <dxf>
      <font>
        <b val="0"/>
        <i val="0"/>
        <condense val="0"/>
        <extend val="0"/>
      </font>
      <fill>
        <patternFill>
          <bgColor indexed="47"/>
        </patternFill>
      </fill>
    </dxf>
    <dxf>
      <fill>
        <patternFill>
          <bgColor indexed="51"/>
        </patternFill>
      </fill>
    </dxf>
    <dxf>
      <fill>
        <patternFill>
          <bgColor indexed="51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44"/>
        </patternFill>
      </fill>
    </dxf>
    <dxf>
      <font>
        <b val="0"/>
        <i val="0"/>
        <condense val="0"/>
        <extend val="0"/>
      </font>
      <fill>
        <patternFill>
          <bgColor indexed="47"/>
        </patternFill>
      </fill>
    </dxf>
    <dxf>
      <fill>
        <patternFill>
          <bgColor rgb="FF00B0F0"/>
        </patternFill>
      </fill>
    </dxf>
    <dxf>
      <fill>
        <patternFill>
          <bgColor theme="0" tint="-0.34998626667073579"/>
        </patternFill>
      </fill>
    </dxf>
    <dxf>
      <fill>
        <patternFill>
          <bgColor rgb="FFCCFFFF"/>
        </patternFill>
      </fill>
    </dxf>
    <dxf>
      <font>
        <b val="0"/>
        <i val="0"/>
        <condense val="0"/>
        <extend val="0"/>
      </font>
      <fill>
        <patternFill>
          <bgColor indexed="47"/>
        </patternFill>
      </fill>
    </dxf>
    <dxf>
      <fill>
        <patternFill>
          <bgColor indexed="51"/>
        </patternFill>
      </fill>
    </dxf>
    <dxf>
      <fill>
        <patternFill>
          <bgColor indexed="51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44"/>
        </patternFill>
      </fill>
    </dxf>
    <dxf>
      <font>
        <b val="0"/>
        <i val="0"/>
        <condense val="0"/>
        <extend val="0"/>
      </font>
      <fill>
        <patternFill>
          <bgColor indexed="47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rgb="FFFFC000"/>
        </patternFill>
      </fill>
    </dxf>
    <dxf>
      <fill>
        <patternFill>
          <bgColor theme="0" tint="-0.34998626667073579"/>
        </patternFill>
      </fill>
    </dxf>
    <dxf>
      <fill>
        <patternFill>
          <bgColor rgb="FFCCFFFF"/>
        </patternFill>
      </fill>
    </dxf>
    <dxf>
      <font>
        <b val="0"/>
        <i val="0"/>
        <condense val="0"/>
        <extend val="0"/>
      </font>
      <fill>
        <patternFill>
          <bgColor indexed="47"/>
        </patternFill>
      </fill>
    </dxf>
    <dxf>
      <fill>
        <patternFill>
          <bgColor rgb="FF00B0F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51"/>
        </patternFill>
      </fill>
    </dxf>
    <dxf>
      <fill>
        <patternFill>
          <bgColor indexed="51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51"/>
        </patternFill>
      </fill>
    </dxf>
    <dxf>
      <fill>
        <patternFill>
          <bgColor indexed="51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44"/>
        </patternFill>
      </fill>
    </dxf>
    <dxf>
      <font>
        <b val="0"/>
        <i val="0"/>
        <condense val="0"/>
        <extend val="0"/>
      </font>
      <fill>
        <patternFill>
          <bgColor indexed="47"/>
        </patternFill>
      </fill>
    </dxf>
    <dxf>
      <fill>
        <patternFill>
          <bgColor rgb="FF00B0F0"/>
        </patternFill>
      </fill>
    </dxf>
    <dxf>
      <fill>
        <patternFill>
          <bgColor theme="0" tint="-0.34998626667073579"/>
        </patternFill>
      </fill>
    </dxf>
    <dxf>
      <fill>
        <patternFill>
          <bgColor rgb="FFCCFFFF"/>
        </patternFill>
      </fill>
    </dxf>
    <dxf>
      <font>
        <b val="0"/>
        <i val="0"/>
        <condense val="0"/>
        <extend val="0"/>
      </font>
      <fill>
        <patternFill>
          <bgColor indexed="47"/>
        </patternFill>
      </fill>
    </dxf>
    <dxf>
      <fill>
        <patternFill>
          <bgColor indexed="51"/>
        </patternFill>
      </fill>
    </dxf>
    <dxf>
      <fill>
        <patternFill>
          <bgColor indexed="51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44"/>
        </patternFill>
      </fill>
    </dxf>
    <dxf>
      <font>
        <b val="0"/>
        <i val="0"/>
        <condense val="0"/>
        <extend val="0"/>
      </font>
      <fill>
        <patternFill>
          <bgColor indexed="47"/>
        </patternFill>
      </fill>
    </dxf>
    <dxf>
      <fill>
        <patternFill>
          <bgColor rgb="FF00B0F0"/>
        </patternFill>
      </fill>
    </dxf>
    <dxf>
      <fill>
        <patternFill>
          <bgColor theme="0" tint="-0.34998626667073579"/>
        </patternFill>
      </fill>
    </dxf>
    <dxf>
      <fill>
        <patternFill>
          <bgColor rgb="FFCCFFFF"/>
        </patternFill>
      </fill>
    </dxf>
    <dxf>
      <font>
        <b val="0"/>
        <i val="0"/>
        <condense val="0"/>
        <extend val="0"/>
      </font>
      <fill>
        <patternFill>
          <bgColor indexed="47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51"/>
        </patternFill>
      </fill>
    </dxf>
    <dxf>
      <fill>
        <patternFill>
          <bgColor indexed="51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51"/>
        </patternFill>
      </fill>
    </dxf>
    <dxf>
      <fill>
        <patternFill>
          <bgColor indexed="51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51"/>
        </patternFill>
      </fill>
    </dxf>
    <dxf>
      <fill>
        <patternFill>
          <bgColor indexed="51"/>
        </patternFill>
      </fill>
    </dxf>
    <dxf>
      <fill>
        <patternFill>
          <bgColor indexed="51"/>
        </patternFill>
      </fill>
    </dxf>
    <dxf>
      <fill>
        <patternFill>
          <bgColor indexed="51"/>
        </patternFill>
      </fill>
    </dxf>
    <dxf>
      <fill>
        <patternFill>
          <bgColor indexed="51"/>
        </patternFill>
      </fill>
    </dxf>
    <dxf>
      <fill>
        <patternFill>
          <bgColor indexed="51"/>
        </patternFill>
      </fill>
    </dxf>
    <dxf>
      <fill>
        <patternFill>
          <bgColor indexed="51"/>
        </patternFill>
      </fill>
    </dxf>
    <dxf>
      <fill>
        <patternFill>
          <bgColor indexed="51"/>
        </patternFill>
      </fill>
    </dxf>
    <dxf>
      <fill>
        <patternFill>
          <bgColor indexed="51"/>
        </patternFill>
      </fill>
    </dxf>
    <dxf>
      <fill>
        <patternFill>
          <bgColor indexed="51"/>
        </patternFill>
      </fill>
    </dxf>
    <dxf>
      <fill>
        <patternFill>
          <bgColor indexed="51"/>
        </patternFill>
      </fill>
    </dxf>
    <dxf>
      <fill>
        <patternFill>
          <bgColor indexed="51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51"/>
        </patternFill>
      </fill>
    </dxf>
    <dxf>
      <fill>
        <patternFill>
          <bgColor indexed="51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</dxfs>
  <tableStyles count="0" defaultTableStyle="TableStyleMedium2" defaultPivotStyle="PivotStyleLight16"/>
  <colors>
    <mruColors>
      <color rgb="FF59595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microsoft.com/office/2017/10/relationships/person" Target="persons/perso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eetMetadata" Target="metadata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.xml"/></Relationships>
</file>

<file path=xl/charts/_rels/chart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6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strRef>
          <c:f>Charts!$E$8</c:f>
          <c:strCache>
            <c:ptCount val="1"/>
            <c:pt idx="0">
              <c:v> COPPER AND COBALT PRODUCTION 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32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Charts!$E$13</c:f>
              <c:strCache>
                <c:ptCount val="1"/>
                <c:pt idx="0">
                  <c:v> Copper production incl Sens.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Charts!$V$12:$AK$12</c:f>
              <c:numCache>
                <c:formatCode>#,##0_);\(#,##0\);"-  ";" "@" "</c:formatCode>
                <c:ptCount val="16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  <c:pt idx="9">
                  <c:v>2026</c:v>
                </c:pt>
                <c:pt idx="10">
                  <c:v>2027</c:v>
                </c:pt>
                <c:pt idx="11">
                  <c:v>2028</c:v>
                </c:pt>
                <c:pt idx="12">
                  <c:v>2029</c:v>
                </c:pt>
                <c:pt idx="13">
                  <c:v>2030</c:v>
                </c:pt>
                <c:pt idx="14">
                  <c:v>2031</c:v>
                </c:pt>
                <c:pt idx="15">
                  <c:v>2032</c:v>
                </c:pt>
              </c:numCache>
            </c:numRef>
          </c:cat>
          <c:val>
            <c:numRef>
              <c:f>Charts!$V$13:$AK$13</c:f>
              <c:numCache>
                <c:formatCode>#,##0_);\(#,##0\);"-  ";" "@</c:formatCode>
                <c:ptCount val="16"/>
                <c:pt idx="0">
                  <c:v>39.692</c:v>
                </c:pt>
                <c:pt idx="1">
                  <c:v>111.964</c:v>
                </c:pt>
                <c:pt idx="2">
                  <c:v>131.25200000000001</c:v>
                </c:pt>
                <c:pt idx="3">
                  <c:v>131.24799999999999</c:v>
                </c:pt>
                <c:pt idx="4">
                  <c:v>215.79500000000002</c:v>
                </c:pt>
                <c:pt idx="5">
                  <c:v>147.09399999999999</c:v>
                </c:pt>
                <c:pt idx="6">
                  <c:v>124.084</c:v>
                </c:pt>
                <c:pt idx="7">
                  <c:v>79.510500000000008</c:v>
                </c:pt>
                <c:pt idx="8">
                  <c:v>110.2505</c:v>
                </c:pt>
                <c:pt idx="9">
                  <c:v>110.2505</c:v>
                </c:pt>
                <c:pt idx="10">
                  <c:v>110.2505</c:v>
                </c:pt>
                <c:pt idx="11">
                  <c:v>110.2505</c:v>
                </c:pt>
                <c:pt idx="12">
                  <c:v>110.2505</c:v>
                </c:pt>
                <c:pt idx="13">
                  <c:v>90.641000000000005</c:v>
                </c:pt>
                <c:pt idx="14">
                  <c:v>90.641000000000005</c:v>
                </c:pt>
                <c:pt idx="15">
                  <c:v>37.496000000000002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E20-488F-BE18-3F469427277A}"/>
            </c:ext>
          </c:extLst>
        </c:ser>
        <c:ser>
          <c:idx val="1"/>
          <c:order val="1"/>
          <c:tx>
            <c:strRef>
              <c:f>Charts!$E$14</c:f>
              <c:strCache>
                <c:ptCount val="1"/>
                <c:pt idx="0">
                  <c:v> Cobalt production incl Sens.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Charts!$V$12:$AK$12</c:f>
              <c:numCache>
                <c:formatCode>#,##0_);\(#,##0\);"-  ";" "@" "</c:formatCode>
                <c:ptCount val="16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  <c:pt idx="9">
                  <c:v>2026</c:v>
                </c:pt>
                <c:pt idx="10">
                  <c:v>2027</c:v>
                </c:pt>
                <c:pt idx="11">
                  <c:v>2028</c:v>
                </c:pt>
                <c:pt idx="12">
                  <c:v>2029</c:v>
                </c:pt>
                <c:pt idx="13">
                  <c:v>2030</c:v>
                </c:pt>
                <c:pt idx="14">
                  <c:v>2031</c:v>
                </c:pt>
                <c:pt idx="15">
                  <c:v>2032</c:v>
                </c:pt>
              </c:numCache>
            </c:numRef>
          </c:cat>
          <c:val>
            <c:numRef>
              <c:f>Charts!$V$14:$AK$14</c:f>
              <c:numCache>
                <c:formatCode>#,##0_);\(#,##0\);"-  ";" "@</c:formatCode>
                <c:ptCount val="16"/>
                <c:pt idx="0">
                  <c:v>0</c:v>
                </c:pt>
                <c:pt idx="1">
                  <c:v>0</c:v>
                </c:pt>
                <c:pt idx="2">
                  <c:v>0.70802999999999994</c:v>
                </c:pt>
                <c:pt idx="3">
                  <c:v>1.4230799999999999</c:v>
                </c:pt>
                <c:pt idx="4">
                  <c:v>1.6069300000000002</c:v>
                </c:pt>
                <c:pt idx="5">
                  <c:v>2.5061800000000001</c:v>
                </c:pt>
                <c:pt idx="6">
                  <c:v>2.306</c:v>
                </c:pt>
                <c:pt idx="7">
                  <c:v>0.77815000000000001</c:v>
                </c:pt>
                <c:pt idx="8">
                  <c:v>1.7336771428571429</c:v>
                </c:pt>
                <c:pt idx="9">
                  <c:v>1.7336771428571429</c:v>
                </c:pt>
                <c:pt idx="10">
                  <c:v>1.7336771428571429</c:v>
                </c:pt>
                <c:pt idx="11">
                  <c:v>1.7336771428571429</c:v>
                </c:pt>
                <c:pt idx="12">
                  <c:v>1.7336771428571429</c:v>
                </c:pt>
                <c:pt idx="13">
                  <c:v>1.7336771428571429</c:v>
                </c:pt>
                <c:pt idx="14">
                  <c:v>1.4799100000000001</c:v>
                </c:pt>
                <c:pt idx="15">
                  <c:v>0.61219000000000001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E20-488F-BE18-3F469427277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overlap val="100"/>
        <c:axId val="348884288"/>
        <c:axId val="348884768"/>
      </c:barChart>
      <c:catAx>
        <c:axId val="348884288"/>
        <c:scaling>
          <c:orientation val="minMax"/>
        </c:scaling>
        <c:delete val="0"/>
        <c:axPos val="b"/>
        <c:numFmt formatCode="#,##0_);\(#,##0\);&quot;-  &quot;;&quot; &quot;@&quot; &quot;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"/>
          </a:p>
        </c:txPr>
        <c:crossAx val="348884768"/>
        <c:crosses val="autoZero"/>
        <c:auto val="1"/>
        <c:lblAlgn val="ctr"/>
        <c:lblOffset val="100"/>
        <c:noMultiLvlLbl val="0"/>
      </c:catAx>
      <c:valAx>
        <c:axId val="34888476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dash"/>
              <a:round/>
            </a:ln>
            <a:effectLst/>
          </c:spPr>
        </c:majorGridlines>
        <c:title>
          <c:tx>
            <c:strRef>
              <c:f>Charts!$E$9</c:f>
              <c:strCache>
                <c:ptCount val="1"/>
                <c:pt idx="0">
                  <c:v> KT Cu and Co </c:v>
                </c:pt>
              </c:strCache>
            </c:strRef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1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"/>
            </a:p>
          </c:txPr>
        </c:title>
        <c:numFmt formatCode="#,##0_);\(#,##0\);&quot;-  &quot;;&quot; &quot;@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"/>
          </a:p>
        </c:txPr>
        <c:crossAx val="348884288"/>
        <c:crosses val="autoZero"/>
        <c:crossBetween val="between"/>
      </c:valAx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100"/>
      </a:pPr>
      <a:endParaRPr lang="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strRef>
          <c:f>Charts!$E$48</c:f>
          <c:strCache>
            <c:ptCount val="1"/>
            <c:pt idx="0">
              <c:v> COPPER AND COBALT PRICES 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Charts!$E$54</c:f>
              <c:strCache>
                <c:ptCount val="1"/>
                <c:pt idx="0">
                  <c:v> Copper realized price: SOM_Contract 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Charts!$V$53:$AK$53</c:f>
              <c:numCache>
                <c:formatCode>#,##0_);\(#,##0\);"-  ";" "@" "</c:formatCode>
                <c:ptCount val="16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  <c:pt idx="9">
                  <c:v>2026</c:v>
                </c:pt>
                <c:pt idx="10">
                  <c:v>2027</c:v>
                </c:pt>
                <c:pt idx="11">
                  <c:v>2028</c:v>
                </c:pt>
                <c:pt idx="12">
                  <c:v>2029</c:v>
                </c:pt>
                <c:pt idx="13">
                  <c:v>2030</c:v>
                </c:pt>
                <c:pt idx="14">
                  <c:v>2031</c:v>
                </c:pt>
                <c:pt idx="15">
                  <c:v>2032</c:v>
                </c:pt>
              </c:numCache>
            </c:numRef>
          </c:cat>
          <c:val>
            <c:numRef>
              <c:f>Charts!$V$54:$AK$54</c:f>
              <c:numCache>
                <c:formatCode>#,##0_);\(#,##0\);"-  ";" "@" "</c:formatCode>
                <c:ptCount val="16"/>
                <c:pt idx="0">
                  <c:v>5828.2602399999996</c:v>
                </c:pt>
                <c:pt idx="1">
                  <c:v>6186.6788079999997</c:v>
                </c:pt>
                <c:pt idx="2">
                  <c:v>5669.1044200000006</c:v>
                </c:pt>
                <c:pt idx="3">
                  <c:v>5832.8597680000003</c:v>
                </c:pt>
                <c:pt idx="4">
                  <c:v>8963.1393639999987</c:v>
                </c:pt>
                <c:pt idx="5">
                  <c:v>8476.6013320000002</c:v>
                </c:pt>
                <c:pt idx="6">
                  <c:v>8139.798952000001</c:v>
                </c:pt>
                <c:pt idx="7">
                  <c:v>8199.5201080000006</c:v>
                </c:pt>
                <c:pt idx="8">
                  <c:v>8309.5840840000001</c:v>
                </c:pt>
                <c:pt idx="9">
                  <c:v>8324.586831999999</c:v>
                </c:pt>
                <c:pt idx="10">
                  <c:v>8316.0789999999997</c:v>
                </c:pt>
                <c:pt idx="11">
                  <c:v>8304.0025000000005</c:v>
                </c:pt>
                <c:pt idx="12">
                  <c:v>8316.8259999999991</c:v>
                </c:pt>
                <c:pt idx="13">
                  <c:v>8504.6035233292805</c:v>
                </c:pt>
                <c:pt idx="14">
                  <c:v>8681.0355937958666</c:v>
                </c:pt>
                <c:pt idx="15">
                  <c:v>8860.9963056717843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453-4515-9240-E482F645A44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2388576"/>
        <c:axId val="192399616"/>
      </c:lineChart>
      <c:lineChart>
        <c:grouping val="standard"/>
        <c:varyColors val="0"/>
        <c:ser>
          <c:idx val="1"/>
          <c:order val="1"/>
          <c:tx>
            <c:strRef>
              <c:f>Charts!$E$55</c:f>
              <c:strCache>
                <c:ptCount val="1"/>
                <c:pt idx="0">
                  <c:v> Cobalt realized price: FS 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Charts!$V$53:$AK$53</c:f>
              <c:numCache>
                <c:formatCode>#,##0_);\(#,##0\);"-  ";" "@" "</c:formatCode>
                <c:ptCount val="16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  <c:pt idx="9">
                  <c:v>2026</c:v>
                </c:pt>
                <c:pt idx="10">
                  <c:v>2027</c:v>
                </c:pt>
                <c:pt idx="11">
                  <c:v>2028</c:v>
                </c:pt>
                <c:pt idx="12">
                  <c:v>2029</c:v>
                </c:pt>
                <c:pt idx="13">
                  <c:v>2030</c:v>
                </c:pt>
                <c:pt idx="14">
                  <c:v>2031</c:v>
                </c:pt>
                <c:pt idx="15">
                  <c:v>2032</c:v>
                </c:pt>
              </c:numCache>
            </c:numRef>
          </c:cat>
          <c:val>
            <c:numRef>
              <c:f>Charts!$V$55:$AK$55</c:f>
              <c:numCache>
                <c:formatCode>#,##0_);\(#,##0\);"-  ";" "@" "</c:formatCode>
                <c:ptCount val="16"/>
                <c:pt idx="0">
                  <c:v>27778.212</c:v>
                </c:pt>
                <c:pt idx="1">
                  <c:v>27778.212</c:v>
                </c:pt>
                <c:pt idx="2">
                  <c:v>24691.743999999999</c:v>
                </c:pt>
                <c:pt idx="3">
                  <c:v>23148.51</c:v>
                </c:pt>
                <c:pt idx="4">
                  <c:v>37037.615999999995</c:v>
                </c:pt>
                <c:pt idx="5">
                  <c:v>41667.317999999992</c:v>
                </c:pt>
                <c:pt idx="6">
                  <c:v>21960.215870915901</c:v>
                </c:pt>
                <c:pt idx="7">
                  <c:v>16436.525108406309</c:v>
                </c:pt>
                <c:pt idx="8">
                  <c:v>25938.833026931141</c:v>
                </c:pt>
                <c:pt idx="9">
                  <c:v>25938.833026931141</c:v>
                </c:pt>
                <c:pt idx="10">
                  <c:v>25938.833026931141</c:v>
                </c:pt>
                <c:pt idx="11">
                  <c:v>25938.833026931141</c:v>
                </c:pt>
                <c:pt idx="12">
                  <c:v>25938.833026931141</c:v>
                </c:pt>
                <c:pt idx="13">
                  <c:v>26543.42185053225</c:v>
                </c:pt>
                <c:pt idx="14">
                  <c:v>27111.481627004272</c:v>
                </c:pt>
                <c:pt idx="15">
                  <c:v>27690.902599005734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453-4515-9240-E482F645A44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76351440"/>
        <c:axId val="1876350000"/>
      </c:lineChart>
      <c:catAx>
        <c:axId val="192388576"/>
        <c:scaling>
          <c:orientation val="minMax"/>
        </c:scaling>
        <c:delete val="0"/>
        <c:axPos val="b"/>
        <c:numFmt formatCode="#,##0_);\(#,##0\);&quot;-  &quot;;&quot; &quot;@&quot; &quot;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"/>
          </a:p>
        </c:txPr>
        <c:crossAx val="192399616"/>
        <c:crosses val="autoZero"/>
        <c:auto val="1"/>
        <c:lblAlgn val="ctr"/>
        <c:lblOffset val="100"/>
        <c:noMultiLvlLbl val="0"/>
      </c:catAx>
      <c:valAx>
        <c:axId val="1923996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strRef>
              <c:f>Charts!$E$50</c:f>
              <c:strCache>
                <c:ptCount val="1"/>
                <c:pt idx="0">
                  <c:v> USD / tonne Copper </c:v>
                </c:pt>
              </c:strCache>
            </c:strRef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"/>
            </a:p>
          </c:txPr>
        </c:title>
        <c:numFmt formatCode="#,##0_);\(#,##0\);&quot;-  &quot;;&quot; &quot;@&quot; &quot;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"/>
          </a:p>
        </c:txPr>
        <c:crossAx val="192388576"/>
        <c:crosses val="autoZero"/>
        <c:crossBetween val="between"/>
      </c:valAx>
      <c:valAx>
        <c:axId val="1876350000"/>
        <c:scaling>
          <c:orientation val="minMax"/>
        </c:scaling>
        <c:delete val="0"/>
        <c:axPos val="r"/>
        <c:title>
          <c:tx>
            <c:strRef>
              <c:f>Charts!$E$51</c:f>
              <c:strCache>
                <c:ptCount val="1"/>
                <c:pt idx="0">
                  <c:v> USD / tonne Cobalt </c:v>
                </c:pt>
              </c:strCache>
            </c:strRef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"/>
            </a:p>
          </c:txPr>
        </c:title>
        <c:numFmt formatCode="#,##0_);\(#,##0\);&quot;-  &quot;;&quot; &quot;@&quot; &quot;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"/>
          </a:p>
        </c:txPr>
        <c:crossAx val="1876351440"/>
        <c:crosses val="max"/>
        <c:crossBetween val="between"/>
      </c:valAx>
      <c:catAx>
        <c:axId val="1876351440"/>
        <c:scaling>
          <c:orientation val="minMax"/>
        </c:scaling>
        <c:delete val="1"/>
        <c:axPos val="b"/>
        <c:numFmt formatCode="#,##0_);\(#,##0\);&quot;-  &quot;;&quot; &quot;@&quot; &quot;" sourceLinked="1"/>
        <c:majorTickMark val="out"/>
        <c:minorTickMark val="none"/>
        <c:tickLblPos val="nextTo"/>
        <c:crossAx val="187635000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8316251104857237"/>
          <c:y val="0.95624968996060278"/>
          <c:w val="0.63367497790285532"/>
          <c:h val="4.375031003939720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strRef>
          <c:f>Charts!$E$87</c:f>
          <c:strCache>
            <c:ptCount val="1"/>
            <c:pt idx="0">
              <c:v> PROJECT CASHFLOWS 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32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"/>
        </a:p>
      </c:txPr>
    </c:title>
    <c:autoTitleDeleted val="0"/>
    <c:plotArea>
      <c:layout>
        <c:manualLayout>
          <c:layoutTarget val="inner"/>
          <c:xMode val="edge"/>
          <c:yMode val="edge"/>
          <c:x val="8.9133111221789824E-2"/>
          <c:y val="0.15672114822304328"/>
          <c:w val="0.89343748721178495"/>
          <c:h val="0.8091718095828454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Charts!$E$92</c:f>
              <c:strCache>
                <c:ptCount val="1"/>
                <c:pt idx="0">
                  <c:v>Copper gross revenue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Charts!$V$91:$ACK$91</c:f>
              <c:numCache>
                <c:formatCode>#,##0_);\(#,##0\);"-  ";" "@" "</c:formatCode>
                <c:ptCount val="24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  <c:pt idx="9">
                  <c:v>2026</c:v>
                </c:pt>
                <c:pt idx="10">
                  <c:v>2027</c:v>
                </c:pt>
                <c:pt idx="11">
                  <c:v>2028</c:v>
                </c:pt>
                <c:pt idx="12">
                  <c:v>2029</c:v>
                </c:pt>
                <c:pt idx="13">
                  <c:v>2030</c:v>
                </c:pt>
                <c:pt idx="14">
                  <c:v>2031</c:v>
                </c:pt>
                <c:pt idx="15">
                  <c:v>2032</c:v>
                </c:pt>
                <c:pt idx="16">
                  <c:v>2033</c:v>
                </c:pt>
                <c:pt idx="17">
                  <c:v>2034</c:v>
                </c:pt>
                <c:pt idx="18">
                  <c:v>2035</c:v>
                </c:pt>
                <c:pt idx="19">
                  <c:v>2036</c:v>
                </c:pt>
                <c:pt idx="20">
                  <c:v>2037</c:v>
                </c:pt>
                <c:pt idx="21">
                  <c:v>2038</c:v>
                </c:pt>
                <c:pt idx="22">
                  <c:v>2039</c:v>
                </c:pt>
                <c:pt idx="23">
                  <c:v>2040</c:v>
                </c:pt>
              </c:numCache>
            </c:numRef>
          </c:cat>
          <c:val>
            <c:numRef>
              <c:f>Charts!$V$92:$AK$92</c:f>
              <c:numCache>
                <c:formatCode>#,##0;\(#,##0\);"-"</c:formatCode>
                <c:ptCount val="16"/>
                <c:pt idx="0">
                  <c:v>104.68060500000001</c:v>
                </c:pt>
                <c:pt idx="1">
                  <c:v>275.12210799999997</c:v>
                </c:pt>
                <c:pt idx="2">
                  <c:v>416.84932400000002</c:v>
                </c:pt>
                <c:pt idx="3">
                  <c:v>635.77241700000002</c:v>
                </c:pt>
                <c:pt idx="4">
                  <c:v>1059.1821980000002</c:v>
                </c:pt>
                <c:pt idx="5">
                  <c:v>938.45274099999995</c:v>
                </c:pt>
                <c:pt idx="6">
                  <c:v>972.90811853117418</c:v>
                </c:pt>
                <c:pt idx="7">
                  <c:v>641.01964091281855</c:v>
                </c:pt>
                <c:pt idx="8">
                  <c:v>905.06080438998561</c:v>
                </c:pt>
                <c:pt idx="9">
                  <c:v>906.69486922833119</c:v>
                </c:pt>
                <c:pt idx="10">
                  <c:v>905.7682157164711</c:v>
                </c:pt>
                <c:pt idx="11">
                  <c:v>904.45287108625553</c:v>
                </c:pt>
                <c:pt idx="12">
                  <c:v>905.84957723998957</c:v>
                </c:pt>
                <c:pt idx="13">
                  <c:v>766.66482549710213</c:v>
                </c:pt>
                <c:pt idx="14">
                  <c:v>782.56965423430415</c:v>
                </c:pt>
                <c:pt idx="15">
                  <c:v>330.44153618325373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F92-4060-812B-63C6D3F89469}"/>
            </c:ext>
          </c:extLst>
        </c:ser>
        <c:ser>
          <c:idx val="1"/>
          <c:order val="1"/>
          <c:tx>
            <c:strRef>
              <c:f>Charts!$E$93</c:f>
              <c:strCache>
                <c:ptCount val="1"/>
                <c:pt idx="0">
                  <c:v>Cobalt gross revenue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Charts!$V$91:$ACK$91</c:f>
              <c:numCache>
                <c:formatCode>#,##0_);\(#,##0\);"-  ";" "@" "</c:formatCode>
                <c:ptCount val="24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  <c:pt idx="9">
                  <c:v>2026</c:v>
                </c:pt>
                <c:pt idx="10">
                  <c:v>2027</c:v>
                </c:pt>
                <c:pt idx="11">
                  <c:v>2028</c:v>
                </c:pt>
                <c:pt idx="12">
                  <c:v>2029</c:v>
                </c:pt>
                <c:pt idx="13">
                  <c:v>2030</c:v>
                </c:pt>
                <c:pt idx="14">
                  <c:v>2031</c:v>
                </c:pt>
                <c:pt idx="15">
                  <c:v>2032</c:v>
                </c:pt>
                <c:pt idx="16">
                  <c:v>2033</c:v>
                </c:pt>
                <c:pt idx="17">
                  <c:v>2034</c:v>
                </c:pt>
                <c:pt idx="18">
                  <c:v>2035</c:v>
                </c:pt>
                <c:pt idx="19">
                  <c:v>2036</c:v>
                </c:pt>
                <c:pt idx="20">
                  <c:v>2037</c:v>
                </c:pt>
                <c:pt idx="21">
                  <c:v>2038</c:v>
                </c:pt>
                <c:pt idx="22">
                  <c:v>2039</c:v>
                </c:pt>
                <c:pt idx="23">
                  <c:v>2040</c:v>
                </c:pt>
              </c:numCache>
            </c:numRef>
          </c:cat>
          <c:val>
            <c:numRef>
              <c:f>Charts!$V$93:$AK$93</c:f>
              <c:numCache>
                <c:formatCode>#,##0;\(#,##0\);"-"</c:formatCode>
                <c:ptCount val="16"/>
                <c:pt idx="0">
                  <c:v>0</c:v>
                </c:pt>
                <c:pt idx="1">
                  <c:v>0</c:v>
                </c:pt>
                <c:pt idx="2">
                  <c:v>17.482495504319999</c:v>
                </c:pt>
                <c:pt idx="3">
                  <c:v>32.942181610799999</c:v>
                </c:pt>
                <c:pt idx="4">
                  <c:v>59.516856278879999</c:v>
                </c:pt>
                <c:pt idx="5">
                  <c:v>104.42579902523998</c:v>
                </c:pt>
                <c:pt idx="6">
                  <c:v>50.640257798332065</c:v>
                </c:pt>
                <c:pt idx="7">
                  <c:v>12.790082013106371</c:v>
                </c:pt>
                <c:pt idx="8">
                  <c:v>44.969561931178475</c:v>
                </c:pt>
                <c:pt idx="9">
                  <c:v>44.969561931178475</c:v>
                </c:pt>
                <c:pt idx="10">
                  <c:v>44.969561931178475</c:v>
                </c:pt>
                <c:pt idx="11">
                  <c:v>44.969561931178475</c:v>
                </c:pt>
                <c:pt idx="12">
                  <c:v>44.969561931178475</c:v>
                </c:pt>
                <c:pt idx="13">
                  <c:v>46.017723755482606</c:v>
                </c:pt>
                <c:pt idx="14">
                  <c:v>40.122552774619891</c:v>
                </c:pt>
                <c:pt idx="15">
                  <c:v>16.952093662085321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F92-4060-812B-63C6D3F89469}"/>
            </c:ext>
          </c:extLst>
        </c:ser>
        <c:ser>
          <c:idx val="4"/>
          <c:order val="2"/>
          <c:tx>
            <c:strRef>
              <c:f>Charts!$E$100</c:f>
              <c:strCache>
                <c:ptCount val="1"/>
                <c:pt idx="0">
                  <c:v> Operating costs, including Sens. 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numRef>
              <c:f>Charts!$V$91:$ACK$91</c:f>
              <c:numCache>
                <c:formatCode>#,##0_);\(#,##0\);"-  ";" "@" "</c:formatCode>
                <c:ptCount val="24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  <c:pt idx="9">
                  <c:v>2026</c:v>
                </c:pt>
                <c:pt idx="10">
                  <c:v>2027</c:v>
                </c:pt>
                <c:pt idx="11">
                  <c:v>2028</c:v>
                </c:pt>
                <c:pt idx="12">
                  <c:v>2029</c:v>
                </c:pt>
                <c:pt idx="13">
                  <c:v>2030</c:v>
                </c:pt>
                <c:pt idx="14">
                  <c:v>2031</c:v>
                </c:pt>
                <c:pt idx="15">
                  <c:v>2032</c:v>
                </c:pt>
                <c:pt idx="16">
                  <c:v>2033</c:v>
                </c:pt>
                <c:pt idx="17">
                  <c:v>2034</c:v>
                </c:pt>
                <c:pt idx="18">
                  <c:v>2035</c:v>
                </c:pt>
                <c:pt idx="19">
                  <c:v>2036</c:v>
                </c:pt>
                <c:pt idx="20">
                  <c:v>2037</c:v>
                </c:pt>
                <c:pt idx="21">
                  <c:v>2038</c:v>
                </c:pt>
                <c:pt idx="22">
                  <c:v>2039</c:v>
                </c:pt>
                <c:pt idx="23">
                  <c:v>2040</c:v>
                </c:pt>
              </c:numCache>
            </c:numRef>
          </c:cat>
          <c:val>
            <c:numRef>
              <c:f>Charts!$V$100:$AK$100</c:f>
              <c:numCache>
                <c:formatCode>#,##0_);\(#,##0\);"-  ";" "@" "</c:formatCode>
                <c:ptCount val="16"/>
                <c:pt idx="0">
                  <c:v>-92.547447899999995</c:v>
                </c:pt>
                <c:pt idx="1">
                  <c:v>-111.20828203000001</c:v>
                </c:pt>
                <c:pt idx="2">
                  <c:v>-222.95433410956798</c:v>
                </c:pt>
                <c:pt idx="3">
                  <c:v>-275.07933724392001</c:v>
                </c:pt>
                <c:pt idx="4">
                  <c:v>-236.842377442112</c:v>
                </c:pt>
                <c:pt idx="5">
                  <c:v>-521.23181416247598</c:v>
                </c:pt>
                <c:pt idx="6">
                  <c:v>-458.85614080454303</c:v>
                </c:pt>
                <c:pt idx="7">
                  <c:v>-498.26409575079998</c:v>
                </c:pt>
                <c:pt idx="8">
                  <c:v>-499.39449196549901</c:v>
                </c:pt>
                <c:pt idx="9">
                  <c:v>-511.64191424046072</c:v>
                </c:pt>
                <c:pt idx="10">
                  <c:v>-522.47681812965493</c:v>
                </c:pt>
                <c:pt idx="11">
                  <c:v>-533.79306524069909</c:v>
                </c:pt>
                <c:pt idx="12">
                  <c:v>-545.3125501316897</c:v>
                </c:pt>
                <c:pt idx="13">
                  <c:v>-563.04437690960037</c:v>
                </c:pt>
                <c:pt idx="14">
                  <c:v>-520.87013281239911</c:v>
                </c:pt>
                <c:pt idx="15">
                  <c:v>-303.9560272104207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F92-4060-812B-63C6D3F89469}"/>
            </c:ext>
          </c:extLst>
        </c:ser>
        <c:ser>
          <c:idx val="3"/>
          <c:order val="3"/>
          <c:tx>
            <c:strRef>
              <c:f>Charts!$E$101</c:f>
              <c:strCache>
                <c:ptCount val="1"/>
                <c:pt idx="0">
                  <c:v> Capital costs, including Sens. 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numRef>
              <c:f>Charts!$V$91:$ACK$91</c:f>
              <c:numCache>
                <c:formatCode>#,##0_);\(#,##0\);"-  ";" "@" "</c:formatCode>
                <c:ptCount val="24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  <c:pt idx="9">
                  <c:v>2026</c:v>
                </c:pt>
                <c:pt idx="10">
                  <c:v>2027</c:v>
                </c:pt>
                <c:pt idx="11">
                  <c:v>2028</c:v>
                </c:pt>
                <c:pt idx="12">
                  <c:v>2029</c:v>
                </c:pt>
                <c:pt idx="13">
                  <c:v>2030</c:v>
                </c:pt>
                <c:pt idx="14">
                  <c:v>2031</c:v>
                </c:pt>
                <c:pt idx="15">
                  <c:v>2032</c:v>
                </c:pt>
                <c:pt idx="16">
                  <c:v>2033</c:v>
                </c:pt>
                <c:pt idx="17">
                  <c:v>2034</c:v>
                </c:pt>
                <c:pt idx="18">
                  <c:v>2035</c:v>
                </c:pt>
                <c:pt idx="19">
                  <c:v>2036</c:v>
                </c:pt>
                <c:pt idx="20">
                  <c:v>2037</c:v>
                </c:pt>
                <c:pt idx="21">
                  <c:v>2038</c:v>
                </c:pt>
                <c:pt idx="22">
                  <c:v>2039</c:v>
                </c:pt>
                <c:pt idx="23">
                  <c:v>2040</c:v>
                </c:pt>
              </c:numCache>
            </c:numRef>
          </c:cat>
          <c:val>
            <c:numRef>
              <c:f>Charts!$V$101:$AK$101</c:f>
              <c:numCache>
                <c:formatCode>#,##0_);\(#,##0\);"-  ";" "@" "</c:formatCode>
                <c:ptCount val="16"/>
                <c:pt idx="0">
                  <c:v>-245.02819335000001</c:v>
                </c:pt>
                <c:pt idx="1">
                  <c:v>-111.33372773000001</c:v>
                </c:pt>
                <c:pt idx="2">
                  <c:v>-148.28970892000001</c:v>
                </c:pt>
                <c:pt idx="3">
                  <c:v>-4.7877627</c:v>
                </c:pt>
                <c:pt idx="4">
                  <c:v>-81.812290399999995</c:v>
                </c:pt>
                <c:pt idx="5">
                  <c:v>-100.30613584</c:v>
                </c:pt>
                <c:pt idx="6">
                  <c:v>-103.88373304536523</c:v>
                </c:pt>
                <c:pt idx="7">
                  <c:v>-35.80364853652285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F92-4060-812B-63C6D3F894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overlap val="100"/>
        <c:axId val="348884288"/>
        <c:axId val="348884768"/>
      </c:barChart>
      <c:lineChart>
        <c:grouping val="standard"/>
        <c:varyColors val="0"/>
        <c:ser>
          <c:idx val="5"/>
          <c:order val="4"/>
          <c:tx>
            <c:strRef>
              <c:f>Charts!$E$98</c:f>
              <c:strCache>
                <c:ptCount val="1"/>
                <c:pt idx="0">
                  <c:v>Project cashflow before tax</c:v>
                </c:pt>
              </c:strCache>
            </c:strRef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cat>
            <c:numRef>
              <c:f>Charts!$N$91:$AC$91</c:f>
              <c:numCache>
                <c:formatCode>#,##0_);\(#,##0\);"-  ";" "@" "</c:formatCode>
                <c:ptCount val="16"/>
                <c:pt idx="0">
                  <c:v>2009</c:v>
                </c:pt>
                <c:pt idx="1">
                  <c:v>2010</c:v>
                </c:pt>
                <c:pt idx="2">
                  <c:v>2011</c:v>
                </c:pt>
                <c:pt idx="3">
                  <c:v>2012</c:v>
                </c:pt>
                <c:pt idx="4">
                  <c:v>2013</c:v>
                </c:pt>
                <c:pt idx="5">
                  <c:v>2014</c:v>
                </c:pt>
                <c:pt idx="6">
                  <c:v>2015</c:v>
                </c:pt>
                <c:pt idx="7">
                  <c:v>2016</c:v>
                </c:pt>
                <c:pt idx="8">
                  <c:v>2017</c:v>
                </c:pt>
                <c:pt idx="9">
                  <c:v>2018</c:v>
                </c:pt>
                <c:pt idx="10">
                  <c:v>2019</c:v>
                </c:pt>
                <c:pt idx="11">
                  <c:v>2020</c:v>
                </c:pt>
                <c:pt idx="12">
                  <c:v>2021</c:v>
                </c:pt>
                <c:pt idx="13">
                  <c:v>2022</c:v>
                </c:pt>
                <c:pt idx="14">
                  <c:v>2023</c:v>
                </c:pt>
                <c:pt idx="15">
                  <c:v>2024</c:v>
                </c:pt>
              </c:numCache>
            </c:numRef>
          </c:cat>
          <c:val>
            <c:numRef>
              <c:f>Charts!$V$98:$AK$98</c:f>
              <c:numCache>
                <c:formatCode>#,##0;\(#,##0\);"-"</c:formatCode>
                <c:ptCount val="16"/>
                <c:pt idx="0">
                  <c:v>-232.89503624999998</c:v>
                </c:pt>
                <c:pt idx="1">
                  <c:v>52.580098239999941</c:v>
                </c:pt>
                <c:pt idx="2">
                  <c:v>63.087776474752047</c:v>
                </c:pt>
                <c:pt idx="3">
                  <c:v>388.84749866688009</c:v>
                </c:pt>
                <c:pt idx="4">
                  <c:v>800.04438643676804</c:v>
                </c:pt>
                <c:pt idx="5">
                  <c:v>421.34059002276399</c:v>
                </c:pt>
                <c:pt idx="6">
                  <c:v>460.80850247959802</c:v>
                </c:pt>
                <c:pt idx="7">
                  <c:v>119.74197863860209</c:v>
                </c:pt>
                <c:pt idx="8">
                  <c:v>450.63587435566512</c:v>
                </c:pt>
                <c:pt idx="9">
                  <c:v>440.02251691904888</c:v>
                </c:pt>
                <c:pt idx="10">
                  <c:v>428.26095951799471</c:v>
                </c:pt>
                <c:pt idx="11">
                  <c:v>415.62936777673497</c:v>
                </c:pt>
                <c:pt idx="12">
                  <c:v>405.50658903947829</c:v>
                </c:pt>
                <c:pt idx="13">
                  <c:v>249.63817234298438</c:v>
                </c:pt>
                <c:pt idx="14">
                  <c:v>301.82207419652491</c:v>
                </c:pt>
                <c:pt idx="15">
                  <c:v>43.437602634918335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2F92-4060-812B-63C6D3F894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48884288"/>
        <c:axId val="348884768"/>
      </c:lineChart>
      <c:catAx>
        <c:axId val="348884288"/>
        <c:scaling>
          <c:orientation val="minMax"/>
        </c:scaling>
        <c:delete val="0"/>
        <c:axPos val="b"/>
        <c:numFmt formatCode="#,##0_);\(#,##0\);&quot;-  &quot;;&quot; &quot;@&quot; &quot;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"/>
          </a:p>
        </c:txPr>
        <c:crossAx val="348884768"/>
        <c:crosses val="autoZero"/>
        <c:auto val="1"/>
        <c:lblAlgn val="ctr"/>
        <c:lblOffset val="100"/>
        <c:noMultiLvlLbl val="0"/>
      </c:catAx>
      <c:valAx>
        <c:axId val="34888476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dash"/>
              <a:round/>
            </a:ln>
            <a:effectLst/>
          </c:spPr>
        </c:majorGridlines>
        <c:title>
          <c:tx>
            <c:strRef>
              <c:f>Charts!$E$88</c:f>
              <c:strCache>
                <c:ptCount val="1"/>
                <c:pt idx="0">
                  <c:v> $ mn </c:v>
                </c:pt>
              </c:strCache>
            </c:strRef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1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"/>
            </a:p>
          </c:txPr>
        </c:title>
        <c:numFmt formatCode="#,##0;\(#,##0\);&quot;-&quot;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"/>
          </a:p>
        </c:txPr>
        <c:crossAx val="348884288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2.4403532691419001E-2"/>
          <c:y val="1.8423258811196046E-2"/>
          <c:w val="0.29814345058733466"/>
          <c:h val="0.2655624555694911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100"/>
      </a:pPr>
      <a:endParaRPr lang="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320" b="0" i="0" u="none" strike="noStrike" kern="1200" baseline="0">
                <a:solidFill>
                  <a:srgbClr val="595959"/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 GOVERNMENT REVENUES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320" b="0" i="0" u="none" strike="noStrike" kern="1200" baseline="0">
              <a:solidFill>
                <a:srgbClr val="595959"/>
              </a:solidFill>
              <a:latin typeface="+mn-lt"/>
              <a:ea typeface="+mn-ea"/>
              <a:cs typeface="+mn-cs"/>
            </a:defRPr>
          </a:pPr>
          <a:endParaRPr lang=""/>
        </a:p>
      </c:txPr>
    </c:title>
    <c:autoTitleDeleted val="0"/>
    <c:plotArea>
      <c:layout/>
      <c:barChart>
        <c:barDir val="col"/>
        <c:grouping val="stacked"/>
        <c:varyColors val="0"/>
        <c:ser>
          <c:idx val="5"/>
          <c:order val="0"/>
          <c:tx>
            <c:strRef>
              <c:f>Charts!$E$142</c:f>
              <c:strCache>
                <c:ptCount val="1"/>
                <c:pt idx="0">
                  <c:v> Total royalty 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numRef>
              <c:f>Charts!$V$137:$AK$137</c:f>
              <c:numCache>
                <c:formatCode>#,##0_);\(#,##0\);"-  ";" "@" "</c:formatCode>
                <c:ptCount val="16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  <c:pt idx="9">
                  <c:v>2026</c:v>
                </c:pt>
                <c:pt idx="10">
                  <c:v>2027</c:v>
                </c:pt>
                <c:pt idx="11">
                  <c:v>2028</c:v>
                </c:pt>
                <c:pt idx="12">
                  <c:v>2029</c:v>
                </c:pt>
                <c:pt idx="13">
                  <c:v>2030</c:v>
                </c:pt>
                <c:pt idx="14">
                  <c:v>2031</c:v>
                </c:pt>
                <c:pt idx="15">
                  <c:v>2032</c:v>
                </c:pt>
              </c:numCache>
            </c:numRef>
          </c:cat>
          <c:val>
            <c:numRef>
              <c:f>Charts!$V$142:$AK$142</c:f>
              <c:numCache>
                <c:formatCode>#,##0_);\(#,##0\);"-  ";" "@" "</c:formatCode>
                <c:ptCount val="16"/>
                <c:pt idx="0">
                  <c:v>2.0936121000000005</c:v>
                </c:pt>
                <c:pt idx="1">
                  <c:v>7.5658579699999997</c:v>
                </c:pt>
                <c:pt idx="2">
                  <c:v>16.337975890432002</c:v>
                </c:pt>
                <c:pt idx="3">
                  <c:v>25.546252756080001</c:v>
                </c:pt>
                <c:pt idx="4">
                  <c:v>43.023062557888011</c:v>
                </c:pt>
                <c:pt idx="5">
                  <c:v>43.288425837524002</c:v>
                </c:pt>
                <c:pt idx="6">
                  <c:v>39.115809928424305</c:v>
                </c:pt>
                <c:pt idx="7">
                  <c:v>23.714695633259289</c:v>
                </c:pt>
                <c:pt idx="8">
                  <c:v>36.174084346767344</c:v>
                </c:pt>
                <c:pt idx="9">
                  <c:v>36.23127661610944</c:v>
                </c:pt>
                <c:pt idx="10">
                  <c:v>36.198843743194338</c:v>
                </c:pt>
                <c:pt idx="11">
                  <c:v>36.152806681136795</c:v>
                </c:pt>
                <c:pt idx="12">
                  <c:v>36.201691396517489</c:v>
                </c:pt>
                <c:pt idx="13">
                  <c:v>31.43504126794684</c:v>
                </c:pt>
                <c:pt idx="14">
                  <c:v>31.402193175662639</c:v>
                </c:pt>
                <c:pt idx="15">
                  <c:v>13.260663132622414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D87-4CC0-84CA-8C1989FC8496}"/>
            </c:ext>
          </c:extLst>
        </c:ser>
        <c:ser>
          <c:idx val="6"/>
          <c:order val="1"/>
          <c:tx>
            <c:strRef>
              <c:f>Charts!$E$143</c:f>
              <c:strCache>
                <c:ptCount val="1"/>
                <c:pt idx="0">
                  <c:v> CIT payable 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numRef>
              <c:f>Charts!$V$137:$AK$137</c:f>
              <c:numCache>
                <c:formatCode>#,##0_);\(#,##0\);"-  ";" "@" "</c:formatCode>
                <c:ptCount val="16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  <c:pt idx="9">
                  <c:v>2026</c:v>
                </c:pt>
                <c:pt idx="10">
                  <c:v>2027</c:v>
                </c:pt>
                <c:pt idx="11">
                  <c:v>2028</c:v>
                </c:pt>
                <c:pt idx="12">
                  <c:v>2029</c:v>
                </c:pt>
                <c:pt idx="13">
                  <c:v>2030</c:v>
                </c:pt>
                <c:pt idx="14">
                  <c:v>2031</c:v>
                </c:pt>
                <c:pt idx="15">
                  <c:v>2032</c:v>
                </c:pt>
              </c:numCache>
            </c:numRef>
          </c:cat>
          <c:val>
            <c:numRef>
              <c:f>Charts!$V$143:$AK$143</c:f>
              <c:numCache>
                <c:formatCode>#,##0_);\(#,##0\);"-  ";" "@" "</c:formatCode>
                <c:ptCount val="16"/>
                <c:pt idx="0">
                  <c:v>1.0468060500000003</c:v>
                </c:pt>
                <c:pt idx="1">
                  <c:v>2.7512210799999997</c:v>
                </c:pt>
                <c:pt idx="2">
                  <c:v>33.206817816867449</c:v>
                </c:pt>
                <c:pt idx="3">
                  <c:v>91.036694725097149</c:v>
                </c:pt>
                <c:pt idx="4">
                  <c:v>229.8752354083783</c:v>
                </c:pt>
                <c:pt idx="5">
                  <c:v>119.32897273914344</c:v>
                </c:pt>
                <c:pt idx="6">
                  <c:v>129.2104604228746</c:v>
                </c:pt>
                <c:pt idx="7">
                  <c:v>13.921063440907346</c:v>
                </c:pt>
                <c:pt idx="8">
                  <c:v>103.64997645515984</c:v>
                </c:pt>
                <c:pt idx="9">
                  <c:v>106.97229478280092</c:v>
                </c:pt>
                <c:pt idx="10">
                  <c:v>103.82695725435919</c:v>
                </c:pt>
                <c:pt idx="11">
                  <c:v>103.5575318677414</c:v>
                </c:pt>
                <c:pt idx="12">
                  <c:v>104.80486722509302</c:v>
                </c:pt>
                <c:pt idx="13">
                  <c:v>63.926497242374566</c:v>
                </c:pt>
                <c:pt idx="14">
                  <c:v>81.125964306258666</c:v>
                </c:pt>
                <c:pt idx="15">
                  <c:v>9.0530818506887716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D87-4CC0-84CA-8C1989FC8496}"/>
            </c:ext>
          </c:extLst>
        </c:ser>
        <c:ser>
          <c:idx val="7"/>
          <c:order val="2"/>
          <c:tx>
            <c:strRef>
              <c:f>Charts!$E$144</c:f>
              <c:strCache>
                <c:ptCount val="1"/>
                <c:pt idx="0">
                  <c:v> Special Tax On Excess Profits 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numRef>
              <c:f>Charts!$V$137:$AK$137</c:f>
              <c:numCache>
                <c:formatCode>#,##0_);\(#,##0\);"-  ";" "@" "</c:formatCode>
                <c:ptCount val="16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  <c:pt idx="9">
                  <c:v>2026</c:v>
                </c:pt>
                <c:pt idx="10">
                  <c:v>2027</c:v>
                </c:pt>
                <c:pt idx="11">
                  <c:v>2028</c:v>
                </c:pt>
                <c:pt idx="12">
                  <c:v>2029</c:v>
                </c:pt>
                <c:pt idx="13">
                  <c:v>2030</c:v>
                </c:pt>
                <c:pt idx="14">
                  <c:v>2031</c:v>
                </c:pt>
                <c:pt idx="15">
                  <c:v>2032</c:v>
                </c:pt>
              </c:numCache>
            </c:numRef>
          </c:cat>
          <c:val>
            <c:numRef>
              <c:f>Charts!$V$144:$AK$144</c:f>
              <c:numCache>
                <c:formatCode>#,##0_);\(#,##0\);"-  ";" "@" "</c:formatCode>
                <c:ptCount val="1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D87-4CC0-84CA-8C1989FC8496}"/>
            </c:ext>
          </c:extLst>
        </c:ser>
        <c:ser>
          <c:idx val="0"/>
          <c:order val="3"/>
          <c:tx>
            <c:strRef>
              <c:f>Charts!$E$145</c:f>
              <c:strCache>
                <c:ptCount val="1"/>
                <c:pt idx="0">
                  <c:v> Signature Bonus (EITI)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Charts!$V$137:$AK$137</c:f>
              <c:numCache>
                <c:formatCode>#,##0_);\(#,##0\);"-  ";" "@" "</c:formatCode>
                <c:ptCount val="16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  <c:pt idx="9">
                  <c:v>2026</c:v>
                </c:pt>
                <c:pt idx="10">
                  <c:v>2027</c:v>
                </c:pt>
                <c:pt idx="11">
                  <c:v>2028</c:v>
                </c:pt>
                <c:pt idx="12">
                  <c:v>2029</c:v>
                </c:pt>
                <c:pt idx="13">
                  <c:v>2030</c:v>
                </c:pt>
                <c:pt idx="14">
                  <c:v>2031</c:v>
                </c:pt>
                <c:pt idx="15">
                  <c:v>2032</c:v>
                </c:pt>
              </c:numCache>
            </c:numRef>
          </c:cat>
          <c:val>
            <c:numRef>
              <c:f>Charts!$V$145:$AK$145</c:f>
              <c:numCache>
                <c:formatCode>#,##0_);\(#,##0\);"-  ";" "@" "</c:formatCode>
                <c:ptCount val="16"/>
                <c:pt idx="0">
                  <c:v>2.7</c:v>
                </c:pt>
                <c:pt idx="1">
                  <c:v>8.1</c:v>
                </c:pt>
                <c:pt idx="2">
                  <c:v>5.4</c:v>
                </c:pt>
                <c:pt idx="3">
                  <c:v>0</c:v>
                </c:pt>
                <c:pt idx="4">
                  <c:v>0</c:v>
                </c:pt>
                <c:pt idx="5">
                  <c:v>26.479182000000002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CD87-4CC0-84CA-8C1989FC8496}"/>
            </c:ext>
          </c:extLst>
        </c:ser>
        <c:ser>
          <c:idx val="2"/>
          <c:order val="4"/>
          <c:tx>
            <c:strRef>
              <c:f>Charts!$E$146</c:f>
              <c:strCache>
                <c:ptCount val="1"/>
                <c:pt idx="0">
                  <c:v> Payroll taxes (included in costs)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numRef>
              <c:f>Charts!$V$137:$AK$137</c:f>
              <c:numCache>
                <c:formatCode>#,##0_);\(#,##0\);"-  ";" "@" "</c:formatCode>
                <c:ptCount val="16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  <c:pt idx="9">
                  <c:v>2026</c:v>
                </c:pt>
                <c:pt idx="10">
                  <c:v>2027</c:v>
                </c:pt>
                <c:pt idx="11">
                  <c:v>2028</c:v>
                </c:pt>
                <c:pt idx="12">
                  <c:v>2029</c:v>
                </c:pt>
                <c:pt idx="13">
                  <c:v>2030</c:v>
                </c:pt>
                <c:pt idx="14">
                  <c:v>2031</c:v>
                </c:pt>
                <c:pt idx="15">
                  <c:v>2032</c:v>
                </c:pt>
              </c:numCache>
            </c:numRef>
          </c:cat>
          <c:val>
            <c:numRef>
              <c:f>Charts!$V$146:$AK$146</c:f>
              <c:numCache>
                <c:formatCode>#,##0_);\(#,##0\);"-  ";" "@" "</c:formatCode>
                <c:ptCount val="16"/>
                <c:pt idx="0">
                  <c:v>3.7018979160000001</c:v>
                </c:pt>
                <c:pt idx="1">
                  <c:v>4.4483312812000007</c:v>
                </c:pt>
                <c:pt idx="2">
                  <c:v>8.918173364382719</c:v>
                </c:pt>
                <c:pt idx="3">
                  <c:v>11.003173489756801</c:v>
                </c:pt>
                <c:pt idx="4">
                  <c:v>9.4736950976844803</c:v>
                </c:pt>
                <c:pt idx="5">
                  <c:v>20.849272566499039</c:v>
                </c:pt>
                <c:pt idx="6">
                  <c:v>18.354245632181723</c:v>
                </c:pt>
                <c:pt idx="7">
                  <c:v>19.930563830032</c:v>
                </c:pt>
                <c:pt idx="8">
                  <c:v>19.975779678619961</c:v>
                </c:pt>
                <c:pt idx="9">
                  <c:v>20.465676569618431</c:v>
                </c:pt>
                <c:pt idx="10">
                  <c:v>20.899072725186198</c:v>
                </c:pt>
                <c:pt idx="11">
                  <c:v>21.351722609627963</c:v>
                </c:pt>
                <c:pt idx="12">
                  <c:v>21.812502005267589</c:v>
                </c:pt>
                <c:pt idx="13">
                  <c:v>22.521775076384014</c:v>
                </c:pt>
                <c:pt idx="14">
                  <c:v>20.834805312495966</c:v>
                </c:pt>
                <c:pt idx="15">
                  <c:v>12.158241088416828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CD87-4CC0-84CA-8C1989FC8496}"/>
            </c:ext>
          </c:extLst>
        </c:ser>
        <c:ser>
          <c:idx val="3"/>
          <c:order val="5"/>
          <c:tx>
            <c:strRef>
              <c:f>Charts!$E$147</c:f>
              <c:strCache>
                <c:ptCount val="1"/>
                <c:pt idx="0">
                  <c:v> Import duties (included in costs) 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numRef>
              <c:f>Charts!$V$137:$AK$137</c:f>
              <c:numCache>
                <c:formatCode>#,##0_);\(#,##0\);"-  ";" "@" "</c:formatCode>
                <c:ptCount val="16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  <c:pt idx="9">
                  <c:v>2026</c:v>
                </c:pt>
                <c:pt idx="10">
                  <c:v>2027</c:v>
                </c:pt>
                <c:pt idx="11">
                  <c:v>2028</c:v>
                </c:pt>
                <c:pt idx="12">
                  <c:v>2029</c:v>
                </c:pt>
                <c:pt idx="13">
                  <c:v>2030</c:v>
                </c:pt>
                <c:pt idx="14">
                  <c:v>2031</c:v>
                </c:pt>
                <c:pt idx="15">
                  <c:v>2032</c:v>
                </c:pt>
              </c:numCache>
            </c:numRef>
          </c:cat>
          <c:val>
            <c:numRef>
              <c:f>Charts!$V$147:$AK$147</c:f>
              <c:numCache>
                <c:formatCode>#,##0_);\(#,##0\);"-  ";" "@" "</c:formatCode>
                <c:ptCount val="16"/>
                <c:pt idx="0">
                  <c:v>4.9504272399999998</c:v>
                </c:pt>
                <c:pt idx="1">
                  <c:v>18.157969999999999</c:v>
                </c:pt>
                <c:pt idx="2">
                  <c:v>40.621609999999997</c:v>
                </c:pt>
                <c:pt idx="3">
                  <c:v>3.393662</c:v>
                </c:pt>
                <c:pt idx="4">
                  <c:v>15.932733392105598</c:v>
                </c:pt>
                <c:pt idx="5">
                  <c:v>40.119290999999997</c:v>
                </c:pt>
                <c:pt idx="6">
                  <c:v>28.136993692495412</c:v>
                </c:pt>
                <c:pt idx="7">
                  <c:v>26.703387214366145</c:v>
                </c:pt>
                <c:pt idx="8">
                  <c:v>24.969724598274951</c:v>
                </c:pt>
                <c:pt idx="9">
                  <c:v>25.582095712023037</c:v>
                </c:pt>
                <c:pt idx="10">
                  <c:v>26.123840906482748</c:v>
                </c:pt>
                <c:pt idx="11">
                  <c:v>26.689653262034955</c:v>
                </c:pt>
                <c:pt idx="12">
                  <c:v>27.265627506584487</c:v>
                </c:pt>
                <c:pt idx="13">
                  <c:v>28.152218845480022</c:v>
                </c:pt>
                <c:pt idx="14">
                  <c:v>26.043506640619956</c:v>
                </c:pt>
                <c:pt idx="15">
                  <c:v>15.197801360521035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CD87-4CC0-84CA-8C1989FC8496}"/>
            </c:ext>
          </c:extLst>
        </c:ser>
        <c:ser>
          <c:idx val="4"/>
          <c:order val="6"/>
          <c:tx>
            <c:strRef>
              <c:f>Charts!$E$148</c:f>
              <c:strCache>
                <c:ptCount val="1"/>
                <c:pt idx="0">
                  <c:v> Interest withholding tax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numRef>
              <c:f>Charts!$V$137:$AK$137</c:f>
              <c:numCache>
                <c:formatCode>#,##0_);\(#,##0\);"-  ";" "@" "</c:formatCode>
                <c:ptCount val="16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  <c:pt idx="9">
                  <c:v>2026</c:v>
                </c:pt>
                <c:pt idx="10">
                  <c:v>2027</c:v>
                </c:pt>
                <c:pt idx="11">
                  <c:v>2028</c:v>
                </c:pt>
                <c:pt idx="12">
                  <c:v>2029</c:v>
                </c:pt>
                <c:pt idx="13">
                  <c:v>2030</c:v>
                </c:pt>
                <c:pt idx="14">
                  <c:v>2031</c:v>
                </c:pt>
                <c:pt idx="15">
                  <c:v>2032</c:v>
                </c:pt>
              </c:numCache>
            </c:numRef>
          </c:cat>
          <c:val>
            <c:numRef>
              <c:f>Charts!$V$148:$AK$148</c:f>
              <c:numCache>
                <c:formatCode>#,##0_);\(#,##0\);"-  ";" "@</c:formatCode>
                <c:ptCount val="1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CD87-4CC0-84CA-8C1989FC8496}"/>
            </c:ext>
          </c:extLst>
        </c:ser>
        <c:ser>
          <c:idx val="8"/>
          <c:order val="7"/>
          <c:tx>
            <c:strRef>
              <c:f>Charts!$E$149</c:f>
              <c:strCache>
                <c:ptCount val="1"/>
                <c:pt idx="0">
                  <c:v> Dividend withholding tax 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numRef>
              <c:f>Charts!$V$137:$AK$137</c:f>
              <c:numCache>
                <c:formatCode>#,##0_);\(#,##0\);"-  ";" "@" "</c:formatCode>
                <c:ptCount val="16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  <c:pt idx="9">
                  <c:v>2026</c:v>
                </c:pt>
                <c:pt idx="10">
                  <c:v>2027</c:v>
                </c:pt>
                <c:pt idx="11">
                  <c:v>2028</c:v>
                </c:pt>
                <c:pt idx="12">
                  <c:v>2029</c:v>
                </c:pt>
                <c:pt idx="13">
                  <c:v>2030</c:v>
                </c:pt>
                <c:pt idx="14">
                  <c:v>2031</c:v>
                </c:pt>
                <c:pt idx="15">
                  <c:v>2032</c:v>
                </c:pt>
              </c:numCache>
            </c:numRef>
          </c:cat>
          <c:val>
            <c:numRef>
              <c:f>Charts!$V$149:$AK$149</c:f>
              <c:numCache>
                <c:formatCode>#,##0_);\(#,##0\);"-  ";" "@" "</c:formatCode>
                <c:ptCount val="16"/>
                <c:pt idx="0">
                  <c:v>0</c:v>
                </c:pt>
                <c:pt idx="1">
                  <c:v>28.712273925940117</c:v>
                </c:pt>
                <c:pt idx="2">
                  <c:v>0</c:v>
                </c:pt>
                <c:pt idx="3">
                  <c:v>12.859494376943317</c:v>
                </c:pt>
                <c:pt idx="4">
                  <c:v>24.888187534151896</c:v>
                </c:pt>
                <c:pt idx="5">
                  <c:v>17.1209560194735</c:v>
                </c:pt>
                <c:pt idx="6">
                  <c:v>19.59615266395036</c:v>
                </c:pt>
                <c:pt idx="7">
                  <c:v>4.2520002565090707</c:v>
                </c:pt>
                <c:pt idx="8">
                  <c:v>19.553301604469887</c:v>
                </c:pt>
                <c:pt idx="9">
                  <c:v>18.653017899186221</c:v>
                </c:pt>
                <c:pt idx="10">
                  <c:v>19.12065732756238</c:v>
                </c:pt>
                <c:pt idx="11">
                  <c:v>18.2957410492299</c:v>
                </c:pt>
                <c:pt idx="12">
                  <c:v>17.530387391023734</c:v>
                </c:pt>
                <c:pt idx="13">
                  <c:v>10.173185274388651</c:v>
                </c:pt>
                <c:pt idx="14">
                  <c:v>12.51733128626965</c:v>
                </c:pt>
                <c:pt idx="15">
                  <c:v>1.3454723430587663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CD87-4CC0-84CA-8C1989FC849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overlap val="100"/>
        <c:axId val="348884288"/>
        <c:axId val="348884768"/>
      </c:barChart>
      <c:catAx>
        <c:axId val="348884288"/>
        <c:scaling>
          <c:orientation val="minMax"/>
        </c:scaling>
        <c:delete val="0"/>
        <c:axPos val="b"/>
        <c:numFmt formatCode="#,##0_);\(#,##0\);&quot;-  &quot;;&quot; &quot;@&quot; &quot;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"/>
          </a:p>
        </c:txPr>
        <c:crossAx val="348884768"/>
        <c:crosses val="autoZero"/>
        <c:auto val="1"/>
        <c:lblAlgn val="ctr"/>
        <c:lblOffset val="100"/>
        <c:noMultiLvlLbl val="0"/>
      </c:catAx>
      <c:valAx>
        <c:axId val="34888476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dash"/>
              <a:round/>
            </a:ln>
            <a:effectLst/>
          </c:spPr>
        </c:majorGridlines>
        <c:title>
          <c:tx>
            <c:strRef>
              <c:f>Charts!$V$137:$AK$137</c:f>
              <c:strCache>
                <c:ptCount val="16"/>
                <c:pt idx="0">
                  <c:v>2,017 </c:v>
                </c:pt>
                <c:pt idx="1">
                  <c:v>2,018 </c:v>
                </c:pt>
                <c:pt idx="2">
                  <c:v>2,019 </c:v>
                </c:pt>
                <c:pt idx="3">
                  <c:v>2,020 </c:v>
                </c:pt>
                <c:pt idx="4">
                  <c:v>2,021 </c:v>
                </c:pt>
                <c:pt idx="5">
                  <c:v>2,022 </c:v>
                </c:pt>
                <c:pt idx="6">
                  <c:v>2,023 </c:v>
                </c:pt>
                <c:pt idx="7">
                  <c:v>2,024 </c:v>
                </c:pt>
                <c:pt idx="8">
                  <c:v>2,025 </c:v>
                </c:pt>
                <c:pt idx="9">
                  <c:v>2,026 </c:v>
                </c:pt>
                <c:pt idx="10">
                  <c:v>2,027 </c:v>
                </c:pt>
                <c:pt idx="11">
                  <c:v>2,028 </c:v>
                </c:pt>
                <c:pt idx="12">
                  <c:v>2,029 </c:v>
                </c:pt>
                <c:pt idx="13">
                  <c:v>2,030 </c:v>
                </c:pt>
                <c:pt idx="14">
                  <c:v>2,031 </c:v>
                </c:pt>
                <c:pt idx="15">
                  <c:v>2,032 </c:v>
                </c:pt>
              </c:strCache>
            </c:strRef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1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"/>
            </a:p>
          </c:txPr>
        </c:title>
        <c:numFmt formatCode="#,##0_);\(#,##0\);&quot;-  &quot;;&quot; &quot;@&quot; &quot;" sourceLinked="1"/>
        <c:majorTickMark val="none"/>
        <c:minorTickMark val="none"/>
        <c:tickLblPos val="nextTo"/>
        <c:spPr>
          <a:noFill/>
          <a:ln w="12700" cap="flat" cmpd="sng" algn="ctr">
            <a:noFill/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"/>
          </a:p>
        </c:txPr>
        <c:crossAx val="348884288"/>
        <c:crosses val="autoZero"/>
        <c:crossBetween val="between"/>
      </c:valAx>
      <c:spPr>
        <a:solidFill>
          <a:schemeClr val="bg1"/>
        </a:solidFill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noFill/>
      <a:prstDash val="solid"/>
      <a:round/>
    </a:ln>
    <a:effectLst/>
  </c:spPr>
  <c:txPr>
    <a:bodyPr/>
    <a:lstStyle/>
    <a:p>
      <a:pPr>
        <a:defRPr sz="1100"/>
      </a:pPr>
      <a:endParaRPr lang="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strRef>
          <c:f>Charts!$E$8</c:f>
          <c:strCache>
            <c:ptCount val="1"/>
            <c:pt idx="0">
              <c:v> COPPER AND COBALT PRODUCTION 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32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Charts!$E$13</c:f>
              <c:strCache>
                <c:ptCount val="1"/>
                <c:pt idx="0">
                  <c:v> Copper production incl Sens.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Charts!$V$12:$AK$12</c:f>
              <c:numCache>
                <c:formatCode>#,##0_);\(#,##0\);"-  ";" "@" "</c:formatCode>
                <c:ptCount val="16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  <c:pt idx="9">
                  <c:v>2026</c:v>
                </c:pt>
                <c:pt idx="10">
                  <c:v>2027</c:v>
                </c:pt>
                <c:pt idx="11">
                  <c:v>2028</c:v>
                </c:pt>
                <c:pt idx="12">
                  <c:v>2029</c:v>
                </c:pt>
                <c:pt idx="13">
                  <c:v>2030</c:v>
                </c:pt>
                <c:pt idx="14">
                  <c:v>2031</c:v>
                </c:pt>
                <c:pt idx="15">
                  <c:v>2032</c:v>
                </c:pt>
              </c:numCache>
            </c:numRef>
          </c:cat>
          <c:val>
            <c:numRef>
              <c:f>Charts!$V$13:$AK$13</c:f>
              <c:numCache>
                <c:formatCode>#,##0_);\(#,##0\);"-  ";" "@</c:formatCode>
                <c:ptCount val="16"/>
                <c:pt idx="0">
                  <c:v>39.692</c:v>
                </c:pt>
                <c:pt idx="1">
                  <c:v>111.964</c:v>
                </c:pt>
                <c:pt idx="2">
                  <c:v>131.25200000000001</c:v>
                </c:pt>
                <c:pt idx="3">
                  <c:v>131.24799999999999</c:v>
                </c:pt>
                <c:pt idx="4">
                  <c:v>215.79500000000002</c:v>
                </c:pt>
                <c:pt idx="5">
                  <c:v>147.09399999999999</c:v>
                </c:pt>
                <c:pt idx="6">
                  <c:v>124.084</c:v>
                </c:pt>
                <c:pt idx="7">
                  <c:v>79.510500000000008</c:v>
                </c:pt>
                <c:pt idx="8">
                  <c:v>110.2505</c:v>
                </c:pt>
                <c:pt idx="9">
                  <c:v>110.2505</c:v>
                </c:pt>
                <c:pt idx="10">
                  <c:v>110.2505</c:v>
                </c:pt>
                <c:pt idx="11">
                  <c:v>110.2505</c:v>
                </c:pt>
                <c:pt idx="12">
                  <c:v>110.2505</c:v>
                </c:pt>
                <c:pt idx="13">
                  <c:v>90.641000000000005</c:v>
                </c:pt>
                <c:pt idx="14">
                  <c:v>90.641000000000005</c:v>
                </c:pt>
                <c:pt idx="15">
                  <c:v>37.496000000000002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3ADE-46B5-B97C-8DF3344CDC9D}"/>
            </c:ext>
          </c:extLst>
        </c:ser>
        <c:ser>
          <c:idx val="1"/>
          <c:order val="1"/>
          <c:tx>
            <c:strRef>
              <c:f>Charts!$E$14</c:f>
              <c:strCache>
                <c:ptCount val="1"/>
                <c:pt idx="0">
                  <c:v> Cobalt production incl Sens.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Charts!$V$12:$AK$12</c:f>
              <c:numCache>
                <c:formatCode>#,##0_);\(#,##0\);"-  ";" "@" "</c:formatCode>
                <c:ptCount val="16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  <c:pt idx="9">
                  <c:v>2026</c:v>
                </c:pt>
                <c:pt idx="10">
                  <c:v>2027</c:v>
                </c:pt>
                <c:pt idx="11">
                  <c:v>2028</c:v>
                </c:pt>
                <c:pt idx="12">
                  <c:v>2029</c:v>
                </c:pt>
                <c:pt idx="13">
                  <c:v>2030</c:v>
                </c:pt>
                <c:pt idx="14">
                  <c:v>2031</c:v>
                </c:pt>
                <c:pt idx="15">
                  <c:v>2032</c:v>
                </c:pt>
              </c:numCache>
            </c:numRef>
          </c:cat>
          <c:val>
            <c:numRef>
              <c:f>Charts!$V$14:$AK$14</c:f>
              <c:numCache>
                <c:formatCode>#,##0_);\(#,##0\);"-  ";" "@</c:formatCode>
                <c:ptCount val="16"/>
                <c:pt idx="0">
                  <c:v>0</c:v>
                </c:pt>
                <c:pt idx="1">
                  <c:v>0</c:v>
                </c:pt>
                <c:pt idx="2">
                  <c:v>0.70802999999999994</c:v>
                </c:pt>
                <c:pt idx="3">
                  <c:v>1.4230799999999999</c:v>
                </c:pt>
                <c:pt idx="4">
                  <c:v>1.6069300000000002</c:v>
                </c:pt>
                <c:pt idx="5">
                  <c:v>2.5061800000000001</c:v>
                </c:pt>
                <c:pt idx="6">
                  <c:v>2.306</c:v>
                </c:pt>
                <c:pt idx="7">
                  <c:v>0.77815000000000001</c:v>
                </c:pt>
                <c:pt idx="8">
                  <c:v>1.7336771428571429</c:v>
                </c:pt>
                <c:pt idx="9">
                  <c:v>1.7336771428571429</c:v>
                </c:pt>
                <c:pt idx="10">
                  <c:v>1.7336771428571429</c:v>
                </c:pt>
                <c:pt idx="11">
                  <c:v>1.7336771428571429</c:v>
                </c:pt>
                <c:pt idx="12">
                  <c:v>1.7336771428571429</c:v>
                </c:pt>
                <c:pt idx="13">
                  <c:v>1.7336771428571429</c:v>
                </c:pt>
                <c:pt idx="14">
                  <c:v>1.4799100000000001</c:v>
                </c:pt>
                <c:pt idx="15">
                  <c:v>0.61219000000000001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3ADE-46B5-B97C-8DF3344CDC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overlap val="100"/>
        <c:axId val="348884288"/>
        <c:axId val="348884768"/>
      </c:barChart>
      <c:catAx>
        <c:axId val="348884288"/>
        <c:scaling>
          <c:orientation val="minMax"/>
        </c:scaling>
        <c:delete val="0"/>
        <c:axPos val="b"/>
        <c:numFmt formatCode="#,##0_);\(#,##0\);&quot;-  &quot;;&quot; &quot;@&quot; &quot;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"/>
          </a:p>
        </c:txPr>
        <c:crossAx val="348884768"/>
        <c:crosses val="autoZero"/>
        <c:auto val="1"/>
        <c:lblAlgn val="ctr"/>
        <c:lblOffset val="100"/>
        <c:noMultiLvlLbl val="0"/>
      </c:catAx>
      <c:valAx>
        <c:axId val="34888476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dash"/>
              <a:round/>
            </a:ln>
            <a:effectLst/>
          </c:spPr>
        </c:majorGridlines>
        <c:title>
          <c:tx>
            <c:strRef>
              <c:f>Charts!$E$9</c:f>
              <c:strCache>
                <c:ptCount val="1"/>
                <c:pt idx="0">
                  <c:v> KT Cu and Co </c:v>
                </c:pt>
              </c:strCache>
            </c:strRef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1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"/>
            </a:p>
          </c:txPr>
        </c:title>
        <c:numFmt formatCode="#,##0_);\(#,##0\);&quot;-  &quot;;&quot; &quot;@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"/>
          </a:p>
        </c:txPr>
        <c:crossAx val="348884288"/>
        <c:crosses val="autoZero"/>
        <c:crossBetween val="between"/>
      </c:valAx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100"/>
      </a:pPr>
      <a:endParaRPr lang="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Charts!$E$48</c:f>
          <c:strCache>
            <c:ptCount val="1"/>
            <c:pt idx="0">
              <c:v> COPPER AND COBALT PRICES 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Charts!$E$54</c:f>
              <c:strCache>
                <c:ptCount val="1"/>
                <c:pt idx="0">
                  <c:v> Copper realized price: SOM_Contract 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Charts!$V$53:$AK$53</c:f>
              <c:numCache>
                <c:formatCode>#,##0_);\(#,##0\);"-  ";" "@" "</c:formatCode>
                <c:ptCount val="16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  <c:pt idx="9">
                  <c:v>2026</c:v>
                </c:pt>
                <c:pt idx="10">
                  <c:v>2027</c:v>
                </c:pt>
                <c:pt idx="11">
                  <c:v>2028</c:v>
                </c:pt>
                <c:pt idx="12">
                  <c:v>2029</c:v>
                </c:pt>
                <c:pt idx="13">
                  <c:v>2030</c:v>
                </c:pt>
                <c:pt idx="14">
                  <c:v>2031</c:v>
                </c:pt>
                <c:pt idx="15">
                  <c:v>2032</c:v>
                </c:pt>
              </c:numCache>
            </c:numRef>
          </c:cat>
          <c:val>
            <c:numRef>
              <c:f>Charts!$V$54:$AK$54</c:f>
              <c:numCache>
                <c:formatCode>#,##0_);\(#,##0\);"-  ";" "@" "</c:formatCode>
                <c:ptCount val="16"/>
                <c:pt idx="0">
                  <c:v>5828.2602399999996</c:v>
                </c:pt>
                <c:pt idx="1">
                  <c:v>6186.6788079999997</c:v>
                </c:pt>
                <c:pt idx="2">
                  <c:v>5669.1044200000006</c:v>
                </c:pt>
                <c:pt idx="3">
                  <c:v>5832.8597680000003</c:v>
                </c:pt>
                <c:pt idx="4">
                  <c:v>8963.1393639999987</c:v>
                </c:pt>
                <c:pt idx="5">
                  <c:v>8476.6013320000002</c:v>
                </c:pt>
                <c:pt idx="6">
                  <c:v>8139.798952000001</c:v>
                </c:pt>
                <c:pt idx="7">
                  <c:v>8199.5201080000006</c:v>
                </c:pt>
                <c:pt idx="8">
                  <c:v>8309.5840840000001</c:v>
                </c:pt>
                <c:pt idx="9">
                  <c:v>8324.586831999999</c:v>
                </c:pt>
                <c:pt idx="10">
                  <c:v>8316.0789999999997</c:v>
                </c:pt>
                <c:pt idx="11">
                  <c:v>8304.0025000000005</c:v>
                </c:pt>
                <c:pt idx="12">
                  <c:v>8316.8259999999991</c:v>
                </c:pt>
                <c:pt idx="13">
                  <c:v>8504.6035233292805</c:v>
                </c:pt>
                <c:pt idx="14">
                  <c:v>8681.0355937958666</c:v>
                </c:pt>
                <c:pt idx="15">
                  <c:v>8860.9963056717843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A24-4B8F-B645-A0CEF0E4F5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2388576"/>
        <c:axId val="192399616"/>
      </c:lineChart>
      <c:lineChart>
        <c:grouping val="standard"/>
        <c:varyColors val="0"/>
        <c:ser>
          <c:idx val="1"/>
          <c:order val="1"/>
          <c:tx>
            <c:strRef>
              <c:f>Charts!$E$55</c:f>
              <c:strCache>
                <c:ptCount val="1"/>
                <c:pt idx="0">
                  <c:v> Cobalt realized price: FS 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Charts!$V$53:$AK$53</c:f>
              <c:numCache>
                <c:formatCode>#,##0_);\(#,##0\);"-  ";" "@" "</c:formatCode>
                <c:ptCount val="16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  <c:pt idx="9">
                  <c:v>2026</c:v>
                </c:pt>
                <c:pt idx="10">
                  <c:v>2027</c:v>
                </c:pt>
                <c:pt idx="11">
                  <c:v>2028</c:v>
                </c:pt>
                <c:pt idx="12">
                  <c:v>2029</c:v>
                </c:pt>
                <c:pt idx="13">
                  <c:v>2030</c:v>
                </c:pt>
                <c:pt idx="14">
                  <c:v>2031</c:v>
                </c:pt>
                <c:pt idx="15">
                  <c:v>2032</c:v>
                </c:pt>
              </c:numCache>
            </c:numRef>
          </c:cat>
          <c:val>
            <c:numRef>
              <c:f>Charts!$V$55:$AK$55</c:f>
              <c:numCache>
                <c:formatCode>#,##0_);\(#,##0\);"-  ";" "@" "</c:formatCode>
                <c:ptCount val="16"/>
                <c:pt idx="0">
                  <c:v>27778.212</c:v>
                </c:pt>
                <c:pt idx="1">
                  <c:v>27778.212</c:v>
                </c:pt>
                <c:pt idx="2">
                  <c:v>24691.743999999999</c:v>
                </c:pt>
                <c:pt idx="3">
                  <c:v>23148.51</c:v>
                </c:pt>
                <c:pt idx="4">
                  <c:v>37037.615999999995</c:v>
                </c:pt>
                <c:pt idx="5">
                  <c:v>41667.317999999992</c:v>
                </c:pt>
                <c:pt idx="6">
                  <c:v>21960.215870915901</c:v>
                </c:pt>
                <c:pt idx="7">
                  <c:v>16436.525108406309</c:v>
                </c:pt>
                <c:pt idx="8">
                  <c:v>25938.833026931141</c:v>
                </c:pt>
                <c:pt idx="9">
                  <c:v>25938.833026931141</c:v>
                </c:pt>
                <c:pt idx="10">
                  <c:v>25938.833026931141</c:v>
                </c:pt>
                <c:pt idx="11">
                  <c:v>25938.833026931141</c:v>
                </c:pt>
                <c:pt idx="12">
                  <c:v>25938.833026931141</c:v>
                </c:pt>
                <c:pt idx="13">
                  <c:v>26543.42185053225</c:v>
                </c:pt>
                <c:pt idx="14">
                  <c:v>27111.481627004272</c:v>
                </c:pt>
                <c:pt idx="15">
                  <c:v>27690.902599005734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A24-4B8F-B645-A0CEF0E4F5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76351440"/>
        <c:axId val="1876350000"/>
      </c:lineChart>
      <c:catAx>
        <c:axId val="192388576"/>
        <c:scaling>
          <c:orientation val="minMax"/>
        </c:scaling>
        <c:delete val="0"/>
        <c:axPos val="b"/>
        <c:numFmt formatCode="#,##0_);\(#,##0\);&quot;-  &quot;;&quot; &quot;@&quot; &quot;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"/>
          </a:p>
        </c:txPr>
        <c:crossAx val="192399616"/>
        <c:crosses val="autoZero"/>
        <c:auto val="1"/>
        <c:lblAlgn val="ctr"/>
        <c:lblOffset val="100"/>
        <c:noMultiLvlLbl val="0"/>
      </c:catAx>
      <c:valAx>
        <c:axId val="1923996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strRef>
              <c:f>Charts!$E$50</c:f>
              <c:strCache>
                <c:ptCount val="1"/>
                <c:pt idx="0">
                  <c:v> USD / tonne Copper </c:v>
                </c:pt>
              </c:strCache>
            </c:strRef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"/>
            </a:p>
          </c:txPr>
        </c:title>
        <c:numFmt formatCode="#,##0_);\(#,##0\);&quot;-  &quot;;&quot; &quot;@&quot; &quot;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"/>
          </a:p>
        </c:txPr>
        <c:crossAx val="192388576"/>
        <c:crosses val="autoZero"/>
        <c:crossBetween val="between"/>
      </c:valAx>
      <c:valAx>
        <c:axId val="1876350000"/>
        <c:scaling>
          <c:orientation val="minMax"/>
        </c:scaling>
        <c:delete val="0"/>
        <c:axPos val="r"/>
        <c:title>
          <c:tx>
            <c:strRef>
              <c:f>Charts!$E$51</c:f>
              <c:strCache>
                <c:ptCount val="1"/>
                <c:pt idx="0">
                  <c:v> USD / tonne Cobalt </c:v>
                </c:pt>
              </c:strCache>
            </c:strRef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"/>
            </a:p>
          </c:txPr>
        </c:title>
        <c:numFmt formatCode="#,##0_);\(#,##0\);&quot;-  &quot;;&quot; &quot;@&quot; &quot;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"/>
          </a:p>
        </c:txPr>
        <c:crossAx val="1876351440"/>
        <c:crosses val="max"/>
        <c:crossBetween val="between"/>
      </c:valAx>
      <c:catAx>
        <c:axId val="1876351440"/>
        <c:scaling>
          <c:orientation val="minMax"/>
        </c:scaling>
        <c:delete val="1"/>
        <c:axPos val="b"/>
        <c:numFmt formatCode="#,##0_);\(#,##0\);&quot;-  &quot;;&quot; &quot;@&quot; &quot;" sourceLinked="1"/>
        <c:majorTickMark val="out"/>
        <c:minorTickMark val="none"/>
        <c:tickLblPos val="nextTo"/>
        <c:crossAx val="187635000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strRef>
          <c:f>Charts!$E$87</c:f>
          <c:strCache>
            <c:ptCount val="1"/>
            <c:pt idx="0">
              <c:v> PROJECT CASHFLOWS 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32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"/>
        </a:p>
      </c:txPr>
    </c:title>
    <c:autoTitleDeleted val="0"/>
    <c:plotArea>
      <c:layout>
        <c:manualLayout>
          <c:layoutTarget val="inner"/>
          <c:xMode val="edge"/>
          <c:yMode val="edge"/>
          <c:x val="8.9133111221789824E-2"/>
          <c:y val="0.15672114822304328"/>
          <c:w val="0.89343748721178495"/>
          <c:h val="0.8091718095828454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Charts!$E$92</c:f>
              <c:strCache>
                <c:ptCount val="1"/>
                <c:pt idx="0">
                  <c:v>Copper gross revenue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Charts!$V$91:$ACK$91</c:f>
              <c:numCache>
                <c:formatCode>#,##0_);\(#,##0\);"-  ";" "@" "</c:formatCode>
                <c:ptCount val="24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  <c:pt idx="9">
                  <c:v>2026</c:v>
                </c:pt>
                <c:pt idx="10">
                  <c:v>2027</c:v>
                </c:pt>
                <c:pt idx="11">
                  <c:v>2028</c:v>
                </c:pt>
                <c:pt idx="12">
                  <c:v>2029</c:v>
                </c:pt>
                <c:pt idx="13">
                  <c:v>2030</c:v>
                </c:pt>
                <c:pt idx="14">
                  <c:v>2031</c:v>
                </c:pt>
                <c:pt idx="15">
                  <c:v>2032</c:v>
                </c:pt>
                <c:pt idx="16">
                  <c:v>2033</c:v>
                </c:pt>
                <c:pt idx="17">
                  <c:v>2034</c:v>
                </c:pt>
                <c:pt idx="18">
                  <c:v>2035</c:v>
                </c:pt>
                <c:pt idx="19">
                  <c:v>2036</c:v>
                </c:pt>
                <c:pt idx="20">
                  <c:v>2037</c:v>
                </c:pt>
                <c:pt idx="21">
                  <c:v>2038</c:v>
                </c:pt>
                <c:pt idx="22">
                  <c:v>2039</c:v>
                </c:pt>
                <c:pt idx="23">
                  <c:v>2040</c:v>
                </c:pt>
              </c:numCache>
            </c:numRef>
          </c:cat>
          <c:val>
            <c:numRef>
              <c:f>Charts!$V$92:$AK$92</c:f>
              <c:numCache>
                <c:formatCode>#,##0;\(#,##0\);"-"</c:formatCode>
                <c:ptCount val="16"/>
                <c:pt idx="0">
                  <c:v>104.68060500000001</c:v>
                </c:pt>
                <c:pt idx="1">
                  <c:v>275.12210799999997</c:v>
                </c:pt>
                <c:pt idx="2">
                  <c:v>416.84932400000002</c:v>
                </c:pt>
                <c:pt idx="3">
                  <c:v>635.77241700000002</c:v>
                </c:pt>
                <c:pt idx="4">
                  <c:v>1059.1821980000002</c:v>
                </c:pt>
                <c:pt idx="5">
                  <c:v>938.45274099999995</c:v>
                </c:pt>
                <c:pt idx="6">
                  <c:v>972.90811853117418</c:v>
                </c:pt>
                <c:pt idx="7">
                  <c:v>641.01964091281855</c:v>
                </c:pt>
                <c:pt idx="8">
                  <c:v>905.06080438998561</c:v>
                </c:pt>
                <c:pt idx="9">
                  <c:v>906.69486922833119</c:v>
                </c:pt>
                <c:pt idx="10">
                  <c:v>905.7682157164711</c:v>
                </c:pt>
                <c:pt idx="11">
                  <c:v>904.45287108625553</c:v>
                </c:pt>
                <c:pt idx="12">
                  <c:v>905.84957723998957</c:v>
                </c:pt>
                <c:pt idx="13">
                  <c:v>766.66482549710213</c:v>
                </c:pt>
                <c:pt idx="14">
                  <c:v>782.56965423430415</c:v>
                </c:pt>
                <c:pt idx="15">
                  <c:v>330.44153618325373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06FC-4EDE-B90A-F69CB710BB81}"/>
            </c:ext>
          </c:extLst>
        </c:ser>
        <c:ser>
          <c:idx val="1"/>
          <c:order val="1"/>
          <c:tx>
            <c:strRef>
              <c:f>Charts!$E$93</c:f>
              <c:strCache>
                <c:ptCount val="1"/>
                <c:pt idx="0">
                  <c:v>Cobalt gross revenue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Charts!$V$91:$ACK$91</c:f>
              <c:numCache>
                <c:formatCode>#,##0_);\(#,##0\);"-  ";" "@" "</c:formatCode>
                <c:ptCount val="24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  <c:pt idx="9">
                  <c:v>2026</c:v>
                </c:pt>
                <c:pt idx="10">
                  <c:v>2027</c:v>
                </c:pt>
                <c:pt idx="11">
                  <c:v>2028</c:v>
                </c:pt>
                <c:pt idx="12">
                  <c:v>2029</c:v>
                </c:pt>
                <c:pt idx="13">
                  <c:v>2030</c:v>
                </c:pt>
                <c:pt idx="14">
                  <c:v>2031</c:v>
                </c:pt>
                <c:pt idx="15">
                  <c:v>2032</c:v>
                </c:pt>
                <c:pt idx="16">
                  <c:v>2033</c:v>
                </c:pt>
                <c:pt idx="17">
                  <c:v>2034</c:v>
                </c:pt>
                <c:pt idx="18">
                  <c:v>2035</c:v>
                </c:pt>
                <c:pt idx="19">
                  <c:v>2036</c:v>
                </c:pt>
                <c:pt idx="20">
                  <c:v>2037</c:v>
                </c:pt>
                <c:pt idx="21">
                  <c:v>2038</c:v>
                </c:pt>
                <c:pt idx="22">
                  <c:v>2039</c:v>
                </c:pt>
                <c:pt idx="23">
                  <c:v>2040</c:v>
                </c:pt>
              </c:numCache>
            </c:numRef>
          </c:cat>
          <c:val>
            <c:numRef>
              <c:f>Charts!$V$93:$AK$93</c:f>
              <c:numCache>
                <c:formatCode>#,##0;\(#,##0\);"-"</c:formatCode>
                <c:ptCount val="16"/>
                <c:pt idx="0">
                  <c:v>0</c:v>
                </c:pt>
                <c:pt idx="1">
                  <c:v>0</c:v>
                </c:pt>
                <c:pt idx="2">
                  <c:v>17.482495504319999</c:v>
                </c:pt>
                <c:pt idx="3">
                  <c:v>32.942181610799999</c:v>
                </c:pt>
                <c:pt idx="4">
                  <c:v>59.516856278879999</c:v>
                </c:pt>
                <c:pt idx="5">
                  <c:v>104.42579902523998</c:v>
                </c:pt>
                <c:pt idx="6">
                  <c:v>50.640257798332065</c:v>
                </c:pt>
                <c:pt idx="7">
                  <c:v>12.790082013106371</c:v>
                </c:pt>
                <c:pt idx="8">
                  <c:v>44.969561931178475</c:v>
                </c:pt>
                <c:pt idx="9">
                  <c:v>44.969561931178475</c:v>
                </c:pt>
                <c:pt idx="10">
                  <c:v>44.969561931178475</c:v>
                </c:pt>
                <c:pt idx="11">
                  <c:v>44.969561931178475</c:v>
                </c:pt>
                <c:pt idx="12">
                  <c:v>44.969561931178475</c:v>
                </c:pt>
                <c:pt idx="13">
                  <c:v>46.017723755482606</c:v>
                </c:pt>
                <c:pt idx="14">
                  <c:v>40.122552774619891</c:v>
                </c:pt>
                <c:pt idx="15">
                  <c:v>16.952093662085321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06FC-4EDE-B90A-F69CB710BB81}"/>
            </c:ext>
          </c:extLst>
        </c:ser>
        <c:ser>
          <c:idx val="4"/>
          <c:order val="2"/>
          <c:tx>
            <c:strRef>
              <c:f>Charts!$E$100</c:f>
              <c:strCache>
                <c:ptCount val="1"/>
                <c:pt idx="0">
                  <c:v> Operating costs, including Sens. 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numRef>
              <c:f>Charts!$V$91:$ACK$91</c:f>
              <c:numCache>
                <c:formatCode>#,##0_);\(#,##0\);"-  ";" "@" "</c:formatCode>
                <c:ptCount val="24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  <c:pt idx="9">
                  <c:v>2026</c:v>
                </c:pt>
                <c:pt idx="10">
                  <c:v>2027</c:v>
                </c:pt>
                <c:pt idx="11">
                  <c:v>2028</c:v>
                </c:pt>
                <c:pt idx="12">
                  <c:v>2029</c:v>
                </c:pt>
                <c:pt idx="13">
                  <c:v>2030</c:v>
                </c:pt>
                <c:pt idx="14">
                  <c:v>2031</c:v>
                </c:pt>
                <c:pt idx="15">
                  <c:v>2032</c:v>
                </c:pt>
                <c:pt idx="16">
                  <c:v>2033</c:v>
                </c:pt>
                <c:pt idx="17">
                  <c:v>2034</c:v>
                </c:pt>
                <c:pt idx="18">
                  <c:v>2035</c:v>
                </c:pt>
                <c:pt idx="19">
                  <c:v>2036</c:v>
                </c:pt>
                <c:pt idx="20">
                  <c:v>2037</c:v>
                </c:pt>
                <c:pt idx="21">
                  <c:v>2038</c:v>
                </c:pt>
                <c:pt idx="22">
                  <c:v>2039</c:v>
                </c:pt>
                <c:pt idx="23">
                  <c:v>2040</c:v>
                </c:pt>
              </c:numCache>
            </c:numRef>
          </c:cat>
          <c:val>
            <c:numRef>
              <c:f>Charts!$V$100:$AK$100</c:f>
              <c:numCache>
                <c:formatCode>#,##0_);\(#,##0\);"-  ";" "@" "</c:formatCode>
                <c:ptCount val="16"/>
                <c:pt idx="0">
                  <c:v>-92.547447899999995</c:v>
                </c:pt>
                <c:pt idx="1">
                  <c:v>-111.20828203000001</c:v>
                </c:pt>
                <c:pt idx="2">
                  <c:v>-222.95433410956798</c:v>
                </c:pt>
                <c:pt idx="3">
                  <c:v>-275.07933724392001</c:v>
                </c:pt>
                <c:pt idx="4">
                  <c:v>-236.842377442112</c:v>
                </c:pt>
                <c:pt idx="5">
                  <c:v>-521.23181416247598</c:v>
                </c:pt>
                <c:pt idx="6">
                  <c:v>-458.85614080454303</c:v>
                </c:pt>
                <c:pt idx="7">
                  <c:v>-498.26409575079998</c:v>
                </c:pt>
                <c:pt idx="8">
                  <c:v>-499.39449196549901</c:v>
                </c:pt>
                <c:pt idx="9">
                  <c:v>-511.64191424046072</c:v>
                </c:pt>
                <c:pt idx="10">
                  <c:v>-522.47681812965493</c:v>
                </c:pt>
                <c:pt idx="11">
                  <c:v>-533.79306524069909</c:v>
                </c:pt>
                <c:pt idx="12">
                  <c:v>-545.3125501316897</c:v>
                </c:pt>
                <c:pt idx="13">
                  <c:v>-563.04437690960037</c:v>
                </c:pt>
                <c:pt idx="14">
                  <c:v>-520.87013281239911</c:v>
                </c:pt>
                <c:pt idx="15">
                  <c:v>-303.9560272104207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06FC-4EDE-B90A-F69CB710BB81}"/>
            </c:ext>
          </c:extLst>
        </c:ser>
        <c:ser>
          <c:idx val="3"/>
          <c:order val="3"/>
          <c:tx>
            <c:strRef>
              <c:f>Charts!$E$101</c:f>
              <c:strCache>
                <c:ptCount val="1"/>
                <c:pt idx="0">
                  <c:v> Capital costs, including Sens. 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numRef>
              <c:f>Charts!$V$91:$ACK$91</c:f>
              <c:numCache>
                <c:formatCode>#,##0_);\(#,##0\);"-  ";" "@" "</c:formatCode>
                <c:ptCount val="24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  <c:pt idx="9">
                  <c:v>2026</c:v>
                </c:pt>
                <c:pt idx="10">
                  <c:v>2027</c:v>
                </c:pt>
                <c:pt idx="11">
                  <c:v>2028</c:v>
                </c:pt>
                <c:pt idx="12">
                  <c:v>2029</c:v>
                </c:pt>
                <c:pt idx="13">
                  <c:v>2030</c:v>
                </c:pt>
                <c:pt idx="14">
                  <c:v>2031</c:v>
                </c:pt>
                <c:pt idx="15">
                  <c:v>2032</c:v>
                </c:pt>
                <c:pt idx="16">
                  <c:v>2033</c:v>
                </c:pt>
                <c:pt idx="17">
                  <c:v>2034</c:v>
                </c:pt>
                <c:pt idx="18">
                  <c:v>2035</c:v>
                </c:pt>
                <c:pt idx="19">
                  <c:v>2036</c:v>
                </c:pt>
                <c:pt idx="20">
                  <c:v>2037</c:v>
                </c:pt>
                <c:pt idx="21">
                  <c:v>2038</c:v>
                </c:pt>
                <c:pt idx="22">
                  <c:v>2039</c:v>
                </c:pt>
                <c:pt idx="23">
                  <c:v>2040</c:v>
                </c:pt>
              </c:numCache>
            </c:numRef>
          </c:cat>
          <c:val>
            <c:numRef>
              <c:f>Charts!$V$101:$AK$101</c:f>
              <c:numCache>
                <c:formatCode>#,##0_);\(#,##0\);"-  ";" "@" "</c:formatCode>
                <c:ptCount val="16"/>
                <c:pt idx="0">
                  <c:v>-245.02819335000001</c:v>
                </c:pt>
                <c:pt idx="1">
                  <c:v>-111.33372773000001</c:v>
                </c:pt>
                <c:pt idx="2">
                  <c:v>-148.28970892000001</c:v>
                </c:pt>
                <c:pt idx="3">
                  <c:v>-4.7877627</c:v>
                </c:pt>
                <c:pt idx="4">
                  <c:v>-81.812290399999995</c:v>
                </c:pt>
                <c:pt idx="5">
                  <c:v>-100.30613584</c:v>
                </c:pt>
                <c:pt idx="6">
                  <c:v>-103.88373304536523</c:v>
                </c:pt>
                <c:pt idx="7">
                  <c:v>-35.80364853652285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06FC-4EDE-B90A-F69CB710BB8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overlap val="100"/>
        <c:axId val="348884288"/>
        <c:axId val="348884768"/>
      </c:barChart>
      <c:lineChart>
        <c:grouping val="standard"/>
        <c:varyColors val="0"/>
        <c:ser>
          <c:idx val="5"/>
          <c:order val="4"/>
          <c:tx>
            <c:strRef>
              <c:f>Charts!$E$98</c:f>
              <c:strCache>
                <c:ptCount val="1"/>
                <c:pt idx="0">
                  <c:v>Project cashflow before tax</c:v>
                </c:pt>
              </c:strCache>
            </c:strRef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cat>
            <c:numRef>
              <c:f>Charts!$N$91:$AC$91</c:f>
              <c:numCache>
                <c:formatCode>#,##0_);\(#,##0\);"-  ";" "@" "</c:formatCode>
                <c:ptCount val="16"/>
                <c:pt idx="0">
                  <c:v>2009</c:v>
                </c:pt>
                <c:pt idx="1">
                  <c:v>2010</c:v>
                </c:pt>
                <c:pt idx="2">
                  <c:v>2011</c:v>
                </c:pt>
                <c:pt idx="3">
                  <c:v>2012</c:v>
                </c:pt>
                <c:pt idx="4">
                  <c:v>2013</c:v>
                </c:pt>
                <c:pt idx="5">
                  <c:v>2014</c:v>
                </c:pt>
                <c:pt idx="6">
                  <c:v>2015</c:v>
                </c:pt>
                <c:pt idx="7">
                  <c:v>2016</c:v>
                </c:pt>
                <c:pt idx="8">
                  <c:v>2017</c:v>
                </c:pt>
                <c:pt idx="9">
                  <c:v>2018</c:v>
                </c:pt>
                <c:pt idx="10">
                  <c:v>2019</c:v>
                </c:pt>
                <c:pt idx="11">
                  <c:v>2020</c:v>
                </c:pt>
                <c:pt idx="12">
                  <c:v>2021</c:v>
                </c:pt>
                <c:pt idx="13">
                  <c:v>2022</c:v>
                </c:pt>
                <c:pt idx="14">
                  <c:v>2023</c:v>
                </c:pt>
                <c:pt idx="15">
                  <c:v>2024</c:v>
                </c:pt>
              </c:numCache>
            </c:numRef>
          </c:cat>
          <c:val>
            <c:numRef>
              <c:f>Charts!$V$98:$AK$98</c:f>
              <c:numCache>
                <c:formatCode>#,##0;\(#,##0\);"-"</c:formatCode>
                <c:ptCount val="16"/>
                <c:pt idx="0">
                  <c:v>-232.89503624999998</c:v>
                </c:pt>
                <c:pt idx="1">
                  <c:v>52.580098239999941</c:v>
                </c:pt>
                <c:pt idx="2">
                  <c:v>63.087776474752047</c:v>
                </c:pt>
                <c:pt idx="3">
                  <c:v>388.84749866688009</c:v>
                </c:pt>
                <c:pt idx="4">
                  <c:v>800.04438643676804</c:v>
                </c:pt>
                <c:pt idx="5">
                  <c:v>421.34059002276399</c:v>
                </c:pt>
                <c:pt idx="6">
                  <c:v>460.80850247959802</c:v>
                </c:pt>
                <c:pt idx="7">
                  <c:v>119.74197863860209</c:v>
                </c:pt>
                <c:pt idx="8">
                  <c:v>450.63587435566512</c:v>
                </c:pt>
                <c:pt idx="9">
                  <c:v>440.02251691904888</c:v>
                </c:pt>
                <c:pt idx="10">
                  <c:v>428.26095951799471</c:v>
                </c:pt>
                <c:pt idx="11">
                  <c:v>415.62936777673497</c:v>
                </c:pt>
                <c:pt idx="12">
                  <c:v>405.50658903947829</c:v>
                </c:pt>
                <c:pt idx="13">
                  <c:v>249.63817234298438</c:v>
                </c:pt>
                <c:pt idx="14">
                  <c:v>301.82207419652491</c:v>
                </c:pt>
                <c:pt idx="15">
                  <c:v>43.437602634918335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4-06FC-4EDE-B90A-F69CB710BB8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48884288"/>
        <c:axId val="348884768"/>
      </c:lineChart>
      <c:catAx>
        <c:axId val="348884288"/>
        <c:scaling>
          <c:orientation val="minMax"/>
        </c:scaling>
        <c:delete val="0"/>
        <c:axPos val="b"/>
        <c:numFmt formatCode="#,##0_);\(#,##0\);&quot;-  &quot;;&quot; &quot;@&quot; &quot;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"/>
          </a:p>
        </c:txPr>
        <c:crossAx val="348884768"/>
        <c:crosses val="autoZero"/>
        <c:auto val="1"/>
        <c:lblAlgn val="ctr"/>
        <c:lblOffset val="100"/>
        <c:noMultiLvlLbl val="0"/>
      </c:catAx>
      <c:valAx>
        <c:axId val="34888476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dash"/>
              <a:round/>
            </a:ln>
            <a:effectLst/>
          </c:spPr>
        </c:majorGridlines>
        <c:title>
          <c:tx>
            <c:strRef>
              <c:f>Charts!$E$88</c:f>
              <c:strCache>
                <c:ptCount val="1"/>
                <c:pt idx="0">
                  <c:v> $ mn </c:v>
                </c:pt>
              </c:strCache>
            </c:strRef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1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"/>
            </a:p>
          </c:txPr>
        </c:title>
        <c:numFmt formatCode="#,##0;\(#,##0\);&quot;-&quot;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"/>
          </a:p>
        </c:txPr>
        <c:crossAx val="348884288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2.4403532691419001E-2"/>
          <c:y val="1.8423258811196046E-2"/>
          <c:w val="0.29814345058733466"/>
          <c:h val="0.2655624555694911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100"/>
      </a:pPr>
      <a:endParaRPr lang="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Charts!$E$133</c:f>
          <c:strCache>
            <c:ptCount val="1"/>
            <c:pt idx="0">
              <c:v> GOVERNMENT REVENUES 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320" b="0" i="0" u="none" strike="noStrike" kern="1200" baseline="0">
              <a:solidFill>
                <a:srgbClr val="595959"/>
              </a:solidFill>
              <a:latin typeface="+mn-lt"/>
              <a:ea typeface="+mn-ea"/>
              <a:cs typeface="+mn-cs"/>
            </a:defRPr>
          </a:pPr>
          <a:endParaRPr lang=""/>
        </a:p>
      </c:txPr>
    </c:title>
    <c:autoTitleDeleted val="0"/>
    <c:plotArea>
      <c:layout/>
      <c:barChart>
        <c:barDir val="col"/>
        <c:grouping val="stacked"/>
        <c:varyColors val="0"/>
        <c:ser>
          <c:idx val="5"/>
          <c:order val="0"/>
          <c:tx>
            <c:strRef>
              <c:f>Charts!$E$142</c:f>
              <c:strCache>
                <c:ptCount val="1"/>
                <c:pt idx="0">
                  <c:v> Total royalty 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numRef>
              <c:f>Charts!$V$137:$AK$137</c:f>
              <c:numCache>
                <c:formatCode>#,##0_);\(#,##0\);"-  ";" "@" "</c:formatCode>
                <c:ptCount val="16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  <c:pt idx="9">
                  <c:v>2026</c:v>
                </c:pt>
                <c:pt idx="10">
                  <c:v>2027</c:v>
                </c:pt>
                <c:pt idx="11">
                  <c:v>2028</c:v>
                </c:pt>
                <c:pt idx="12">
                  <c:v>2029</c:v>
                </c:pt>
                <c:pt idx="13">
                  <c:v>2030</c:v>
                </c:pt>
                <c:pt idx="14">
                  <c:v>2031</c:v>
                </c:pt>
                <c:pt idx="15">
                  <c:v>2032</c:v>
                </c:pt>
              </c:numCache>
            </c:numRef>
          </c:cat>
          <c:val>
            <c:numRef>
              <c:f>Charts!$V$142:$AK$142</c:f>
              <c:numCache>
                <c:formatCode>#,##0_);\(#,##0\);"-  ";" "@" "</c:formatCode>
                <c:ptCount val="16"/>
                <c:pt idx="0">
                  <c:v>2.0936121000000005</c:v>
                </c:pt>
                <c:pt idx="1">
                  <c:v>7.5658579699999997</c:v>
                </c:pt>
                <c:pt idx="2">
                  <c:v>16.337975890432002</c:v>
                </c:pt>
                <c:pt idx="3">
                  <c:v>25.546252756080001</c:v>
                </c:pt>
                <c:pt idx="4">
                  <c:v>43.023062557888011</c:v>
                </c:pt>
                <c:pt idx="5">
                  <c:v>43.288425837524002</c:v>
                </c:pt>
                <c:pt idx="6">
                  <c:v>39.115809928424305</c:v>
                </c:pt>
                <c:pt idx="7">
                  <c:v>23.714695633259289</c:v>
                </c:pt>
                <c:pt idx="8">
                  <c:v>36.174084346767344</c:v>
                </c:pt>
                <c:pt idx="9">
                  <c:v>36.23127661610944</c:v>
                </c:pt>
                <c:pt idx="10">
                  <c:v>36.198843743194338</c:v>
                </c:pt>
                <c:pt idx="11">
                  <c:v>36.152806681136795</c:v>
                </c:pt>
                <c:pt idx="12">
                  <c:v>36.201691396517489</c:v>
                </c:pt>
                <c:pt idx="13">
                  <c:v>31.43504126794684</c:v>
                </c:pt>
                <c:pt idx="14">
                  <c:v>31.402193175662639</c:v>
                </c:pt>
                <c:pt idx="15">
                  <c:v>13.260663132622414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240D-4B9F-B811-E8C1CD889010}"/>
            </c:ext>
          </c:extLst>
        </c:ser>
        <c:ser>
          <c:idx val="6"/>
          <c:order val="1"/>
          <c:tx>
            <c:strRef>
              <c:f>Charts!$E$143</c:f>
              <c:strCache>
                <c:ptCount val="1"/>
                <c:pt idx="0">
                  <c:v> CIT payable 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numRef>
              <c:f>Charts!$V$137:$AK$137</c:f>
              <c:numCache>
                <c:formatCode>#,##0_);\(#,##0\);"-  ";" "@" "</c:formatCode>
                <c:ptCount val="16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  <c:pt idx="9">
                  <c:v>2026</c:v>
                </c:pt>
                <c:pt idx="10">
                  <c:v>2027</c:v>
                </c:pt>
                <c:pt idx="11">
                  <c:v>2028</c:v>
                </c:pt>
                <c:pt idx="12">
                  <c:v>2029</c:v>
                </c:pt>
                <c:pt idx="13">
                  <c:v>2030</c:v>
                </c:pt>
                <c:pt idx="14">
                  <c:v>2031</c:v>
                </c:pt>
                <c:pt idx="15">
                  <c:v>2032</c:v>
                </c:pt>
              </c:numCache>
            </c:numRef>
          </c:cat>
          <c:val>
            <c:numRef>
              <c:f>Charts!$V$143:$AK$143</c:f>
              <c:numCache>
                <c:formatCode>#,##0_);\(#,##0\);"-  ";" "@" "</c:formatCode>
                <c:ptCount val="16"/>
                <c:pt idx="0">
                  <c:v>1.0468060500000003</c:v>
                </c:pt>
                <c:pt idx="1">
                  <c:v>2.7512210799999997</c:v>
                </c:pt>
                <c:pt idx="2">
                  <c:v>33.206817816867449</c:v>
                </c:pt>
                <c:pt idx="3">
                  <c:v>91.036694725097149</c:v>
                </c:pt>
                <c:pt idx="4">
                  <c:v>229.8752354083783</c:v>
                </c:pt>
                <c:pt idx="5">
                  <c:v>119.32897273914344</c:v>
                </c:pt>
                <c:pt idx="6">
                  <c:v>129.2104604228746</c:v>
                </c:pt>
                <c:pt idx="7">
                  <c:v>13.921063440907346</c:v>
                </c:pt>
                <c:pt idx="8">
                  <c:v>103.64997645515984</c:v>
                </c:pt>
                <c:pt idx="9">
                  <c:v>106.97229478280092</c:v>
                </c:pt>
                <c:pt idx="10">
                  <c:v>103.82695725435919</c:v>
                </c:pt>
                <c:pt idx="11">
                  <c:v>103.5575318677414</c:v>
                </c:pt>
                <c:pt idx="12">
                  <c:v>104.80486722509302</c:v>
                </c:pt>
                <c:pt idx="13">
                  <c:v>63.926497242374566</c:v>
                </c:pt>
                <c:pt idx="14">
                  <c:v>81.125964306258666</c:v>
                </c:pt>
                <c:pt idx="15">
                  <c:v>9.0530818506887716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240D-4B9F-B811-E8C1CD889010}"/>
            </c:ext>
          </c:extLst>
        </c:ser>
        <c:ser>
          <c:idx val="7"/>
          <c:order val="2"/>
          <c:tx>
            <c:strRef>
              <c:f>Charts!$E$144</c:f>
              <c:strCache>
                <c:ptCount val="1"/>
                <c:pt idx="0">
                  <c:v> Special Tax On Excess Profits 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numRef>
              <c:f>Charts!$V$137:$AK$137</c:f>
              <c:numCache>
                <c:formatCode>#,##0_);\(#,##0\);"-  ";" "@" "</c:formatCode>
                <c:ptCount val="16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  <c:pt idx="9">
                  <c:v>2026</c:v>
                </c:pt>
                <c:pt idx="10">
                  <c:v>2027</c:v>
                </c:pt>
                <c:pt idx="11">
                  <c:v>2028</c:v>
                </c:pt>
                <c:pt idx="12">
                  <c:v>2029</c:v>
                </c:pt>
                <c:pt idx="13">
                  <c:v>2030</c:v>
                </c:pt>
                <c:pt idx="14">
                  <c:v>2031</c:v>
                </c:pt>
                <c:pt idx="15">
                  <c:v>2032</c:v>
                </c:pt>
              </c:numCache>
            </c:numRef>
          </c:cat>
          <c:val>
            <c:numRef>
              <c:f>Charts!$V$144:$AK$144</c:f>
              <c:numCache>
                <c:formatCode>#,##0_);\(#,##0\);"-  ";" "@" "</c:formatCode>
                <c:ptCount val="1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240D-4B9F-B811-E8C1CD889010}"/>
            </c:ext>
          </c:extLst>
        </c:ser>
        <c:ser>
          <c:idx val="0"/>
          <c:order val="3"/>
          <c:tx>
            <c:strRef>
              <c:f>Charts!$E$145</c:f>
              <c:strCache>
                <c:ptCount val="1"/>
                <c:pt idx="0">
                  <c:v> Signature Bonus (EITI)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Charts!$V$137:$AK$137</c:f>
              <c:numCache>
                <c:formatCode>#,##0_);\(#,##0\);"-  ";" "@" "</c:formatCode>
                <c:ptCount val="16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  <c:pt idx="9">
                  <c:v>2026</c:v>
                </c:pt>
                <c:pt idx="10">
                  <c:v>2027</c:v>
                </c:pt>
                <c:pt idx="11">
                  <c:v>2028</c:v>
                </c:pt>
                <c:pt idx="12">
                  <c:v>2029</c:v>
                </c:pt>
                <c:pt idx="13">
                  <c:v>2030</c:v>
                </c:pt>
                <c:pt idx="14">
                  <c:v>2031</c:v>
                </c:pt>
                <c:pt idx="15">
                  <c:v>2032</c:v>
                </c:pt>
              </c:numCache>
            </c:numRef>
          </c:cat>
          <c:val>
            <c:numRef>
              <c:f>Charts!$V$145:$AK$145</c:f>
              <c:numCache>
                <c:formatCode>#,##0_);\(#,##0\);"-  ";" "@" "</c:formatCode>
                <c:ptCount val="16"/>
                <c:pt idx="0">
                  <c:v>2.7</c:v>
                </c:pt>
                <c:pt idx="1">
                  <c:v>8.1</c:v>
                </c:pt>
                <c:pt idx="2">
                  <c:v>5.4</c:v>
                </c:pt>
                <c:pt idx="3">
                  <c:v>0</c:v>
                </c:pt>
                <c:pt idx="4">
                  <c:v>0</c:v>
                </c:pt>
                <c:pt idx="5">
                  <c:v>26.479182000000002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ED7-41BE-9A82-A403F52D42E5}"/>
            </c:ext>
          </c:extLst>
        </c:ser>
        <c:ser>
          <c:idx val="2"/>
          <c:order val="4"/>
          <c:tx>
            <c:strRef>
              <c:f>Charts!$E$146</c:f>
              <c:strCache>
                <c:ptCount val="1"/>
                <c:pt idx="0">
                  <c:v> Payroll taxes (included in costs)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numRef>
              <c:f>Charts!$V$137:$AK$137</c:f>
              <c:numCache>
                <c:formatCode>#,##0_);\(#,##0\);"-  ";" "@" "</c:formatCode>
                <c:ptCount val="16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  <c:pt idx="9">
                  <c:v>2026</c:v>
                </c:pt>
                <c:pt idx="10">
                  <c:v>2027</c:v>
                </c:pt>
                <c:pt idx="11">
                  <c:v>2028</c:v>
                </c:pt>
                <c:pt idx="12">
                  <c:v>2029</c:v>
                </c:pt>
                <c:pt idx="13">
                  <c:v>2030</c:v>
                </c:pt>
                <c:pt idx="14">
                  <c:v>2031</c:v>
                </c:pt>
                <c:pt idx="15">
                  <c:v>2032</c:v>
                </c:pt>
              </c:numCache>
            </c:numRef>
          </c:cat>
          <c:val>
            <c:numRef>
              <c:f>Charts!$V$146:$AK$146</c:f>
              <c:numCache>
                <c:formatCode>#,##0_);\(#,##0\);"-  ";" "@" "</c:formatCode>
                <c:ptCount val="16"/>
                <c:pt idx="0">
                  <c:v>3.7018979160000001</c:v>
                </c:pt>
                <c:pt idx="1">
                  <c:v>4.4483312812000007</c:v>
                </c:pt>
                <c:pt idx="2">
                  <c:v>8.918173364382719</c:v>
                </c:pt>
                <c:pt idx="3">
                  <c:v>11.003173489756801</c:v>
                </c:pt>
                <c:pt idx="4">
                  <c:v>9.4736950976844803</c:v>
                </c:pt>
                <c:pt idx="5">
                  <c:v>20.849272566499039</c:v>
                </c:pt>
                <c:pt idx="6">
                  <c:v>18.354245632181723</c:v>
                </c:pt>
                <c:pt idx="7">
                  <c:v>19.930563830032</c:v>
                </c:pt>
                <c:pt idx="8">
                  <c:v>19.975779678619961</c:v>
                </c:pt>
                <c:pt idx="9">
                  <c:v>20.465676569618431</c:v>
                </c:pt>
                <c:pt idx="10">
                  <c:v>20.899072725186198</c:v>
                </c:pt>
                <c:pt idx="11">
                  <c:v>21.351722609627963</c:v>
                </c:pt>
                <c:pt idx="12">
                  <c:v>21.812502005267589</c:v>
                </c:pt>
                <c:pt idx="13">
                  <c:v>22.521775076384014</c:v>
                </c:pt>
                <c:pt idx="14">
                  <c:v>20.834805312495966</c:v>
                </c:pt>
                <c:pt idx="15">
                  <c:v>12.158241088416828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ED7-41BE-9A82-A403F52D42E5}"/>
            </c:ext>
          </c:extLst>
        </c:ser>
        <c:ser>
          <c:idx val="3"/>
          <c:order val="5"/>
          <c:tx>
            <c:strRef>
              <c:f>Charts!$E$147</c:f>
              <c:strCache>
                <c:ptCount val="1"/>
                <c:pt idx="0">
                  <c:v> Import duties (included in costs) 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numRef>
              <c:f>Charts!$V$137:$AK$137</c:f>
              <c:numCache>
                <c:formatCode>#,##0_);\(#,##0\);"-  ";" "@" "</c:formatCode>
                <c:ptCount val="16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  <c:pt idx="9">
                  <c:v>2026</c:v>
                </c:pt>
                <c:pt idx="10">
                  <c:v>2027</c:v>
                </c:pt>
                <c:pt idx="11">
                  <c:v>2028</c:v>
                </c:pt>
                <c:pt idx="12">
                  <c:v>2029</c:v>
                </c:pt>
                <c:pt idx="13">
                  <c:v>2030</c:v>
                </c:pt>
                <c:pt idx="14">
                  <c:v>2031</c:v>
                </c:pt>
                <c:pt idx="15">
                  <c:v>2032</c:v>
                </c:pt>
              </c:numCache>
            </c:numRef>
          </c:cat>
          <c:val>
            <c:numRef>
              <c:f>Charts!$V$147:$AK$147</c:f>
              <c:numCache>
                <c:formatCode>#,##0_);\(#,##0\);"-  ";" "@" "</c:formatCode>
                <c:ptCount val="16"/>
                <c:pt idx="0">
                  <c:v>4.9504272399999998</c:v>
                </c:pt>
                <c:pt idx="1">
                  <c:v>18.157969999999999</c:v>
                </c:pt>
                <c:pt idx="2">
                  <c:v>40.621609999999997</c:v>
                </c:pt>
                <c:pt idx="3">
                  <c:v>3.393662</c:v>
                </c:pt>
                <c:pt idx="4">
                  <c:v>15.932733392105598</c:v>
                </c:pt>
                <c:pt idx="5">
                  <c:v>40.119290999999997</c:v>
                </c:pt>
                <c:pt idx="6">
                  <c:v>28.136993692495412</c:v>
                </c:pt>
                <c:pt idx="7">
                  <c:v>26.703387214366145</c:v>
                </c:pt>
                <c:pt idx="8">
                  <c:v>24.969724598274951</c:v>
                </c:pt>
                <c:pt idx="9">
                  <c:v>25.582095712023037</c:v>
                </c:pt>
                <c:pt idx="10">
                  <c:v>26.123840906482748</c:v>
                </c:pt>
                <c:pt idx="11">
                  <c:v>26.689653262034955</c:v>
                </c:pt>
                <c:pt idx="12">
                  <c:v>27.265627506584487</c:v>
                </c:pt>
                <c:pt idx="13">
                  <c:v>28.152218845480022</c:v>
                </c:pt>
                <c:pt idx="14">
                  <c:v>26.043506640619956</c:v>
                </c:pt>
                <c:pt idx="15">
                  <c:v>15.197801360521035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ED7-41BE-9A82-A403F52D42E5}"/>
            </c:ext>
          </c:extLst>
        </c:ser>
        <c:ser>
          <c:idx val="4"/>
          <c:order val="6"/>
          <c:tx>
            <c:strRef>
              <c:f>Charts!$E$148</c:f>
              <c:strCache>
                <c:ptCount val="1"/>
                <c:pt idx="0">
                  <c:v> Interest withholding tax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numRef>
              <c:f>Charts!$V$137:$AK$137</c:f>
              <c:numCache>
                <c:formatCode>#,##0_);\(#,##0\);"-  ";" "@" "</c:formatCode>
                <c:ptCount val="16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  <c:pt idx="9">
                  <c:v>2026</c:v>
                </c:pt>
                <c:pt idx="10">
                  <c:v>2027</c:v>
                </c:pt>
                <c:pt idx="11">
                  <c:v>2028</c:v>
                </c:pt>
                <c:pt idx="12">
                  <c:v>2029</c:v>
                </c:pt>
                <c:pt idx="13">
                  <c:v>2030</c:v>
                </c:pt>
                <c:pt idx="14">
                  <c:v>2031</c:v>
                </c:pt>
                <c:pt idx="15">
                  <c:v>2032</c:v>
                </c:pt>
              </c:numCache>
            </c:numRef>
          </c:cat>
          <c:val>
            <c:numRef>
              <c:f>Charts!$V$148:$AK$148</c:f>
              <c:numCache>
                <c:formatCode>#,##0_);\(#,##0\);"-  ";" "@</c:formatCode>
                <c:ptCount val="1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EED7-41BE-9A82-A403F52D42E5}"/>
            </c:ext>
          </c:extLst>
        </c:ser>
        <c:ser>
          <c:idx val="8"/>
          <c:order val="7"/>
          <c:tx>
            <c:strRef>
              <c:f>Charts!$E$149</c:f>
              <c:strCache>
                <c:ptCount val="1"/>
                <c:pt idx="0">
                  <c:v> Dividend withholding tax 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numRef>
              <c:f>Charts!$V$137:$AK$137</c:f>
              <c:numCache>
                <c:formatCode>#,##0_);\(#,##0\);"-  ";" "@" "</c:formatCode>
                <c:ptCount val="16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  <c:pt idx="9">
                  <c:v>2026</c:v>
                </c:pt>
                <c:pt idx="10">
                  <c:v>2027</c:v>
                </c:pt>
                <c:pt idx="11">
                  <c:v>2028</c:v>
                </c:pt>
                <c:pt idx="12">
                  <c:v>2029</c:v>
                </c:pt>
                <c:pt idx="13">
                  <c:v>2030</c:v>
                </c:pt>
                <c:pt idx="14">
                  <c:v>2031</c:v>
                </c:pt>
                <c:pt idx="15">
                  <c:v>2032</c:v>
                </c:pt>
              </c:numCache>
            </c:numRef>
          </c:cat>
          <c:val>
            <c:numRef>
              <c:f>Charts!$V$149:$AK$149</c:f>
              <c:numCache>
                <c:formatCode>#,##0_);\(#,##0\);"-  ";" "@" "</c:formatCode>
                <c:ptCount val="16"/>
                <c:pt idx="0">
                  <c:v>0</c:v>
                </c:pt>
                <c:pt idx="1">
                  <c:v>28.712273925940117</c:v>
                </c:pt>
                <c:pt idx="2">
                  <c:v>0</c:v>
                </c:pt>
                <c:pt idx="3">
                  <c:v>12.859494376943317</c:v>
                </c:pt>
                <c:pt idx="4">
                  <c:v>24.888187534151896</c:v>
                </c:pt>
                <c:pt idx="5">
                  <c:v>17.1209560194735</c:v>
                </c:pt>
                <c:pt idx="6">
                  <c:v>19.59615266395036</c:v>
                </c:pt>
                <c:pt idx="7">
                  <c:v>4.2520002565090707</c:v>
                </c:pt>
                <c:pt idx="8">
                  <c:v>19.553301604469887</c:v>
                </c:pt>
                <c:pt idx="9">
                  <c:v>18.653017899186221</c:v>
                </c:pt>
                <c:pt idx="10">
                  <c:v>19.12065732756238</c:v>
                </c:pt>
                <c:pt idx="11">
                  <c:v>18.2957410492299</c:v>
                </c:pt>
                <c:pt idx="12">
                  <c:v>17.530387391023734</c:v>
                </c:pt>
                <c:pt idx="13">
                  <c:v>10.173185274388651</c:v>
                </c:pt>
                <c:pt idx="14">
                  <c:v>12.51733128626965</c:v>
                </c:pt>
                <c:pt idx="15">
                  <c:v>1.3454723430587663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EED7-41BE-9A82-A403F52D42E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overlap val="100"/>
        <c:axId val="348884288"/>
        <c:axId val="348884768"/>
      </c:barChart>
      <c:catAx>
        <c:axId val="348884288"/>
        <c:scaling>
          <c:orientation val="minMax"/>
        </c:scaling>
        <c:delete val="0"/>
        <c:axPos val="b"/>
        <c:numFmt formatCode="#,##0_);\(#,##0\);&quot;-  &quot;;&quot; &quot;@&quot; &quot;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"/>
          </a:p>
        </c:txPr>
        <c:crossAx val="348884768"/>
        <c:crosses val="autoZero"/>
        <c:auto val="1"/>
        <c:lblAlgn val="ctr"/>
        <c:lblOffset val="100"/>
        <c:noMultiLvlLbl val="0"/>
      </c:catAx>
      <c:valAx>
        <c:axId val="34888476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dash"/>
              <a:round/>
            </a:ln>
            <a:effectLst/>
          </c:spPr>
        </c:majorGridlines>
        <c:title>
          <c:tx>
            <c:strRef>
              <c:f>Charts!$E$134</c:f>
              <c:strCache>
                <c:ptCount val="1"/>
                <c:pt idx="0">
                  <c:v> $ mn </c:v>
                </c:pt>
              </c:strCache>
            </c:strRef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1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"/>
            </a:p>
          </c:txPr>
        </c:title>
        <c:numFmt formatCode="#,##0_);\(#,##0\);&quot;-  &quot;;&quot; &quot;@&quot; &quot;" sourceLinked="1"/>
        <c:majorTickMark val="none"/>
        <c:minorTickMark val="none"/>
        <c:tickLblPos val="nextTo"/>
        <c:spPr>
          <a:noFill/>
          <a:ln w="12700" cap="flat" cmpd="sng" algn="ctr">
            <a:noFill/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"/>
          </a:p>
        </c:txPr>
        <c:crossAx val="348884288"/>
        <c:crosses val="autoZero"/>
        <c:crossBetween val="between"/>
      </c:valAx>
      <c:spPr>
        <a:solidFill>
          <a:schemeClr val="bg1"/>
        </a:solidFill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noFill/>
      <a:prstDash val="solid"/>
      <a:round/>
    </a:ln>
    <a:effectLst/>
  </c:spPr>
  <c:txPr>
    <a:bodyPr/>
    <a:lstStyle/>
    <a:p>
      <a:pPr>
        <a:defRPr sz="1100"/>
      </a:pPr>
      <a:endParaRPr lang="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102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1">
      <cs:styleClr val="auto"/>
    </cs:lnRef>
    <cs:lineWidthScale>3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1">
      <cs:styleClr val="auto"/>
    </cs:fillRef>
    <cs:effectRef idx="0"/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1">
      <a:schemeClr val="tx1"/>
    </cs:lnRef>
    <cs:fillRef idx="1">
      <a:schemeClr val="dk1">
        <a:tint val="95000"/>
      </a:schemeClr>
    </cs:fillRef>
    <cs:effectRef idx="0"/>
    <cs:fontRef idx="minor">
      <a:schemeClr val="tx1"/>
    </cs:fontRef>
    <cs:spPr>
      <a:ln>
        <a:round/>
      </a:ln>
    </cs:spPr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8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1">
      <a:schemeClr val="tx1"/>
    </cs:lnRef>
    <cs:fillRef idx="1">
      <a:schemeClr val="dk1">
        <a:tint val="5000"/>
      </a:schemeClr>
    </cs:fillRef>
    <cs:effectRef idx="0"/>
    <cs:fontRef idx="minor">
      <a:schemeClr val="tx1"/>
    </cs:fontRef>
    <cs:spPr>
      <a:ln>
        <a:round/>
      </a:ln>
    </cs:spPr>
  </cs:upBar>
  <cs:value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102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1">
      <cs:styleClr val="auto"/>
    </cs:lnRef>
    <cs:lineWidthScale>3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1">
      <cs:styleClr val="auto"/>
    </cs:fillRef>
    <cs:effectRef idx="0"/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1">
      <a:schemeClr val="tx1"/>
    </cs:lnRef>
    <cs:fillRef idx="1">
      <a:schemeClr val="dk1">
        <a:tint val="95000"/>
      </a:schemeClr>
    </cs:fillRef>
    <cs:effectRef idx="0"/>
    <cs:fontRef idx="minor">
      <a:schemeClr val="tx1"/>
    </cs:fontRef>
    <cs:spPr>
      <a:ln>
        <a:round/>
      </a:ln>
    </cs:spPr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8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1">
      <a:schemeClr val="tx1"/>
    </cs:lnRef>
    <cs:fillRef idx="1">
      <a:schemeClr val="dk1">
        <a:tint val="5000"/>
      </a:schemeClr>
    </cs:fillRef>
    <cs:effectRef idx="0"/>
    <cs:fontRef idx="minor">
      <a:schemeClr val="tx1"/>
    </cs:fontRef>
    <cs:spPr>
      <a:ln>
        <a:round/>
      </a:ln>
    </cs:spPr>
  </cs:upBar>
  <cs:value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7" Type="http://schemas.openxmlformats.org/officeDocument/2006/relationships/chart" Target="../charts/chart4.xml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chart" Target="../charts/chart3.xml"/><Relationship Id="rId5" Type="http://schemas.openxmlformats.org/officeDocument/2006/relationships/chart" Target="../charts/chart2.xml"/><Relationship Id="rId4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7.xml"/><Relationship Id="rId2" Type="http://schemas.openxmlformats.org/officeDocument/2006/relationships/chart" Target="../charts/chart6.xml"/><Relationship Id="rId1" Type="http://schemas.openxmlformats.org/officeDocument/2006/relationships/chart" Target="../charts/chart5.xml"/><Relationship Id="rId4" Type="http://schemas.openxmlformats.org/officeDocument/2006/relationships/chart" Target="../charts/chart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25</xdr:col>
      <xdr:colOff>21719</xdr:colOff>
      <xdr:row>0</xdr:row>
      <xdr:rowOff>178184</xdr:rowOff>
    </xdr:from>
    <xdr:to>
      <xdr:col>27</xdr:col>
      <xdr:colOff>17219</xdr:colOff>
      <xdr:row>3</xdr:row>
      <xdr:rowOff>93412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17A5C42-A56D-4614-B039-571B2BB790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738094" y="178184"/>
          <a:ext cx="1218933" cy="1001078"/>
        </a:xfrm>
        <a:prstGeom prst="rect">
          <a:avLst/>
        </a:prstGeom>
        <a:solidFill>
          <a:schemeClr val="bg1"/>
        </a:solidFill>
      </xdr:spPr>
    </xdr:pic>
    <xdr:clientData/>
  </xdr:twoCellAnchor>
  <xdr:twoCellAnchor editAs="oneCell">
    <xdr:from>
      <xdr:col>20</xdr:col>
      <xdr:colOff>217574</xdr:colOff>
      <xdr:row>0</xdr:row>
      <xdr:rowOff>262256</xdr:rowOff>
    </xdr:from>
    <xdr:to>
      <xdr:col>24</xdr:col>
      <xdr:colOff>335271</xdr:colOff>
      <xdr:row>3</xdr:row>
      <xdr:rowOff>45384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0A5C7E7-3FEB-47EC-AA4B-246692C739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981199" y="262256"/>
          <a:ext cx="2560332" cy="864744"/>
        </a:xfrm>
        <a:prstGeom prst="rect">
          <a:avLst/>
        </a:prstGeom>
      </xdr:spPr>
    </xdr:pic>
    <xdr:clientData/>
  </xdr:twoCellAnchor>
  <xdr:twoCellAnchor editAs="oneCell">
    <xdr:from>
      <xdr:col>1</xdr:col>
      <xdr:colOff>11927</xdr:colOff>
      <xdr:row>1</xdr:row>
      <xdr:rowOff>71550</xdr:rowOff>
    </xdr:from>
    <xdr:to>
      <xdr:col>2</xdr:col>
      <xdr:colOff>2179932</xdr:colOff>
      <xdr:row>3</xdr:row>
      <xdr:rowOff>25369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5781DDF4-0ED0-4D3E-A0CE-095F6BEF0A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92902" y="433500"/>
          <a:ext cx="2291678" cy="677719"/>
        </a:xfrm>
        <a:prstGeom prst="rect">
          <a:avLst/>
        </a:prstGeom>
      </xdr:spPr>
    </xdr:pic>
    <xdr:clientData/>
  </xdr:twoCellAnchor>
  <xdr:twoCellAnchor>
    <xdr:from>
      <xdr:col>19</xdr:col>
      <xdr:colOff>231321</xdr:colOff>
      <xdr:row>30</xdr:row>
      <xdr:rowOff>176893</xdr:rowOff>
    </xdr:from>
    <xdr:to>
      <xdr:col>27</xdr:col>
      <xdr:colOff>403227</xdr:colOff>
      <xdr:row>57</xdr:row>
      <xdr:rowOff>50952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B46D4E49-F419-4A92-8C69-6F5E4715D97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18</xdr:col>
      <xdr:colOff>585107</xdr:colOff>
      <xdr:row>4</xdr:row>
      <xdr:rowOff>108857</xdr:rowOff>
    </xdr:from>
    <xdr:to>
      <xdr:col>27</xdr:col>
      <xdr:colOff>585108</xdr:colOff>
      <xdr:row>30</xdr:row>
      <xdr:rowOff>54428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F8D3D946-D4C6-4567-8024-B22CA717ACF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6</xdr:col>
      <xdr:colOff>108858</xdr:colOff>
      <xdr:row>31</xdr:row>
      <xdr:rowOff>95250</xdr:rowOff>
    </xdr:from>
    <xdr:to>
      <xdr:col>19</xdr:col>
      <xdr:colOff>22679</xdr:colOff>
      <xdr:row>57</xdr:row>
      <xdr:rowOff>95250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35385D20-CC1B-45BE-AF50-21C5F05CB5B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5</xdr:col>
      <xdr:colOff>555774</xdr:colOff>
      <xdr:row>5</xdr:row>
      <xdr:rowOff>111275</xdr:rowOff>
    </xdr:from>
    <xdr:to>
      <xdr:col>19</xdr:col>
      <xdr:colOff>54428</xdr:colOff>
      <xdr:row>31</xdr:row>
      <xdr:rowOff>47474</xdr:rowOff>
    </xdr:to>
    <xdr:graphicFrame macro="">
      <xdr:nvGraphicFramePr>
        <xdr:cNvPr id="9" name="Chart 8">
          <a:extLst>
            <a:ext uri="{FF2B5EF4-FFF2-40B4-BE49-F238E27FC236}">
              <a16:creationId xmlns:a16="http://schemas.microsoft.com/office/drawing/2014/main" id="{964FE6C6-2C9B-4994-BE29-977BE538891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804332</xdr:colOff>
      <xdr:row>17</xdr:row>
      <xdr:rowOff>20107</xdr:rowOff>
    </xdr:from>
    <xdr:to>
      <xdr:col>7</xdr:col>
      <xdr:colOff>645584</xdr:colOff>
      <xdr:row>40</xdr:row>
      <xdr:rowOff>84666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A14212A5-2CB4-D850-D36E-A1865712C5F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888997</xdr:colOff>
      <xdr:row>56</xdr:row>
      <xdr:rowOff>136524</xdr:rowOff>
    </xdr:from>
    <xdr:to>
      <xdr:col>7</xdr:col>
      <xdr:colOff>1523998</xdr:colOff>
      <xdr:row>81</xdr:row>
      <xdr:rowOff>63500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6896892B-7DB6-902A-3F7B-E4F7F3A7FC7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</xdr:col>
      <xdr:colOff>84668</xdr:colOff>
      <xdr:row>102</xdr:row>
      <xdr:rowOff>169335</xdr:rowOff>
    </xdr:from>
    <xdr:to>
      <xdr:col>8</xdr:col>
      <xdr:colOff>666752</xdr:colOff>
      <xdr:row>125</xdr:row>
      <xdr:rowOff>169335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01CC2C3F-45FF-9B7C-27A0-BE70172DFB2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4</xdr:col>
      <xdr:colOff>116416</xdr:colOff>
      <xdr:row>153</xdr:row>
      <xdr:rowOff>136522</xdr:rowOff>
    </xdr:from>
    <xdr:to>
      <xdr:col>8</xdr:col>
      <xdr:colOff>190500</xdr:colOff>
      <xdr:row>175</xdr:row>
      <xdr:rowOff>52916</xdr:rowOff>
    </xdr:to>
    <xdr:graphicFrame macro="">
      <xdr:nvGraphicFramePr>
        <xdr:cNvPr id="9" name="Chart 8">
          <a:extLst>
            <a:ext uri="{FF2B5EF4-FFF2-40B4-BE49-F238E27FC236}">
              <a16:creationId xmlns:a16="http://schemas.microsoft.com/office/drawing/2014/main" id="{BCD075F1-3B62-AC40-4CEE-57CFF25E4D2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0E2841"/>
    </a:dk2>
    <a:lt2>
      <a:srgbClr val="E8E8E8"/>
    </a:lt2>
    <a:accent1>
      <a:srgbClr val="156082"/>
    </a:accent1>
    <a:accent2>
      <a:srgbClr val="E97132"/>
    </a:accent2>
    <a:accent3>
      <a:srgbClr val="196B24"/>
    </a:accent3>
    <a:accent4>
      <a:srgbClr val="0F9ED5"/>
    </a:accent4>
    <a:accent5>
      <a:srgbClr val="A02B93"/>
    </a:accent5>
    <a:accent6>
      <a:srgbClr val="4EA72E"/>
    </a:accent6>
    <a:hlink>
      <a:srgbClr val="467886"/>
    </a:hlink>
    <a:folHlink>
      <a:srgbClr val="96607D"/>
    </a:folHlink>
  </a:clrScheme>
  <a:fontScheme name="Office">
    <a:majorFont>
      <a:latin typeface="Aptos Display" panose="0211000402020202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Aptos Narrow" panose="0211000402020202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  <a:ln w="2540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0E2841"/>
    </a:dk2>
    <a:lt2>
      <a:srgbClr val="E8E8E8"/>
    </a:lt2>
    <a:accent1>
      <a:srgbClr val="156082"/>
    </a:accent1>
    <a:accent2>
      <a:srgbClr val="E97132"/>
    </a:accent2>
    <a:accent3>
      <a:srgbClr val="196B24"/>
    </a:accent3>
    <a:accent4>
      <a:srgbClr val="0F9ED5"/>
    </a:accent4>
    <a:accent5>
      <a:srgbClr val="A02B93"/>
    </a:accent5>
    <a:accent6>
      <a:srgbClr val="4EA72E"/>
    </a:accent6>
    <a:hlink>
      <a:srgbClr val="467886"/>
    </a:hlink>
    <a:folHlink>
      <a:srgbClr val="96607D"/>
    </a:folHlink>
  </a:clrScheme>
  <a:fontScheme name="Office">
    <a:majorFont>
      <a:latin typeface="Aptos Display" panose="0211000402020202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Aptos Narrow" panose="0211000402020202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  <a:ln w="2540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0E2841"/>
    </a:dk2>
    <a:lt2>
      <a:srgbClr val="E8E8E8"/>
    </a:lt2>
    <a:accent1>
      <a:srgbClr val="156082"/>
    </a:accent1>
    <a:accent2>
      <a:srgbClr val="E97132"/>
    </a:accent2>
    <a:accent3>
      <a:srgbClr val="196B24"/>
    </a:accent3>
    <a:accent4>
      <a:srgbClr val="0F9ED5"/>
    </a:accent4>
    <a:accent5>
      <a:srgbClr val="A02B93"/>
    </a:accent5>
    <a:accent6>
      <a:srgbClr val="4EA72E"/>
    </a:accent6>
    <a:hlink>
      <a:srgbClr val="467886"/>
    </a:hlink>
    <a:folHlink>
      <a:srgbClr val="96607D"/>
    </a:folHlink>
  </a:clrScheme>
  <a:fontScheme name="Office">
    <a:majorFont>
      <a:latin typeface="Aptos Display" panose="0211000402020202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Aptos Narrow" panose="0211000402020202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  <a:ln w="2540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0E2841"/>
    </a:dk2>
    <a:lt2>
      <a:srgbClr val="E8E8E8"/>
    </a:lt2>
    <a:accent1>
      <a:srgbClr val="156082"/>
    </a:accent1>
    <a:accent2>
      <a:srgbClr val="E97132"/>
    </a:accent2>
    <a:accent3>
      <a:srgbClr val="196B24"/>
    </a:accent3>
    <a:accent4>
      <a:srgbClr val="0F9ED5"/>
    </a:accent4>
    <a:accent5>
      <a:srgbClr val="A02B93"/>
    </a:accent5>
    <a:accent6>
      <a:srgbClr val="4EA72E"/>
    </a:accent6>
    <a:hlink>
      <a:srgbClr val="467886"/>
    </a:hlink>
    <a:folHlink>
      <a:srgbClr val="96607D"/>
    </a:folHlink>
  </a:clrScheme>
  <a:fontScheme name="Office">
    <a:majorFont>
      <a:latin typeface="Aptos Display" panose="0211000402020202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Aptos Narrow" panose="0211000402020202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  <a:ln w="2540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0E2841"/>
    </a:dk2>
    <a:lt2>
      <a:srgbClr val="E8E8E8"/>
    </a:lt2>
    <a:accent1>
      <a:srgbClr val="156082"/>
    </a:accent1>
    <a:accent2>
      <a:srgbClr val="E97132"/>
    </a:accent2>
    <a:accent3>
      <a:srgbClr val="196B24"/>
    </a:accent3>
    <a:accent4>
      <a:srgbClr val="0F9ED5"/>
    </a:accent4>
    <a:accent5>
      <a:srgbClr val="A02B93"/>
    </a:accent5>
    <a:accent6>
      <a:srgbClr val="4EA72E"/>
    </a:accent6>
    <a:hlink>
      <a:srgbClr val="467886"/>
    </a:hlink>
    <a:folHlink>
      <a:srgbClr val="96607D"/>
    </a:folHlink>
  </a:clrScheme>
  <a:fontScheme name="Office">
    <a:majorFont>
      <a:latin typeface="Aptos Display" panose="0211000402020202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Aptos Narrow" panose="0211000402020202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  <a:ln w="2540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0E2841"/>
    </a:dk2>
    <a:lt2>
      <a:srgbClr val="E8E8E8"/>
    </a:lt2>
    <a:accent1>
      <a:srgbClr val="156082"/>
    </a:accent1>
    <a:accent2>
      <a:srgbClr val="E97132"/>
    </a:accent2>
    <a:accent3>
      <a:srgbClr val="196B24"/>
    </a:accent3>
    <a:accent4>
      <a:srgbClr val="0F9ED5"/>
    </a:accent4>
    <a:accent5>
      <a:srgbClr val="A02B93"/>
    </a:accent5>
    <a:accent6>
      <a:srgbClr val="4EA72E"/>
    </a:accent6>
    <a:hlink>
      <a:srgbClr val="467886"/>
    </a:hlink>
    <a:folHlink>
      <a:srgbClr val="96607D"/>
    </a:folHlink>
  </a:clrScheme>
  <a:fontScheme name="Office">
    <a:majorFont>
      <a:latin typeface="Aptos Display" panose="0211000402020202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Aptos Narrow" panose="0211000402020202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  <a:ln w="2540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E53F52-0158-46D2-BC32-304DDD318EF1}">
  <dimension ref="A3:H32"/>
  <sheetViews>
    <sheetView zoomScale="110" zoomScaleNormal="110" workbookViewId="0">
      <selection activeCell="B3" sqref="B3"/>
    </sheetView>
  </sheetViews>
  <sheetFormatPr defaultRowHeight="13.8" x14ac:dyDescent="0.3"/>
  <cols>
    <col min="2" max="2" width="13.88671875" customWidth="1"/>
    <col min="3" max="3" width="50.109375" customWidth="1"/>
  </cols>
  <sheetData>
    <row r="3" spans="1:8" x14ac:dyDescent="0.3">
      <c r="B3" s="70" t="s">
        <v>1130</v>
      </c>
    </row>
    <row r="5" spans="1:8" x14ac:dyDescent="0.3">
      <c r="B5" s="1175" t="s">
        <v>1131</v>
      </c>
      <c r="C5" s="1175" t="s">
        <v>1132</v>
      </c>
      <c r="D5" s="1175" t="s">
        <v>1132</v>
      </c>
      <c r="E5" s="1175"/>
      <c r="F5" s="1175"/>
      <c r="G5" s="1175"/>
      <c r="H5" s="1175"/>
    </row>
    <row r="7" spans="1:8" x14ac:dyDescent="0.3">
      <c r="A7">
        <f xml:space="preserve"> MAX(A$5:A6) + 1</f>
        <v>1</v>
      </c>
      <c r="B7" s="1048" t="str">
        <f ca="1" xml:space="preserve"> COMMUS_Model!A1</f>
        <v>COMMUS_Model</v>
      </c>
      <c r="C7" s="1048" t="str">
        <f xml:space="preserve"> COMMUS_Model!E1208</f>
        <v>Government share: excluding payroll &amp; indirect taxes</v>
      </c>
      <c r="E7" t="s">
        <v>1133</v>
      </c>
    </row>
    <row r="9" spans="1:8" x14ac:dyDescent="0.3">
      <c r="A9">
        <f xml:space="preserve"> MAX(A$5:A8) + 1</f>
        <v>2</v>
      </c>
      <c r="B9" s="1048" t="str">
        <f ca="1" xml:space="preserve"> Charts!A1</f>
        <v>Charts</v>
      </c>
      <c r="E9" t="s">
        <v>1156</v>
      </c>
    </row>
    <row r="10" spans="1:8" x14ac:dyDescent="0.3">
      <c r="E10" t="s">
        <v>1134</v>
      </c>
    </row>
    <row r="12" spans="1:8" x14ac:dyDescent="0.3">
      <c r="A12">
        <f xml:space="preserve"> MAX(A$5:A11) + 1</f>
        <v>3</v>
      </c>
      <c r="B12" s="1048" t="str">
        <f xml:space="preserve"> COMMUS_Model!E18</f>
        <v>2025 onwards flag</v>
      </c>
      <c r="E12" t="s">
        <v>1136</v>
      </c>
    </row>
    <row r="13" spans="1:8" x14ac:dyDescent="0.3">
      <c r="B13" s="1048"/>
      <c r="E13" t="s">
        <v>1142</v>
      </c>
    </row>
    <row r="14" spans="1:8" x14ac:dyDescent="0.3">
      <c r="B14" s="1048"/>
    </row>
    <row r="15" spans="1:8" x14ac:dyDescent="0.3">
      <c r="A15">
        <f xml:space="preserve"> MAX(A$5:A14) + 1</f>
        <v>4</v>
      </c>
      <c r="B15" s="1048" t="str">
        <f ca="1" xml:space="preserve"> COMMUS_Model!A1</f>
        <v>COMMUS_Model</v>
      </c>
      <c r="C15" s="1048" t="str">
        <f xml:space="preserve"> COMMUS_Model!E222</f>
        <v>Copper sulfide concentrates price ratio future</v>
      </c>
      <c r="E15" t="s">
        <v>1137</v>
      </c>
    </row>
    <row r="16" spans="1:8" x14ac:dyDescent="0.3">
      <c r="E16" t="s">
        <v>1138</v>
      </c>
    </row>
    <row r="18" spans="1:5" x14ac:dyDescent="0.3">
      <c r="A18">
        <f xml:space="preserve"> MAX(A$5:A17) + 1</f>
        <v>5</v>
      </c>
      <c r="B18" s="1048" t="str">
        <f ca="1" xml:space="preserve"> COMMUS_Model!$A$1</f>
        <v>COMMUS_Model</v>
      </c>
      <c r="C18" s="1048" t="str">
        <f xml:space="preserve"> COMMUS_Model!E191</f>
        <v>Other copper to copper benchmark ratio</v>
      </c>
      <c r="E18" t="s">
        <v>1141</v>
      </c>
    </row>
    <row r="20" spans="1:5" x14ac:dyDescent="0.3">
      <c r="A20">
        <f xml:space="preserve"> MAX(A$5:A19) + 1</f>
        <v>6</v>
      </c>
      <c r="B20" s="1048" t="str">
        <f xml:space="preserve"> COMMUS_Model!F486</f>
        <v>Alternative</v>
      </c>
      <c r="E20" t="s">
        <v>1146</v>
      </c>
    </row>
    <row r="21" spans="1:5" x14ac:dyDescent="0.3">
      <c r="E21" t="s">
        <v>1147</v>
      </c>
    </row>
    <row r="23" spans="1:5" x14ac:dyDescent="0.3">
      <c r="A23">
        <f xml:space="preserve"> MAX(A$5:A22) + 1</f>
        <v>7</v>
      </c>
      <c r="B23" s="1048" t="str">
        <f ca="1" xml:space="preserve"> COMMUS_Model!$A$1</f>
        <v>COMMUS_Model</v>
      </c>
      <c r="C23" s="1048" t="str">
        <f xml:space="preserve"> 'T&amp;E'!E43</f>
        <v>Cost inflation from 2022</v>
      </c>
      <c r="E23" t="s">
        <v>1151</v>
      </c>
    </row>
    <row r="24" spans="1:5" x14ac:dyDescent="0.3">
      <c r="E24" t="s">
        <v>1152</v>
      </c>
    </row>
    <row r="25" spans="1:5" x14ac:dyDescent="0.3">
      <c r="E25" t="s">
        <v>1153</v>
      </c>
    </row>
    <row r="27" spans="1:5" x14ac:dyDescent="0.3">
      <c r="A27">
        <f xml:space="preserve"> MAX(A$5:A26) + 1</f>
        <v>8</v>
      </c>
      <c r="B27" s="1048" t="str">
        <f xml:space="preserve"> COMMUS_Model!E1197</f>
        <v>PARTICIPANT CASHFLOWS</v>
      </c>
      <c r="C27" s="1048"/>
      <c r="E27" t="s">
        <v>1154</v>
      </c>
    </row>
    <row r="29" spans="1:5" x14ac:dyDescent="0.3">
      <c r="A29">
        <f xml:space="preserve"> MAX(A$5:A28) + 1</f>
        <v>9</v>
      </c>
      <c r="B29" s="1048" t="str">
        <f>Scenarios!B28</f>
        <v>Production case: FS or original</v>
      </c>
      <c r="E29" t="s">
        <v>1155</v>
      </c>
    </row>
    <row r="30" spans="1:5" x14ac:dyDescent="0.3">
      <c r="B30" s="1048" t="str">
        <f>Scenarios!B29</f>
        <v>Operating costs: FS or original</v>
      </c>
    </row>
    <row r="31" spans="1:5" x14ac:dyDescent="0.3">
      <c r="B31" s="1048" t="str">
        <f>Scenarios!B30</f>
        <v>Capital costs: FS or original</v>
      </c>
    </row>
    <row r="32" spans="1:5" x14ac:dyDescent="0.3">
      <c r="B32" s="1048" t="str">
        <f>Scenarios!B31</f>
        <v>Depreciation: calculated or per FS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97E075-5A84-4A9D-83E4-D9C53AB84C7C}">
  <sheetPr codeName="Sheet1">
    <tabColor theme="4" tint="0.59999389629810485"/>
  </sheetPr>
  <dimension ref="A1:BL89"/>
  <sheetViews>
    <sheetView zoomScale="90" zoomScaleNormal="90" workbookViewId="0">
      <pane xSplit="11" ySplit="4" topLeftCell="L5" activePane="bottomRight" state="frozen"/>
      <selection pane="topRight" activeCell="K1" sqref="K1"/>
      <selection pane="bottomLeft" activeCell="A5" sqref="A5"/>
      <selection pane="bottomRight" activeCell="F3" sqref="F3"/>
    </sheetView>
  </sheetViews>
  <sheetFormatPr defaultColWidth="0" defaultRowHeight="15" customHeight="1" x14ac:dyDescent="0.3"/>
  <cols>
    <col min="1" max="2" width="1.33203125" style="446" customWidth="1"/>
    <col min="3" max="3" width="1.33203125" style="447" customWidth="1"/>
    <col min="4" max="4" width="1.33203125" style="448" customWidth="1"/>
    <col min="5" max="5" width="50.6640625" style="448" customWidth="1"/>
    <col min="6" max="6" width="12.6640625" style="448" customWidth="1"/>
    <col min="7" max="7" width="20.6640625" style="448" customWidth="1"/>
    <col min="8" max="8" width="5" style="448" customWidth="1"/>
    <col min="9" max="9" width="9.44140625" style="5" customWidth="1"/>
    <col min="10" max="10" width="12.6640625" style="448" customWidth="1" collapsed="1"/>
    <col min="11" max="11" width="1.6640625" style="450" customWidth="1"/>
    <col min="12" max="12" width="3.44140625" style="578" customWidth="1"/>
    <col min="13" max="14" width="13.6640625" style="745" customWidth="1"/>
    <col min="15" max="15" width="13.44140625" style="448" customWidth="1"/>
    <col min="16" max="16" width="3.109375" style="578" customWidth="1"/>
    <col min="17" max="50" width="10.6640625" style="448" customWidth="1"/>
    <col min="51" max="59" width="11.6640625" style="448" hidden="1" customWidth="1"/>
    <col min="60" max="61" width="0" style="448" hidden="1" customWidth="1"/>
    <col min="62" max="62" width="11.6640625" style="448" hidden="1" customWidth="1"/>
    <col min="63" max="64" width="0" style="448" hidden="1" customWidth="1"/>
    <col min="65" max="16384" width="14.44140625" style="448" hidden="1"/>
  </cols>
  <sheetData>
    <row r="1" spans="1:50" ht="26.25" customHeight="1" x14ac:dyDescent="0.3">
      <c r="A1" s="445" t="str">
        <f ca="1" xml:space="preserve"> RIGHT(CELL("filename", $A$3), LEN(CELL("filename", $A$3)) - SEARCH("]", CELL("filename", $A$3)))</f>
        <v>Track</v>
      </c>
      <c r="F1" s="449"/>
    </row>
    <row r="2" spans="1:50" s="584" customFormat="1" ht="15" customHeight="1" x14ac:dyDescent="0.3">
      <c r="A2" s="582"/>
      <c r="B2" s="582"/>
      <c r="C2" s="583"/>
      <c r="F2" s="442">
        <f xml:space="preserve"> Track!$F$80</f>
        <v>0</v>
      </c>
      <c r="G2" s="7" t="s">
        <v>0</v>
      </c>
      <c r="H2" s="884"/>
      <c r="I2" s="431"/>
      <c r="K2" s="587"/>
      <c r="L2" s="588"/>
      <c r="M2" s="776"/>
      <c r="N2" s="776"/>
      <c r="O2" s="589"/>
      <c r="P2" s="588"/>
      <c r="Q2" s="589"/>
      <c r="R2" s="589"/>
      <c r="S2" s="589"/>
      <c r="T2" s="589"/>
      <c r="U2" s="589"/>
      <c r="V2" s="589"/>
      <c r="W2" s="589"/>
      <c r="X2" s="589"/>
      <c r="Y2" s="589"/>
      <c r="Z2" s="589"/>
      <c r="AA2" s="589"/>
      <c r="AB2" s="589"/>
      <c r="AC2" s="589"/>
      <c r="AD2" s="589"/>
      <c r="AE2" s="589"/>
      <c r="AF2" s="589"/>
      <c r="AG2" s="589"/>
      <c r="AH2" s="589"/>
      <c r="AI2" s="589"/>
      <c r="AJ2" s="589"/>
      <c r="AK2" s="589"/>
      <c r="AL2" s="589"/>
      <c r="AM2" s="589"/>
      <c r="AN2" s="589"/>
      <c r="AO2" s="589"/>
      <c r="AP2" s="589"/>
      <c r="AQ2" s="589"/>
      <c r="AR2" s="589"/>
      <c r="AS2" s="589"/>
      <c r="AT2" s="589"/>
      <c r="AU2" s="589"/>
      <c r="AV2" s="589"/>
      <c r="AW2" s="589"/>
      <c r="AX2" s="589"/>
    </row>
    <row r="3" spans="1:50" s="584" customFormat="1" ht="15" customHeight="1" x14ac:dyDescent="0.3">
      <c r="A3" s="582"/>
      <c r="B3" s="582"/>
      <c r="C3" s="583"/>
      <c r="F3" s="1213">
        <f>SUM(I9:I78)</f>
        <v>0</v>
      </c>
      <c r="G3" s="1214" t="s">
        <v>1</v>
      </c>
      <c r="H3" s="586"/>
      <c r="I3" s="431"/>
      <c r="K3" s="587"/>
      <c r="L3" s="588"/>
      <c r="M3" s="776"/>
      <c r="N3" s="776"/>
      <c r="O3" s="589"/>
      <c r="P3" s="588"/>
      <c r="Q3" s="589"/>
      <c r="R3" s="589"/>
      <c r="S3" s="589"/>
      <c r="T3" s="589"/>
      <c r="U3" s="589"/>
      <c r="V3" s="589"/>
      <c r="W3" s="589"/>
      <c r="X3" s="589"/>
      <c r="Y3" s="589"/>
      <c r="Z3" s="589"/>
      <c r="AA3" s="589"/>
      <c r="AB3" s="589"/>
      <c r="AC3" s="589"/>
      <c r="AD3" s="589"/>
      <c r="AE3" s="589"/>
      <c r="AF3" s="589"/>
      <c r="AG3" s="589"/>
      <c r="AH3" s="589"/>
      <c r="AI3" s="589"/>
      <c r="AJ3" s="589"/>
      <c r="AK3" s="589"/>
      <c r="AL3" s="589"/>
      <c r="AM3" s="589"/>
      <c r="AN3" s="589"/>
      <c r="AO3" s="589"/>
      <c r="AP3" s="589"/>
      <c r="AQ3" s="589"/>
      <c r="AR3" s="589"/>
      <c r="AS3" s="589"/>
      <c r="AT3" s="589"/>
      <c r="AU3" s="589"/>
      <c r="AV3" s="589"/>
      <c r="AW3" s="589"/>
      <c r="AX3" s="589"/>
    </row>
    <row r="4" spans="1:50" ht="15" customHeight="1" x14ac:dyDescent="0.3">
      <c r="E4" s="577" t="s">
        <v>1149</v>
      </c>
      <c r="F4" s="590" t="s">
        <v>564</v>
      </c>
      <c r="G4" s="446"/>
      <c r="H4" s="446"/>
      <c r="I4" s="452"/>
      <c r="J4" s="13"/>
      <c r="L4" s="580"/>
      <c r="M4" s="775"/>
      <c r="N4" s="775"/>
      <c r="O4" s="581"/>
      <c r="P4" s="580"/>
      <c r="Q4" s="581"/>
      <c r="R4" s="581"/>
      <c r="S4" s="581"/>
      <c r="T4" s="581"/>
      <c r="U4" s="581"/>
      <c r="V4" s="581"/>
      <c r="W4" s="581"/>
      <c r="X4" s="581"/>
      <c r="Y4" s="581"/>
      <c r="Z4" s="581"/>
      <c r="AA4" s="581"/>
      <c r="AB4" s="581"/>
      <c r="AC4" s="581"/>
      <c r="AD4" s="581"/>
      <c r="AE4" s="581"/>
      <c r="AF4" s="581"/>
      <c r="AG4" s="581"/>
      <c r="AH4" s="581"/>
      <c r="AI4" s="581"/>
      <c r="AJ4" s="581"/>
      <c r="AK4" s="581"/>
      <c r="AL4" s="581"/>
      <c r="AM4" s="581"/>
      <c r="AN4" s="581"/>
      <c r="AO4" s="581"/>
      <c r="AP4" s="581"/>
      <c r="AQ4" s="581"/>
      <c r="AR4" s="581"/>
      <c r="AS4" s="581"/>
      <c r="AT4" s="581"/>
      <c r="AU4" s="581"/>
      <c r="AV4" s="581"/>
      <c r="AW4" s="581"/>
      <c r="AX4" s="581"/>
    </row>
    <row r="5" spans="1:50" ht="15" customHeight="1" x14ac:dyDescent="0.3">
      <c r="F5" s="451"/>
      <c r="G5" s="446"/>
      <c r="H5" s="446"/>
      <c r="I5" s="452">
        <f>MATCH(E4, L5:P5, 0)</f>
        <v>2</v>
      </c>
      <c r="J5" s="13" t="s">
        <v>565</v>
      </c>
      <c r="K5" s="453"/>
      <c r="M5" s="577" t="s">
        <v>1149</v>
      </c>
      <c r="N5" s="577" t="s">
        <v>1129</v>
      </c>
      <c r="O5" s="577" t="s">
        <v>563</v>
      </c>
    </row>
    <row r="6" spans="1:50" s="459" customFormat="1" ht="15" customHeight="1" collapsed="1" x14ac:dyDescent="0.3">
      <c r="A6" s="454" t="s">
        <v>566</v>
      </c>
      <c r="B6" s="455"/>
      <c r="C6" s="456"/>
      <c r="D6" s="457"/>
      <c r="E6" s="455"/>
      <c r="F6" s="455"/>
      <c r="G6" s="455"/>
      <c r="H6" s="455"/>
      <c r="I6" s="455"/>
      <c r="J6" s="455"/>
      <c r="K6" s="455"/>
      <c r="L6" s="591"/>
      <c r="M6" s="455"/>
      <c r="N6" s="455"/>
      <c r="O6" s="455"/>
      <c r="P6" s="591"/>
      <c r="Q6" s="455"/>
      <c r="R6" s="455"/>
      <c r="S6" s="455"/>
      <c r="T6" s="455"/>
      <c r="U6" s="455"/>
      <c r="V6" s="455"/>
      <c r="W6" s="455"/>
      <c r="X6" s="455"/>
      <c r="Y6" s="455"/>
      <c r="Z6" s="455"/>
      <c r="AA6" s="455"/>
      <c r="AB6" s="455"/>
      <c r="AC6" s="455"/>
      <c r="AD6" s="455"/>
      <c r="AE6" s="455"/>
      <c r="AF6" s="455"/>
      <c r="AG6" s="455"/>
      <c r="AH6" s="455"/>
      <c r="AI6" s="455"/>
      <c r="AJ6" s="455"/>
      <c r="AK6" s="455"/>
      <c r="AL6" s="455"/>
      <c r="AM6" s="455"/>
      <c r="AN6" s="455"/>
      <c r="AO6" s="455"/>
      <c r="AP6" s="455"/>
      <c r="AQ6" s="455"/>
      <c r="AR6" s="455"/>
      <c r="AS6" s="455"/>
      <c r="AT6" s="455"/>
      <c r="AU6" s="455"/>
      <c r="AV6" s="455"/>
      <c r="AW6" s="455"/>
      <c r="AX6" s="455"/>
    </row>
    <row r="7" spans="1:50" ht="15" customHeight="1" x14ac:dyDescent="0.3">
      <c r="F7" s="451"/>
      <c r="G7" s="446"/>
      <c r="H7" s="446"/>
      <c r="I7" s="452"/>
      <c r="J7" s="13"/>
      <c r="K7" s="453"/>
    </row>
    <row r="8" spans="1:50" ht="15" customHeight="1" x14ac:dyDescent="0.3">
      <c r="B8" s="446" t="s">
        <v>567</v>
      </c>
      <c r="F8" s="451"/>
      <c r="G8" s="446"/>
      <c r="H8" s="446"/>
      <c r="I8" s="452"/>
      <c r="J8" s="13"/>
      <c r="K8" s="453"/>
    </row>
    <row r="9" spans="1:50" ht="15" customHeight="1" x14ac:dyDescent="0.3">
      <c r="E9" s="592" t="str">
        <f>Inputs_Con!E40</f>
        <v>Copper forecast price</v>
      </c>
      <c r="F9" s="592" t="str">
        <f>Inputs_Con!F40</f>
        <v>IMF_WEO</v>
      </c>
      <c r="G9" s="592" t="str">
        <f>Inputs_Con!G40</f>
        <v>option selected</v>
      </c>
      <c r="H9" s="446"/>
      <c r="I9" s="585">
        <f xml:space="preserve"> IF(ABS(J9) &gt; CHK_TOL, 1, 0)</f>
        <v>0</v>
      </c>
      <c r="J9" s="595">
        <f xml:space="preserve"> IF(F9=INDEX(L9:O9, $I$5), 0, 1)</f>
        <v>0</v>
      </c>
      <c r="K9" s="453"/>
      <c r="M9" s="745" t="s">
        <v>500</v>
      </c>
      <c r="N9" s="745" t="s">
        <v>500</v>
      </c>
      <c r="O9" s="593" t="s">
        <v>500</v>
      </c>
      <c r="R9" s="1268" t="s">
        <v>568</v>
      </c>
      <c r="S9" s="1268"/>
      <c r="T9" s="1268"/>
      <c r="U9" s="1268"/>
      <c r="V9" s="1268"/>
      <c r="W9" s="1268"/>
      <c r="X9" s="1268"/>
      <c r="Y9" s="1268"/>
      <c r="Z9" s="1268"/>
      <c r="AA9" s="1268"/>
    </row>
    <row r="10" spans="1:50" ht="15" customHeight="1" x14ac:dyDescent="0.3">
      <c r="E10" s="592" t="str">
        <f>Inputs_Con!E41</f>
        <v>Cobalt forecast price</v>
      </c>
      <c r="F10" s="592" t="str">
        <f>Inputs_Con!F41</f>
        <v>IMF_WEO</v>
      </c>
      <c r="G10" s="592" t="str">
        <f>Inputs_Con!G41</f>
        <v>option selected</v>
      </c>
      <c r="H10" s="446"/>
      <c r="I10" s="585">
        <f t="shared" ref="I10:I21" si="0" xml:space="preserve"> IF(ABS(J10) &gt; CHK_TOL, 1, 0)</f>
        <v>0</v>
      </c>
      <c r="J10" s="595">
        <f xml:space="preserve"> IF(F10=INDEX(L10:O10, $I$5), 0, 1)</f>
        <v>0</v>
      </c>
      <c r="K10" s="453"/>
      <c r="M10" s="745" t="s">
        <v>500</v>
      </c>
      <c r="N10" s="745" t="s">
        <v>500</v>
      </c>
      <c r="O10" s="593" t="s">
        <v>500</v>
      </c>
      <c r="R10" s="1268"/>
      <c r="S10" s="1268"/>
      <c r="T10" s="1268"/>
      <c r="U10" s="1268"/>
      <c r="V10" s="1268"/>
      <c r="W10" s="1268"/>
      <c r="X10" s="1268"/>
      <c r="Y10" s="1268"/>
      <c r="Z10" s="1268"/>
      <c r="AA10" s="1268"/>
    </row>
    <row r="11" spans="1:50" ht="15" customHeight="1" x14ac:dyDescent="0.3">
      <c r="E11" s="592" t="str">
        <f>Inputs_Con!E42</f>
        <v>Cu realized price method</v>
      </c>
      <c r="F11" s="592" t="str">
        <f>Inputs_Con!F42</f>
        <v>SOM_Contract</v>
      </c>
      <c r="G11" s="592" t="str">
        <f>Inputs_Con!G42</f>
        <v>selected</v>
      </c>
      <c r="H11" s="446"/>
      <c r="I11" s="585">
        <f t="shared" si="0"/>
        <v>0</v>
      </c>
      <c r="J11" s="595">
        <f xml:space="preserve"> IF(F11=INDEX(L11:O11, $I$5), 0, 1)</f>
        <v>0</v>
      </c>
      <c r="K11" s="453"/>
      <c r="M11" s="745" t="s">
        <v>299</v>
      </c>
      <c r="N11" s="745" t="s">
        <v>299</v>
      </c>
      <c r="O11" s="593" t="s">
        <v>625</v>
      </c>
      <c r="R11" s="1268"/>
      <c r="S11" s="1268"/>
      <c r="T11" s="1268"/>
      <c r="U11" s="1268"/>
      <c r="V11" s="1268"/>
      <c r="W11" s="1268"/>
      <c r="X11" s="1268"/>
      <c r="Y11" s="1268"/>
      <c r="Z11" s="1268"/>
      <c r="AA11" s="1268"/>
    </row>
    <row r="12" spans="1:50" ht="15" customHeight="1" x14ac:dyDescent="0.3">
      <c r="E12" s="594" t="str">
        <f>Inputs_Con!E43</f>
        <v>Copper: Realised Price vs LME for "LMEAssumed"</v>
      </c>
      <c r="F12" s="594">
        <f>Inputs_Con!F43</f>
        <v>0.95</v>
      </c>
      <c r="G12" s="594" t="str">
        <f>Inputs_Con!G43</f>
        <v>%</v>
      </c>
      <c r="H12" s="446"/>
      <c r="I12" s="585">
        <f t="shared" si="0"/>
        <v>0</v>
      </c>
      <c r="J12" s="595">
        <f xml:space="preserve"> IF(OR(ISTEXT(F12), ISTEXT(INDEX(L12:O12, $I$5))), 0, F12 - INDEX(L12:O12, $I$5))</f>
        <v>0</v>
      </c>
      <c r="K12" s="453"/>
      <c r="M12" s="745">
        <v>0.95</v>
      </c>
      <c r="N12" s="745">
        <v>0.95</v>
      </c>
      <c r="O12" s="596">
        <v>0.95</v>
      </c>
      <c r="R12" s="1266"/>
      <c r="S12" s="1266"/>
      <c r="T12" s="1266"/>
      <c r="U12" s="1266"/>
      <c r="V12" s="1266"/>
      <c r="W12" s="1266"/>
      <c r="X12" s="1266"/>
      <c r="Y12" s="1266"/>
      <c r="Z12" s="1266"/>
      <c r="AA12" s="1266"/>
    </row>
    <row r="13" spans="1:50" ht="15" customHeight="1" x14ac:dyDescent="0.3">
      <c r="E13" s="592" t="str">
        <f>Inputs_Con!E44</f>
        <v>Co realized price method</v>
      </c>
      <c r="F13" s="592" t="str">
        <f>Inputs_Con!F44</f>
        <v>SOM_Contract</v>
      </c>
      <c r="G13" s="592" t="str">
        <f>Inputs_Con!G44</f>
        <v>selected</v>
      </c>
      <c r="H13" s="446"/>
      <c r="I13" s="585">
        <f t="shared" si="0"/>
        <v>0</v>
      </c>
      <c r="J13" s="595">
        <f xml:space="preserve"> IF(F13=INDEX(L13:O13, $I$5), 0, 1)</f>
        <v>0</v>
      </c>
      <c r="K13" s="453"/>
      <c r="M13" s="745" t="s">
        <v>299</v>
      </c>
      <c r="N13" s="745" t="s">
        <v>299</v>
      </c>
      <c r="O13" s="593" t="s">
        <v>625</v>
      </c>
      <c r="R13" s="1266" t="s">
        <v>569</v>
      </c>
      <c r="S13" s="1266"/>
      <c r="T13" s="1266"/>
      <c r="U13" s="1266"/>
      <c r="V13" s="1266"/>
      <c r="W13" s="1266"/>
      <c r="X13" s="1266"/>
      <c r="Y13" s="1266"/>
      <c r="Z13" s="1266"/>
      <c r="AA13" s="1266"/>
    </row>
    <row r="14" spans="1:50" ht="15" customHeight="1" x14ac:dyDescent="0.3">
      <c r="E14" s="594" t="str">
        <f>Inputs_Con!E45</f>
        <v>Cobalt: Realised Price vs LME for "LMEAssumed"</v>
      </c>
      <c r="F14" s="594">
        <f>Inputs_Con!F45</f>
        <v>0.9</v>
      </c>
      <c r="G14" s="594" t="str">
        <f>Inputs_Con!G45</f>
        <v>%</v>
      </c>
      <c r="H14" s="446"/>
      <c r="I14" s="585">
        <f t="shared" si="0"/>
        <v>0</v>
      </c>
      <c r="J14" s="595">
        <f t="shared" ref="J14:J21" si="1" xml:space="preserve"> IF(OR(ISTEXT(F14), ISTEXT(INDEX(L14:O14, $I$5))), 0, F14 - INDEX(L14:O14, $I$5))</f>
        <v>0</v>
      </c>
      <c r="K14" s="453"/>
      <c r="M14" s="745">
        <v>0.9</v>
      </c>
      <c r="N14" s="745">
        <v>0.9</v>
      </c>
      <c r="O14" s="596">
        <v>0.9</v>
      </c>
      <c r="R14" s="1266" t="s">
        <v>570</v>
      </c>
      <c r="S14" s="1266"/>
      <c r="T14" s="1266"/>
      <c r="U14" s="1266"/>
      <c r="V14" s="1266"/>
      <c r="W14" s="1266"/>
      <c r="X14" s="1266"/>
      <c r="Y14" s="1266"/>
      <c r="Z14" s="1266"/>
      <c r="AA14" s="1266"/>
    </row>
    <row r="15" spans="1:50" ht="15" customHeight="1" x14ac:dyDescent="0.3">
      <c r="E15" s="598" t="str">
        <f>Inputs_Con!E46</f>
        <v>Apply selling costs FS23</v>
      </c>
      <c r="F15" s="598" t="str">
        <f>Inputs_Con!F46</f>
        <v>no</v>
      </c>
      <c r="G15" s="598" t="str">
        <f>Inputs_Con!G46</f>
        <v>selected</v>
      </c>
      <c r="H15" s="446"/>
      <c r="I15" s="585">
        <f t="shared" si="0"/>
        <v>0</v>
      </c>
      <c r="J15" s="595">
        <f t="shared" si="1"/>
        <v>0</v>
      </c>
      <c r="K15" s="453"/>
      <c r="M15" s="745" t="s">
        <v>887</v>
      </c>
      <c r="N15" s="745" t="s">
        <v>887</v>
      </c>
      <c r="O15" s="596" t="s">
        <v>556</v>
      </c>
      <c r="R15" s="1266" t="s">
        <v>571</v>
      </c>
      <c r="S15" s="1266"/>
      <c r="T15" s="1266"/>
      <c r="U15" s="1266"/>
      <c r="V15" s="1266"/>
      <c r="W15" s="1266"/>
      <c r="X15" s="1266"/>
      <c r="Y15" s="1266"/>
      <c r="Z15" s="1266"/>
      <c r="AA15" s="1266"/>
    </row>
    <row r="16" spans="1:50" ht="15" customHeight="1" x14ac:dyDescent="0.3">
      <c r="E16" s="592" t="str">
        <f xml:space="preserve"> Scenarios!B$45</f>
        <v>Discount rate</v>
      </c>
      <c r="F16" s="937">
        <f xml:space="preserve"> Scenarios!C$45</f>
        <v>0.1</v>
      </c>
      <c r="G16" s="598" t="str">
        <f>Inputs_Con!G21</f>
        <v>%nominal</v>
      </c>
      <c r="H16" s="446"/>
      <c r="I16" s="585">
        <f t="shared" ref="I16" si="2" xml:space="preserve"> IF(ABS(J16) &gt; CHK_TOL, 1, 0)</f>
        <v>0</v>
      </c>
      <c r="J16" s="595">
        <f t="shared" ref="J16" si="3" xml:space="preserve"> IF(OR(ISTEXT(F16), ISTEXT(INDEX(L16:O16, $I$5))), 0, F16 - INDEX(L16:O16, $I$5))</f>
        <v>0</v>
      </c>
      <c r="K16" s="453"/>
      <c r="M16" s="745">
        <v>0.1</v>
      </c>
      <c r="N16" s="745">
        <v>0.1</v>
      </c>
      <c r="O16" s="596">
        <v>0.1</v>
      </c>
      <c r="R16" s="889"/>
      <c r="S16" s="889"/>
      <c r="T16" s="889"/>
      <c r="U16" s="889"/>
      <c r="V16" s="889"/>
      <c r="W16" s="889"/>
      <c r="X16" s="889"/>
      <c r="Y16" s="889"/>
      <c r="Z16" s="889"/>
      <c r="AA16" s="889"/>
    </row>
    <row r="17" spans="1:27" ht="15" customHeight="1" x14ac:dyDescent="0.3">
      <c r="E17" s="592" t="str">
        <f xml:space="preserve"> Inputs_Con!E$29</f>
        <v xml:space="preserve">Forecast / point forward year </v>
      </c>
      <c r="F17" s="599">
        <f xml:space="preserve"> Inputs_Con!F$29</f>
        <v>2025</v>
      </c>
      <c r="G17" s="592" t="str">
        <f xml:space="preserve"> Inputs_Con!G$29</f>
        <v>year</v>
      </c>
      <c r="H17" s="446"/>
      <c r="I17" s="585">
        <f t="shared" si="0"/>
        <v>0</v>
      </c>
      <c r="J17" s="595">
        <f t="shared" si="1"/>
        <v>0</v>
      </c>
      <c r="K17" s="453"/>
      <c r="M17" s="745">
        <v>2025</v>
      </c>
      <c r="N17" s="745">
        <v>2025</v>
      </c>
      <c r="O17" s="599">
        <v>2025</v>
      </c>
      <c r="R17" s="1266" t="s">
        <v>572</v>
      </c>
      <c r="S17" s="1266"/>
      <c r="T17" s="1266"/>
      <c r="U17" s="1266"/>
      <c r="V17" s="1266"/>
      <c r="W17" s="1266"/>
      <c r="X17" s="1266"/>
      <c r="Y17" s="1266"/>
      <c r="Z17" s="1266"/>
      <c r="AA17" s="1266"/>
    </row>
    <row r="18" spans="1:27" ht="15" customHeight="1" x14ac:dyDescent="0.3">
      <c r="E18" s="592" t="str">
        <f xml:space="preserve"> Inputs_Con!E$33</f>
        <v>Copper production sensitivity (forecast period)</v>
      </c>
      <c r="F18" s="596">
        <f xml:space="preserve"> Inputs_Con!F$33</f>
        <v>1</v>
      </c>
      <c r="G18" s="704" t="str">
        <f xml:space="preserve"> Inputs_Con!G$33</f>
        <v>%</v>
      </c>
      <c r="H18" s="446"/>
      <c r="I18" s="585">
        <f t="shared" si="0"/>
        <v>0</v>
      </c>
      <c r="J18" s="595">
        <f t="shared" si="1"/>
        <v>0</v>
      </c>
      <c r="K18" s="453"/>
      <c r="M18" s="745">
        <v>1</v>
      </c>
      <c r="N18" s="745">
        <v>1</v>
      </c>
      <c r="O18" s="596">
        <v>1</v>
      </c>
      <c r="R18" s="1266" t="s">
        <v>573</v>
      </c>
      <c r="S18" s="1266"/>
      <c r="T18" s="1266"/>
      <c r="U18" s="1266"/>
      <c r="V18" s="1266"/>
      <c r="W18" s="1266"/>
      <c r="X18" s="1266"/>
      <c r="Y18" s="1266"/>
      <c r="Z18" s="1266"/>
      <c r="AA18" s="1266"/>
    </row>
    <row r="19" spans="1:27" ht="15" customHeight="1" x14ac:dyDescent="0.3">
      <c r="E19" s="592" t="str">
        <f xml:space="preserve"> Inputs_Con!E$34</f>
        <v>Cobalt production sensitivity (forecast period)</v>
      </c>
      <c r="F19" s="596">
        <f xml:space="preserve"> Inputs_Con!F$34</f>
        <v>1</v>
      </c>
      <c r="G19" s="704" t="str">
        <f xml:space="preserve"> Inputs_Con!G$34</f>
        <v>%</v>
      </c>
      <c r="H19" s="446"/>
      <c r="I19" s="585">
        <f t="shared" si="0"/>
        <v>0</v>
      </c>
      <c r="J19" s="595">
        <f t="shared" si="1"/>
        <v>0</v>
      </c>
      <c r="K19" s="453"/>
      <c r="M19" s="745">
        <v>1</v>
      </c>
      <c r="N19" s="745">
        <v>1</v>
      </c>
      <c r="O19" s="596">
        <v>1</v>
      </c>
      <c r="R19" s="1266" t="s">
        <v>835</v>
      </c>
      <c r="S19" s="1266"/>
      <c r="T19" s="1266"/>
      <c r="U19" s="1266"/>
      <c r="V19" s="1266"/>
      <c r="W19" s="1266"/>
      <c r="X19" s="1266"/>
      <c r="Y19" s="1266"/>
      <c r="Z19" s="1266"/>
      <c r="AA19" s="1266"/>
    </row>
    <row r="20" spans="1:27" ht="15" customHeight="1" x14ac:dyDescent="0.3">
      <c r="E20" s="592" t="str">
        <f xml:space="preserve"> Inputs_Con!E$35</f>
        <v>Operating cost Sensitivity (forecast period)</v>
      </c>
      <c r="F20" s="596">
        <f xml:space="preserve"> Inputs_Con!F$35</f>
        <v>1</v>
      </c>
      <c r="G20" s="704" t="str">
        <f xml:space="preserve"> Inputs_Con!G$35</f>
        <v>%</v>
      </c>
      <c r="H20" s="446"/>
      <c r="I20" s="585">
        <f t="shared" si="0"/>
        <v>0</v>
      </c>
      <c r="J20" s="595">
        <f t="shared" si="1"/>
        <v>0</v>
      </c>
      <c r="K20" s="453"/>
      <c r="M20" s="745">
        <v>1</v>
      </c>
      <c r="N20" s="745">
        <v>1</v>
      </c>
      <c r="O20" s="596">
        <v>1</v>
      </c>
      <c r="R20" s="1267" t="s">
        <v>574</v>
      </c>
      <c r="S20" s="1267"/>
      <c r="T20" s="1267"/>
      <c r="U20" s="1267"/>
      <c r="V20" s="1267"/>
      <c r="W20" s="1267"/>
      <c r="X20" s="1267"/>
      <c r="Y20" s="1267"/>
      <c r="Z20" s="1267"/>
      <c r="AA20" s="1267"/>
    </row>
    <row r="21" spans="1:27" ht="15" customHeight="1" x14ac:dyDescent="0.3">
      <c r="E21" s="592" t="str">
        <f xml:space="preserve"> Inputs_Con!E$36</f>
        <v>Capital cost sensitivity (forecast period)</v>
      </c>
      <c r="F21" s="596">
        <f xml:space="preserve"> Inputs_Con!F$36</f>
        <v>1</v>
      </c>
      <c r="G21" s="704" t="str">
        <f xml:space="preserve"> Inputs_Con!G$36</f>
        <v>%</v>
      </c>
      <c r="H21" s="446"/>
      <c r="I21" s="585">
        <f t="shared" si="0"/>
        <v>0</v>
      </c>
      <c r="J21" s="595">
        <f t="shared" si="1"/>
        <v>0</v>
      </c>
      <c r="K21" s="453"/>
      <c r="M21" s="745">
        <v>1</v>
      </c>
      <c r="N21" s="745">
        <v>1</v>
      </c>
      <c r="O21" s="596">
        <v>1</v>
      </c>
      <c r="R21" s="1267"/>
      <c r="S21" s="1267"/>
      <c r="T21" s="1267"/>
      <c r="U21" s="1267"/>
      <c r="V21" s="1267"/>
      <c r="W21" s="1267"/>
      <c r="X21" s="1267"/>
      <c r="Y21" s="1267"/>
      <c r="Z21" s="1267"/>
      <c r="AA21" s="1267"/>
    </row>
    <row r="22" spans="1:27" ht="15" customHeight="1" x14ac:dyDescent="0.3">
      <c r="E22" s="592" t="str">
        <f xml:space="preserve"> Inputs_TS!E$122</f>
        <v>Cobalt Payable Rate applied in model</v>
      </c>
      <c r="F22" s="937">
        <f xml:space="preserve"> Inputs_TS!F$122</f>
        <v>0.7</v>
      </c>
      <c r="G22" s="594" t="str">
        <f xml:space="preserve"> Inputs_TS!G$122</f>
        <v>%</v>
      </c>
      <c r="H22" s="446"/>
      <c r="I22" s="585">
        <f t="shared" ref="I22:I23" si="4" xml:space="preserve"> IF(ABS(J22) &gt; CHK_TOL, 1, 0)</f>
        <v>0</v>
      </c>
      <c r="J22" s="595">
        <f t="shared" ref="J22:J23" si="5" xml:space="preserve"> IF(OR(ISTEXT(F22), ISTEXT(INDEX(L22:O22, $I$5))), 0, F22 - INDEX(L22:O22, $I$5))</f>
        <v>0</v>
      </c>
      <c r="K22" s="453"/>
      <c r="M22" s="745">
        <v>0.7</v>
      </c>
      <c r="N22" s="745">
        <v>0.7</v>
      </c>
      <c r="O22" s="596">
        <v>0.7</v>
      </c>
      <c r="R22" s="890"/>
      <c r="S22" s="890"/>
      <c r="T22" s="890"/>
      <c r="U22" s="890"/>
      <c r="V22" s="890"/>
      <c r="W22" s="890"/>
      <c r="X22" s="890"/>
      <c r="Y22" s="890"/>
      <c r="Z22" s="890"/>
      <c r="AA22" s="890"/>
    </row>
    <row r="23" spans="1:27" ht="15" customHeight="1" x14ac:dyDescent="0.3">
      <c r="E23" s="592" t="str">
        <f xml:space="preserve"> Inputs_TS!E$114</f>
        <v>Som contract: placeholder assumption of third party sales: Cu</v>
      </c>
      <c r="F23" s="937">
        <f xml:space="preserve"> Inputs_TS!F$114</f>
        <v>0.5</v>
      </c>
      <c r="G23" s="594" t="str">
        <f xml:space="preserve"> Inputs_TS!G$114</f>
        <v>%</v>
      </c>
      <c r="H23" s="446"/>
      <c r="I23" s="585">
        <f t="shared" si="4"/>
        <v>0</v>
      </c>
      <c r="J23" s="595">
        <f t="shared" si="5"/>
        <v>0</v>
      </c>
      <c r="K23" s="453"/>
      <c r="M23" s="745">
        <v>0.5</v>
      </c>
      <c r="N23" s="745">
        <v>0.5</v>
      </c>
      <c r="O23" s="596">
        <v>0.5</v>
      </c>
      <c r="R23" s="890"/>
      <c r="S23" s="890"/>
      <c r="T23" s="890"/>
      <c r="U23" s="890"/>
      <c r="V23" s="890"/>
      <c r="W23" s="890"/>
      <c r="X23" s="890"/>
      <c r="Y23" s="890"/>
      <c r="Z23" s="890"/>
      <c r="AA23" s="890"/>
    </row>
    <row r="24" spans="1:27" ht="15" customHeight="1" x14ac:dyDescent="0.3">
      <c r="E24" s="592"/>
      <c r="F24" s="600"/>
      <c r="G24" s="601"/>
      <c r="H24" s="446"/>
      <c r="I24" s="446"/>
      <c r="J24" s="595"/>
      <c r="K24" s="453"/>
      <c r="O24" s="600"/>
    </row>
    <row r="25" spans="1:27" s="725" customFormat="1" ht="15" customHeight="1" x14ac:dyDescent="0.3">
      <c r="A25" s="722"/>
      <c r="B25" s="723" t="str">
        <f xml:space="preserve"> Dashboard!C$19</f>
        <v>Project cashflows from: 2025</v>
      </c>
      <c r="C25" s="724"/>
      <c r="E25" s="726"/>
      <c r="F25" s="727"/>
      <c r="G25" s="723"/>
      <c r="H25" s="722"/>
      <c r="I25" s="722"/>
      <c r="J25" s="590"/>
      <c r="K25" s="728"/>
      <c r="L25" s="729"/>
      <c r="M25" s="758"/>
      <c r="N25" s="758"/>
      <c r="O25" s="727"/>
      <c r="P25" s="729"/>
    </row>
    <row r="26" spans="1:27" ht="15" customHeight="1" x14ac:dyDescent="0.3">
      <c r="E26" s="613" t="str">
        <f xml:space="preserve"> Dashboard!C$20</f>
        <v>Copper production incl Sens.</v>
      </c>
      <c r="F26" s="593">
        <f xml:space="preserve"> Dashboard!D$20</f>
        <v>770.03049999999996</v>
      </c>
      <c r="G26" s="597" t="str">
        <f xml:space="preserve"> Dashboard!E$20</f>
        <v>KT Cu</v>
      </c>
      <c r="H26" s="446"/>
      <c r="I26" s="585">
        <f t="shared" ref="I26:I35" si="6" xml:space="preserve"> IF(ABS(J26) &gt; CHK_TOL, 1, 0)</f>
        <v>0</v>
      </c>
      <c r="J26" s="595">
        <f t="shared" ref="J26:J35" si="7" xml:space="preserve"> IF(OR(ISTEXT(F26), ISTEXT(INDEX(L26:O26, $I$5))), 0, F26 - INDEX(L26:O26, $I$5))</f>
        <v>0</v>
      </c>
      <c r="K26" s="453"/>
      <c r="M26" s="745">
        <v>770.03049999999996</v>
      </c>
      <c r="N26" s="745">
        <v>770.03049999999996</v>
      </c>
      <c r="O26" s="593">
        <v>770.03049999999996</v>
      </c>
    </row>
    <row r="27" spans="1:27" ht="15" customHeight="1" x14ac:dyDescent="0.3">
      <c r="E27" s="597" t="str">
        <f xml:space="preserve"> Dashboard!C$21</f>
        <v>Cobalt production incl Sens.</v>
      </c>
      <c r="F27" s="593">
        <f xml:space="preserve"> Dashboard!D$21</f>
        <v>12.494162857142857</v>
      </c>
      <c r="G27" s="597" t="str">
        <f xml:space="preserve"> Dashboard!E$21</f>
        <v>KT Co</v>
      </c>
      <c r="H27" s="446"/>
      <c r="I27" s="585">
        <f t="shared" si="6"/>
        <v>0</v>
      </c>
      <c r="J27" s="595">
        <f t="shared" si="7"/>
        <v>0</v>
      </c>
      <c r="K27" s="453"/>
      <c r="M27" s="745">
        <v>12.494162857142857</v>
      </c>
      <c r="N27" s="745">
        <v>12.494162857142857</v>
      </c>
      <c r="O27" s="593">
        <v>12.494162857142857</v>
      </c>
    </row>
    <row r="28" spans="1:27" ht="15" customHeight="1" x14ac:dyDescent="0.3">
      <c r="E28" s="597" t="str">
        <f xml:space="preserve"> Dashboard!C$22</f>
        <v>Ratio Co to Cu production</v>
      </c>
      <c r="F28" s="602">
        <f xml:space="preserve"> Dashboard!D$22</f>
        <v>1.6225542828683874E-2</v>
      </c>
      <c r="G28" s="597" t="str">
        <f xml:space="preserve"> Dashboard!E$22</f>
        <v>ratio</v>
      </c>
      <c r="H28" s="446"/>
      <c r="I28" s="585">
        <f t="shared" si="6"/>
        <v>0</v>
      </c>
      <c r="J28" s="595">
        <f t="shared" si="7"/>
        <v>0</v>
      </c>
      <c r="K28" s="453"/>
      <c r="M28" s="745">
        <v>1.6225542828683874E-2</v>
      </c>
      <c r="N28" s="745">
        <v>1.6225542828683874E-2</v>
      </c>
      <c r="O28" s="602">
        <v>1.6225542828683874E-2</v>
      </c>
    </row>
    <row r="29" spans="1:27" ht="15" customHeight="1" x14ac:dyDescent="0.3">
      <c r="E29" s="597" t="str">
        <f xml:space="preserve"> Dashboard!C$23</f>
        <v>Copper net revenue</v>
      </c>
      <c r="F29" s="593">
        <f xml:space="preserve"> Dashboard!D$23</f>
        <v>6407.5023535756927</v>
      </c>
      <c r="G29" s="597" t="str">
        <f xml:space="preserve"> Dashboard!E$23</f>
        <v>$ mn</v>
      </c>
      <c r="H29" s="446"/>
      <c r="I29" s="585">
        <f t="shared" si="6"/>
        <v>0</v>
      </c>
      <c r="J29" s="595">
        <f t="shared" si="7"/>
        <v>0</v>
      </c>
      <c r="K29" s="453"/>
      <c r="M29" s="745">
        <v>6407.5023535756927</v>
      </c>
      <c r="N29" s="745">
        <v>6407.5023535756927</v>
      </c>
      <c r="O29" s="593">
        <v>5511.1985177369661</v>
      </c>
    </row>
    <row r="30" spans="1:27" ht="15" customHeight="1" x14ac:dyDescent="0.3">
      <c r="E30" s="597" t="str">
        <f xml:space="preserve"> Dashboard!C$24</f>
        <v>Cobalt net revenue</v>
      </c>
      <c r="F30" s="593">
        <f xml:space="preserve"> Dashboard!D$24</f>
        <v>327.94017984808022</v>
      </c>
      <c r="G30" s="597" t="str">
        <f xml:space="preserve"> Dashboard!E$24</f>
        <v>$ mn</v>
      </c>
      <c r="H30" s="446"/>
      <c r="I30" s="585">
        <f t="shared" si="6"/>
        <v>0</v>
      </c>
      <c r="J30" s="595">
        <f t="shared" si="7"/>
        <v>0</v>
      </c>
      <c r="K30" s="453"/>
      <c r="M30" s="745">
        <v>327.94017984808022</v>
      </c>
      <c r="N30" s="745">
        <v>327.94017984808022</v>
      </c>
      <c r="O30" s="593">
        <v>302.28961314767446</v>
      </c>
    </row>
    <row r="31" spans="1:27" ht="15" customHeight="1" x14ac:dyDescent="0.3">
      <c r="E31" s="597" t="str">
        <f xml:space="preserve"> Dashboard!C$25</f>
        <v>Total net revenue</v>
      </c>
      <c r="F31" s="593">
        <f xml:space="preserve"> Dashboard!D$25</f>
        <v>6735.4425334237731</v>
      </c>
      <c r="G31" s="597" t="str">
        <f xml:space="preserve"> Dashboard!E$25</f>
        <v>$ mn</v>
      </c>
      <c r="H31" s="446"/>
      <c r="I31" s="585">
        <f t="shared" si="6"/>
        <v>0</v>
      </c>
      <c r="J31" s="595">
        <f t="shared" si="7"/>
        <v>0</v>
      </c>
      <c r="K31" s="453"/>
      <c r="M31" s="745">
        <v>6735.4425334237731</v>
      </c>
      <c r="N31" s="745">
        <v>6735.4425334237731</v>
      </c>
      <c r="O31" s="593">
        <v>5813.4881308846388</v>
      </c>
    </row>
    <row r="32" spans="1:27" ht="15" customHeight="1" x14ac:dyDescent="0.3">
      <c r="E32" s="597" t="str">
        <f xml:space="preserve"> Dashboard!C$26</f>
        <v>Operating costs, including Sens.</v>
      </c>
      <c r="F32" s="593">
        <f xml:space="preserve"> Dashboard!D$26</f>
        <v>4000.4893766404239</v>
      </c>
      <c r="G32" s="597" t="str">
        <f xml:space="preserve"> Dashboard!E$26</f>
        <v>$ mn</v>
      </c>
      <c r="H32" s="446"/>
      <c r="I32" s="585">
        <f t="shared" si="6"/>
        <v>0</v>
      </c>
      <c r="J32" s="595">
        <f t="shared" si="7"/>
        <v>0</v>
      </c>
      <c r="K32" s="453"/>
      <c r="M32" s="745">
        <v>4000.4893766404239</v>
      </c>
      <c r="N32" s="745">
        <v>3623.4970868214446</v>
      </c>
      <c r="O32" s="593">
        <v>3639.1087773880258</v>
      </c>
    </row>
    <row r="33" spans="1:18" ht="15" customHeight="1" x14ac:dyDescent="0.3">
      <c r="E33" s="597" t="str">
        <f xml:space="preserve"> Dashboard!C$27</f>
        <v>Capital costs, including Sens.</v>
      </c>
      <c r="F33" s="593">
        <f xml:space="preserve"> Dashboard!D$27</f>
        <v>0</v>
      </c>
      <c r="G33" s="597" t="str">
        <f xml:space="preserve"> Dashboard!E$27</f>
        <v>$ mn</v>
      </c>
      <c r="H33" s="446"/>
      <c r="I33" s="585">
        <f t="shared" si="6"/>
        <v>0</v>
      </c>
      <c r="J33" s="595">
        <f t="shared" si="7"/>
        <v>0</v>
      </c>
      <c r="K33" s="453"/>
      <c r="M33" s="745">
        <v>0</v>
      </c>
      <c r="N33" s="745">
        <v>0</v>
      </c>
      <c r="O33" s="593">
        <v>0</v>
      </c>
    </row>
    <row r="34" spans="1:18" ht="15" customHeight="1" x14ac:dyDescent="0.3">
      <c r="E34" s="597" t="str">
        <f xml:space="preserve"> Dashboard!C$28</f>
        <v>Project costs</v>
      </c>
      <c r="F34" s="593">
        <f xml:space="preserve"> Dashboard!D$28</f>
        <v>4000.4893766404239</v>
      </c>
      <c r="G34" s="597" t="str">
        <f xml:space="preserve"> Dashboard!E$28</f>
        <v>$ mn</v>
      </c>
      <c r="H34" s="446"/>
      <c r="I34" s="585">
        <f t="shared" si="6"/>
        <v>0</v>
      </c>
      <c r="J34" s="595">
        <f t="shared" si="7"/>
        <v>0</v>
      </c>
      <c r="K34" s="453"/>
      <c r="M34" s="745">
        <v>4000.4893766404239</v>
      </c>
      <c r="N34" s="745">
        <v>3623.4970868214446</v>
      </c>
      <c r="O34" s="593">
        <v>3639.1087773880258</v>
      </c>
    </row>
    <row r="35" spans="1:18" ht="15" customHeight="1" x14ac:dyDescent="0.3">
      <c r="E35" s="597" t="str">
        <f xml:space="preserve"> Dashboard!C$29</f>
        <v>Project cashflows before fiscal regime</v>
      </c>
      <c r="F35" s="593">
        <f xml:space="preserve"> Dashboard!D$29</f>
        <v>2734.9531567833492</v>
      </c>
      <c r="G35" s="597" t="str">
        <f xml:space="preserve"> Dashboard!E$29</f>
        <v>$ mn</v>
      </c>
      <c r="H35" s="446"/>
      <c r="I35" s="585">
        <f t="shared" si="6"/>
        <v>0</v>
      </c>
      <c r="J35" s="595">
        <f t="shared" si="7"/>
        <v>0</v>
      </c>
      <c r="K35" s="453"/>
      <c r="M35" s="745">
        <v>2734.9531567833492</v>
      </c>
      <c r="N35" s="745">
        <v>3111.945446602329</v>
      </c>
      <c r="O35" s="593">
        <v>2174.3793534966135</v>
      </c>
    </row>
    <row r="36" spans="1:18" ht="15" customHeight="1" x14ac:dyDescent="0.3">
      <c r="E36" s="592"/>
      <c r="F36" s="600"/>
      <c r="G36" s="601"/>
      <c r="H36" s="446"/>
      <c r="I36" s="446"/>
      <c r="J36" s="595"/>
      <c r="K36" s="453"/>
      <c r="O36" s="600"/>
    </row>
    <row r="37" spans="1:18" s="725" customFormat="1" ht="15" customHeight="1" x14ac:dyDescent="0.3">
      <c r="A37" s="722"/>
      <c r="B37" s="723" t="str">
        <f>"Participant results USD mn real from: " &amp; $F$17</f>
        <v>Participant results USD mn real from: 2025</v>
      </c>
      <c r="C37" s="724"/>
      <c r="E37" s="726"/>
      <c r="F37" s="727"/>
      <c r="G37" s="723"/>
      <c r="H37" s="722"/>
      <c r="I37" s="722"/>
      <c r="J37" s="590"/>
      <c r="K37" s="728"/>
      <c r="L37" s="729"/>
      <c r="M37" s="758"/>
      <c r="N37" s="758"/>
      <c r="O37" s="727"/>
      <c r="P37" s="729"/>
    </row>
    <row r="38" spans="1:18" ht="15" customHeight="1" x14ac:dyDescent="0.3">
      <c r="E38" s="704" t="str">
        <f xml:space="preserve"> Dashboard!C$34</f>
        <v>Government revenues excl Gecamines participation</v>
      </c>
      <c r="F38" s="597">
        <f xml:space="preserve"> Dashboard!D$34</f>
        <v>1466.4175190631361</v>
      </c>
      <c r="G38" s="597" t="s">
        <v>346</v>
      </c>
      <c r="H38" s="446"/>
      <c r="I38" s="585">
        <f t="shared" ref="I38:I42" si="8" xml:space="preserve"> IF(ABS(J38) &gt; CHK_TOL, 1, 0)</f>
        <v>0</v>
      </c>
      <c r="J38" s="595">
        <f t="shared" ref="J38:J46" si="9" xml:space="preserve"> IF(OR(ISTEXT(F38), ISTEXT(INDEX(L38:O38, $I$5))), 0, F38 - INDEX(L38:O38, $I$5))</f>
        <v>0</v>
      </c>
      <c r="K38" s="453"/>
      <c r="M38" s="745">
        <v>1466.4175190631361</v>
      </c>
      <c r="N38" s="745">
        <v>1561.3685177316049</v>
      </c>
      <c r="O38" s="597">
        <v>1225.6275845882133</v>
      </c>
      <c r="R38" s="592"/>
    </row>
    <row r="39" spans="1:18" ht="15" customHeight="1" x14ac:dyDescent="0.3">
      <c r="E39" s="704" t="str">
        <f xml:space="preserve"> Dashboard!C$35</f>
        <v>Gecamines share of cashflows after repaying loan</v>
      </c>
      <c r="F39" s="704">
        <f xml:space="preserve"> Dashboard!D$35</f>
        <v>577.20001608675273</v>
      </c>
      <c r="G39" s="597" t="s">
        <v>346</v>
      </c>
      <c r="H39" s="446"/>
      <c r="I39" s="585">
        <f t="shared" si="8"/>
        <v>0</v>
      </c>
      <c r="J39" s="595">
        <f t="shared" si="9"/>
        <v>0</v>
      </c>
      <c r="K39" s="453"/>
      <c r="M39" s="745">
        <v>577.20001608675273</v>
      </c>
      <c r="N39" s="745">
        <v>663.7899301652011</v>
      </c>
      <c r="O39" s="704">
        <v>451.47100538360587</v>
      </c>
    </row>
    <row r="40" spans="1:18" ht="15" customHeight="1" x14ac:dyDescent="0.3">
      <c r="E40" s="704" t="str">
        <f xml:space="preserve"> Dashboard!C$36</f>
        <v>Government revenues incl Gecamines</v>
      </c>
      <c r="F40" s="704">
        <f xml:space="preserve"> Dashboard!D$36</f>
        <v>2043.6175351498887</v>
      </c>
      <c r="G40" s="597" t="s">
        <v>346</v>
      </c>
      <c r="H40" s="446"/>
      <c r="I40" s="585">
        <f t="shared" si="8"/>
        <v>0</v>
      </c>
      <c r="J40" s="595">
        <f t="shared" si="9"/>
        <v>0</v>
      </c>
      <c r="K40" s="453"/>
      <c r="M40" s="745">
        <v>2043.6175351498887</v>
      </c>
      <c r="N40" s="745">
        <v>2225.1584478968061</v>
      </c>
      <c r="O40" s="704">
        <v>1677.0985899718194</v>
      </c>
    </row>
    <row r="41" spans="1:18" ht="15" customHeight="1" x14ac:dyDescent="0.3">
      <c r="E41" s="704" t="str">
        <f xml:space="preserve"> Dashboard!C$37</f>
        <v>Zijin final cashflows</v>
      </c>
      <c r="F41" s="704">
        <f xml:space="preserve"> Dashboard!D$37</f>
        <v>1054.7018475767027</v>
      </c>
      <c r="G41" s="597" t="s">
        <v>346</v>
      </c>
      <c r="H41" s="446"/>
      <c r="I41" s="585">
        <f t="shared" si="8"/>
        <v>0</v>
      </c>
      <c r="J41" s="595">
        <f t="shared" si="9"/>
        <v>0</v>
      </c>
      <c r="K41" s="453"/>
      <c r="M41" s="745">
        <v>1054.7018475767027</v>
      </c>
      <c r="N41" s="745">
        <v>1212.9252360291403</v>
      </c>
      <c r="O41" s="704">
        <v>824.9606552918616</v>
      </c>
    </row>
    <row r="42" spans="1:18" ht="15" customHeight="1" x14ac:dyDescent="0.3">
      <c r="E42" s="704" t="str">
        <f xml:space="preserve"> Dashboard!C$38</f>
        <v>Net debt cashflows: 3rd party lenders</v>
      </c>
      <c r="F42" s="597">
        <f xml:space="preserve"> Dashboard!D$38</f>
        <v>31.682100000000002</v>
      </c>
      <c r="G42" s="597" t="s">
        <v>346</v>
      </c>
      <c r="H42" s="446"/>
      <c r="I42" s="585">
        <f t="shared" si="8"/>
        <v>0</v>
      </c>
      <c r="J42" s="595">
        <f t="shared" si="9"/>
        <v>0</v>
      </c>
      <c r="K42" s="453"/>
      <c r="M42" s="745">
        <v>31.682100000000002</v>
      </c>
      <c r="N42" s="745">
        <v>31.682100000000002</v>
      </c>
      <c r="O42" s="597">
        <v>31.682100000000002</v>
      </c>
    </row>
    <row r="43" spans="1:18" ht="15" customHeight="1" x14ac:dyDescent="0.3">
      <c r="E43" s="704" t="str">
        <f xml:space="preserve"> Dashboard!C$39</f>
        <v>Additional govt revenues incl. in project costs</v>
      </c>
      <c r="F43" s="597">
        <f xml:space="preserve"> Dashboard!D$39</f>
        <v>395.04832594324182</v>
      </c>
      <c r="G43" s="597" t="s">
        <v>346</v>
      </c>
      <c r="H43" s="446"/>
      <c r="I43" s="585">
        <f t="shared" ref="I43:I46" si="10" xml:space="preserve"> IF(ABS(J43) &gt; CHK_TOL, 1, 0)</f>
        <v>0</v>
      </c>
      <c r="J43" s="595">
        <f t="shared" si="9"/>
        <v>0</v>
      </c>
      <c r="K43" s="453"/>
      <c r="M43" s="745">
        <v>395.04832594324182</v>
      </c>
      <c r="N43" s="745">
        <v>357.82033732361765</v>
      </c>
      <c r="O43" s="597">
        <v>359.36199176706754</v>
      </c>
    </row>
    <row r="44" spans="1:18" ht="15" customHeight="1" x14ac:dyDescent="0.3">
      <c r="E44" s="597" t="str">
        <f xml:space="preserve"> Dashboard!C$41</f>
        <v>Government share: excluding payroll &amp; indirect taxes</v>
      </c>
      <c r="F44" s="876">
        <f xml:space="preserve"> Dashboard!D$41</f>
        <v>0.39173219126720249</v>
      </c>
      <c r="G44" s="597" t="s">
        <v>34</v>
      </c>
      <c r="H44" s="446"/>
      <c r="I44" s="585">
        <f t="shared" si="10"/>
        <v>0</v>
      </c>
      <c r="J44" s="595"/>
      <c r="K44" s="453"/>
      <c r="M44" s="745">
        <v>0.39173219126720249</v>
      </c>
      <c r="N44" s="745">
        <v>0.45515856834997737</v>
      </c>
      <c r="O44" s="876">
        <v>0.4967225391263238</v>
      </c>
    </row>
    <row r="45" spans="1:18" ht="15" customHeight="1" x14ac:dyDescent="0.3">
      <c r="E45" s="597" t="str">
        <f xml:space="preserve"> Dashboard!C$42</f>
        <v>Government share: excluding Gecamines</v>
      </c>
      <c r="F45" s="876">
        <f xml:space="preserve"> Dashboard!D$42</f>
        <v>0.53617646628647508</v>
      </c>
      <c r="G45" s="597" t="s">
        <v>34</v>
      </c>
      <c r="H45" s="446"/>
      <c r="I45" s="585">
        <f t="shared" si="10"/>
        <v>0</v>
      </c>
      <c r="J45" s="595">
        <f t="shared" si="9"/>
        <v>0</v>
      </c>
      <c r="K45" s="453"/>
      <c r="M45" s="745">
        <v>0.53617646628647508</v>
      </c>
      <c r="N45" s="745">
        <v>0.50173389750014152</v>
      </c>
      <c r="O45" s="876">
        <v>0.56366778070132284</v>
      </c>
    </row>
    <row r="46" spans="1:18" ht="15" customHeight="1" x14ac:dyDescent="0.3">
      <c r="E46" s="597" t="str">
        <f xml:space="preserve"> Dashboard!C$43</f>
        <v>Government share: including Gecamines</v>
      </c>
      <c r="F46" s="876">
        <f xml:space="preserve"> Dashboard!D$43</f>
        <v>0.74722213434669627</v>
      </c>
      <c r="G46" s="601" t="s">
        <v>34</v>
      </c>
      <c r="H46" s="446"/>
      <c r="I46" s="585">
        <f t="shared" si="10"/>
        <v>0</v>
      </c>
      <c r="J46" s="595">
        <f t="shared" si="9"/>
        <v>0</v>
      </c>
      <c r="K46" s="453"/>
      <c r="M46" s="745">
        <v>0.74722213434669627</v>
      </c>
      <c r="N46" s="745">
        <v>0.7150377428133482</v>
      </c>
      <c r="O46" s="876">
        <v>0.77129990554540606</v>
      </c>
    </row>
    <row r="47" spans="1:18" ht="15" customHeight="1" x14ac:dyDescent="0.3">
      <c r="H47" s="446"/>
      <c r="I47" s="446"/>
      <c r="J47" s="595"/>
      <c r="K47" s="453"/>
    </row>
    <row r="48" spans="1:18" s="725" customFormat="1" ht="15" customHeight="1" x14ac:dyDescent="0.3">
      <c r="A48" s="722"/>
      <c r="B48" s="723" t="str">
        <f>"Participant results USD mn NPV from: " &amp; F17</f>
        <v>Participant results USD mn NPV from: 2025</v>
      </c>
      <c r="C48" s="724"/>
      <c r="E48" s="726"/>
      <c r="F48" s="727"/>
      <c r="G48" s="723"/>
      <c r="H48" s="722"/>
      <c r="I48" s="722"/>
      <c r="J48" s="590"/>
      <c r="K48" s="728"/>
      <c r="L48" s="729"/>
      <c r="M48" s="758"/>
      <c r="N48" s="758"/>
      <c r="O48" s="727"/>
      <c r="P48" s="729"/>
    </row>
    <row r="49" spans="2:15" ht="15" customHeight="1" x14ac:dyDescent="0.3">
      <c r="E49" s="704" t="str">
        <f xml:space="preserve"> Dashboard!C$34</f>
        <v>Government revenues excl Gecamines participation</v>
      </c>
      <c r="F49" s="593">
        <f xml:space="preserve"> Dashboard!E$34</f>
        <v>1069.6506774714783</v>
      </c>
      <c r="G49" s="597" t="s">
        <v>346</v>
      </c>
      <c r="H49" s="446"/>
      <c r="I49" s="585">
        <f t="shared" ref="I49:I56" si="11" xml:space="preserve"> IF(ABS(J49) &gt; CHK_TOL, 1, 0)</f>
        <v>0</v>
      </c>
      <c r="J49" s="595">
        <f t="shared" ref="J49:J56" si="12" xml:space="preserve"> IF(OR(ISTEXT(F49), ISTEXT(INDEX(L49:O49, $I$5))), 0, F49 - INDEX(L49:O49, $I$5))</f>
        <v>0</v>
      </c>
      <c r="K49" s="453"/>
      <c r="M49" s="745">
        <v>1069.6506774714783</v>
      </c>
      <c r="N49" s="745">
        <v>1136.952560455288</v>
      </c>
      <c r="O49" s="593">
        <v>895.70139320618512</v>
      </c>
    </row>
    <row r="50" spans="2:15" ht="15" customHeight="1" x14ac:dyDescent="0.3">
      <c r="E50" s="704" t="str">
        <f xml:space="preserve"> Dashboard!C$35</f>
        <v>Gecamines share of cashflows after repaying loan</v>
      </c>
      <c r="F50" s="593">
        <f xml:space="preserve"> Dashboard!E$35</f>
        <v>432.53988238025715</v>
      </c>
      <c r="G50" s="597" t="s">
        <v>346</v>
      </c>
      <c r="H50" s="446"/>
      <c r="I50" s="585">
        <f t="shared" si="11"/>
        <v>0</v>
      </c>
      <c r="J50" s="595">
        <f t="shared" si="12"/>
        <v>0</v>
      </c>
      <c r="K50" s="453"/>
      <c r="M50" s="745">
        <v>432.53988238025715</v>
      </c>
      <c r="N50" s="745">
        <v>493.78512613749422</v>
      </c>
      <c r="O50" s="593">
        <v>341.27088413020419</v>
      </c>
    </row>
    <row r="51" spans="2:15" ht="15" customHeight="1" x14ac:dyDescent="0.3">
      <c r="E51" s="704" t="str">
        <f xml:space="preserve"> Dashboard!C$36</f>
        <v>Government revenues incl Gecamines</v>
      </c>
      <c r="F51" s="593">
        <f xml:space="preserve"> Dashboard!E$36</f>
        <v>1502.1905598517353</v>
      </c>
      <c r="G51" s="597" t="s">
        <v>346</v>
      </c>
      <c r="H51" s="446"/>
      <c r="I51" s="585">
        <f t="shared" si="11"/>
        <v>0</v>
      </c>
      <c r="J51" s="595">
        <f t="shared" si="12"/>
        <v>0</v>
      </c>
      <c r="K51" s="453"/>
      <c r="M51" s="745">
        <v>1502.1905598517353</v>
      </c>
      <c r="N51" s="745">
        <v>1630.7376865927822</v>
      </c>
      <c r="O51" s="593">
        <v>1236.9722773363892</v>
      </c>
    </row>
    <row r="52" spans="2:15" ht="15" customHeight="1" x14ac:dyDescent="0.3">
      <c r="E52" s="704" t="str">
        <f xml:space="preserve"> Dashboard!C$37</f>
        <v>Zijin final cashflows</v>
      </c>
      <c r="F52" s="593">
        <f xml:space="preserve"> Dashboard!E$37</f>
        <v>790.3683305311971</v>
      </c>
      <c r="G52" s="597" t="s">
        <v>346</v>
      </c>
      <c r="H52" s="446"/>
      <c r="I52" s="585">
        <f t="shared" si="11"/>
        <v>0</v>
      </c>
      <c r="J52" s="595">
        <f t="shared" si="12"/>
        <v>0</v>
      </c>
      <c r="K52" s="453"/>
      <c r="M52" s="745">
        <v>790.3683305311971</v>
      </c>
      <c r="N52" s="745">
        <v>902.28009412396671</v>
      </c>
      <c r="O52" s="593">
        <v>623.59497918337297</v>
      </c>
    </row>
    <row r="53" spans="2:15" ht="15" customHeight="1" x14ac:dyDescent="0.3">
      <c r="E53" s="704" t="str">
        <f xml:space="preserve"> Dashboard!C$38</f>
        <v>Net debt cashflows: 3rd party lenders</v>
      </c>
      <c r="F53" s="593">
        <f xml:space="preserve"> Dashboard!E$38</f>
        <v>28.858920252149243</v>
      </c>
      <c r="G53" s="597" t="s">
        <v>346</v>
      </c>
      <c r="H53" s="446"/>
      <c r="I53" s="585">
        <f t="shared" si="11"/>
        <v>0</v>
      </c>
      <c r="J53" s="595">
        <f t="shared" si="12"/>
        <v>0</v>
      </c>
      <c r="K53" s="453"/>
      <c r="M53" s="745">
        <v>28.858920252149243</v>
      </c>
      <c r="N53" s="745">
        <v>28.858920252149243</v>
      </c>
      <c r="O53" s="593">
        <v>28.858920252149243</v>
      </c>
    </row>
    <row r="54" spans="2:15" ht="15" customHeight="1" x14ac:dyDescent="0.3">
      <c r="E54" s="704" t="str">
        <f xml:space="preserve"> Dashboard!C$39</f>
        <v>Additional govt revenues incl. in project costs</v>
      </c>
      <c r="F54" s="593">
        <f xml:space="preserve"> Dashboard!E$39</f>
        <v>279.58464661891321</v>
      </c>
      <c r="G54" s="597" t="s">
        <v>346</v>
      </c>
      <c r="H54" s="446"/>
      <c r="I54" s="585">
        <f t="shared" si="11"/>
        <v>0</v>
      </c>
      <c r="J54" s="595">
        <f t="shared" si="12"/>
        <v>0</v>
      </c>
      <c r="K54" s="453"/>
      <c r="M54" s="745">
        <v>279.58464661891321</v>
      </c>
      <c r="N54" s="745">
        <v>253.23755599981268</v>
      </c>
      <c r="O54" s="593">
        <v>254.34101277478419</v>
      </c>
    </row>
    <row r="55" spans="2:15" ht="15" customHeight="1" x14ac:dyDescent="0.3">
      <c r="E55" s="597" t="str">
        <f xml:space="preserve"> Dashboard!C$42</f>
        <v>Government share: excluding Gecamines</v>
      </c>
      <c r="F55" s="603">
        <f xml:space="preserve"> Dashboard!E$42</f>
        <v>0.52386781462964227</v>
      </c>
      <c r="G55" s="597" t="s">
        <v>34</v>
      </c>
      <c r="H55" s="446"/>
      <c r="I55" s="585">
        <f t="shared" si="11"/>
        <v>0</v>
      </c>
      <c r="J55" s="595">
        <f t="shared" si="12"/>
        <v>0</v>
      </c>
      <c r="K55" s="453"/>
      <c r="M55" s="745">
        <v>0.52386781462964227</v>
      </c>
      <c r="N55" s="745">
        <v>0.49247738128884266</v>
      </c>
      <c r="O55" s="603">
        <v>0.54780106439015952</v>
      </c>
    </row>
    <row r="56" spans="2:15" ht="15" customHeight="1" x14ac:dyDescent="0.3">
      <c r="E56" s="597" t="str">
        <f xml:space="preserve"> Dashboard!C$43</f>
        <v>Government share: including Gecamines</v>
      </c>
      <c r="F56" s="603">
        <f xml:space="preserve"> Dashboard!E$43</f>
        <v>0.73570680813951173</v>
      </c>
      <c r="G56" s="597" t="s">
        <v>34</v>
      </c>
      <c r="H56" s="446"/>
      <c r="I56" s="585">
        <f t="shared" si="11"/>
        <v>0</v>
      </c>
      <c r="J56" s="595">
        <f t="shared" si="12"/>
        <v>0</v>
      </c>
      <c r="K56" s="453"/>
      <c r="M56" s="745">
        <v>0.73570680813951173</v>
      </c>
      <c r="N56" s="745">
        <v>0.7063631794282077</v>
      </c>
      <c r="O56" s="603">
        <v>0.75651856219677749</v>
      </c>
    </row>
    <row r="57" spans="2:15" ht="15" customHeight="1" x14ac:dyDescent="0.3">
      <c r="E57" s="592"/>
      <c r="F57" s="600"/>
      <c r="G57" s="601"/>
      <c r="H57" s="446"/>
      <c r="I57" s="446"/>
      <c r="J57" s="595"/>
      <c r="K57" s="453"/>
      <c r="O57" s="600"/>
    </row>
    <row r="58" spans="2:15" ht="15" customHeight="1" x14ac:dyDescent="0.3">
      <c r="B58" s="723" t="str">
        <f>"Government results: USD mn from " &amp; F17</f>
        <v>Government results: USD mn from 2025</v>
      </c>
      <c r="E58" s="592"/>
      <c r="F58" s="600"/>
      <c r="G58" s="601"/>
      <c r="H58" s="446"/>
      <c r="I58" s="446"/>
      <c r="J58" s="595"/>
      <c r="K58" s="453"/>
      <c r="O58" s="600"/>
    </row>
    <row r="59" spans="2:15" ht="15" customHeight="1" x14ac:dyDescent="0.3">
      <c r="E59" s="704" t="str">
        <f>Dashboard!C47</f>
        <v>Total royalty</v>
      </c>
      <c r="F59" s="720">
        <f xml:space="preserve"> Dashboard!D$47</f>
        <v>257.05660035995732</v>
      </c>
      <c r="G59" s="597" t="s">
        <v>346</v>
      </c>
      <c r="H59" s="446"/>
      <c r="I59" s="585">
        <f t="shared" ref="I59:I71" si="13" xml:space="preserve"> IF(ABS(J59) &gt; CHK_TOL, 1, 0)</f>
        <v>0</v>
      </c>
      <c r="J59" s="595">
        <f t="shared" ref="J59:J71" si="14" xml:space="preserve"> IF(OR(ISTEXT(F59), ISTEXT(INDEX(L59:O59, $I$5))), 0, F59 - INDEX(L59:O59, $I$5))</f>
        <v>0</v>
      </c>
      <c r="K59" s="453"/>
      <c r="M59" s="745">
        <v>257.05660035995732</v>
      </c>
      <c r="N59" s="745">
        <v>257.05660035995732</v>
      </c>
      <c r="O59" s="720">
        <v>242.49705678038291</v>
      </c>
    </row>
    <row r="60" spans="2:15" ht="15" customHeight="1" x14ac:dyDescent="0.3">
      <c r="E60" s="704" t="str">
        <f>Dashboard!C48</f>
        <v>Turnover tax (Chiffre d'Affaires 0.3PC)</v>
      </c>
      <c r="F60" s="720">
        <f xml:space="preserve"> Dashboard!D$48</f>
        <v>20.206327600271319</v>
      </c>
      <c r="G60" s="597" t="s">
        <v>346</v>
      </c>
      <c r="H60" s="446"/>
      <c r="I60" s="585">
        <f xml:space="preserve"> IF(ABS(J60) &gt; CHK_TOL, 1, 0)</f>
        <v>0</v>
      </c>
      <c r="J60" s="595">
        <f t="shared" ref="J60" si="15" xml:space="preserve"> IF(OR(ISTEXT(F60), ISTEXT(INDEX(L60:O60, $I$5))), 0, F60 - INDEX(L60:O60, $I$5))</f>
        <v>0</v>
      </c>
      <c r="K60" s="453"/>
      <c r="M60" s="745">
        <v>20.206327600271319</v>
      </c>
      <c r="N60" s="745">
        <v>20.206327600271319</v>
      </c>
      <c r="O60" s="720">
        <v>17.440464392653919</v>
      </c>
    </row>
    <row r="61" spans="2:15" ht="15" customHeight="1" x14ac:dyDescent="0.3">
      <c r="E61" s="704" t="str">
        <f>Dashboard!C49</f>
        <v>CIT payable</v>
      </c>
      <c r="F61" s="720">
        <f xml:space="preserve"> Dashboard!D$49</f>
        <v>676.91717098447634</v>
      </c>
      <c r="G61" s="597" t="s">
        <v>346</v>
      </c>
      <c r="H61" s="446"/>
      <c r="I61" s="585">
        <f t="shared" si="13"/>
        <v>0</v>
      </c>
      <c r="J61" s="595">
        <f t="shared" si="14"/>
        <v>0</v>
      </c>
      <c r="K61" s="453"/>
      <c r="M61" s="745">
        <v>676.91717098447634</v>
      </c>
      <c r="N61" s="745">
        <v>791.51578177785416</v>
      </c>
      <c r="O61" s="720">
        <v>514.66577661567999</v>
      </c>
    </row>
    <row r="62" spans="2:15" ht="15" customHeight="1" x14ac:dyDescent="0.3">
      <c r="E62" s="597" t="str">
        <f>Dashboard!C50</f>
        <v>Special Tax On Excess Profits</v>
      </c>
      <c r="F62" s="593">
        <f xml:space="preserve"> Dashboard!D$50</f>
        <v>0</v>
      </c>
      <c r="G62" s="597" t="s">
        <v>346</v>
      </c>
      <c r="H62" s="446"/>
      <c r="I62" s="585">
        <f t="shared" si="13"/>
        <v>0</v>
      </c>
      <c r="J62" s="595">
        <f t="shared" si="14"/>
        <v>0</v>
      </c>
      <c r="K62" s="453"/>
      <c r="M62" s="745">
        <v>0</v>
      </c>
      <c r="N62" s="745">
        <v>0</v>
      </c>
      <c r="O62" s="593">
        <v>0</v>
      </c>
    </row>
    <row r="63" spans="2:15" ht="15" customHeight="1" x14ac:dyDescent="0.3">
      <c r="E63" s="704" t="str">
        <f>Dashboard!C51</f>
        <v>Signature Bonus (EITI)</v>
      </c>
      <c r="F63" s="720">
        <f xml:space="preserve"> Dashboard!D$51</f>
        <v>0</v>
      </c>
      <c r="G63" s="597" t="s">
        <v>346</v>
      </c>
      <c r="H63" s="446"/>
      <c r="I63" s="585">
        <f t="shared" si="13"/>
        <v>0</v>
      </c>
      <c r="J63" s="595">
        <f t="shared" si="14"/>
        <v>0</v>
      </c>
      <c r="K63" s="453"/>
      <c r="M63" s="745">
        <v>0</v>
      </c>
      <c r="N63" s="745">
        <v>0</v>
      </c>
      <c r="O63" s="720">
        <v>0</v>
      </c>
    </row>
    <row r="64" spans="2:15" ht="15" customHeight="1" x14ac:dyDescent="0.3">
      <c r="E64" s="597" t="str">
        <f>Dashboard!C52</f>
        <v>Payroll taxes (included in costs)</v>
      </c>
      <c r="F64" s="720">
        <f xml:space="preserve"> Dashboard!D$52</f>
        <v>160.01957506561695</v>
      </c>
      <c r="G64" s="597" t="s">
        <v>346</v>
      </c>
      <c r="H64" s="446"/>
      <c r="I64" s="585">
        <f t="shared" si="13"/>
        <v>0</v>
      </c>
      <c r="J64" s="595">
        <f t="shared" si="14"/>
        <v>0</v>
      </c>
      <c r="K64" s="453"/>
      <c r="M64" s="745">
        <v>160.01957506561695</v>
      </c>
      <c r="N64" s="745">
        <v>144.93988347285779</v>
      </c>
      <c r="O64" s="720">
        <v>145.564351095521</v>
      </c>
    </row>
    <row r="65" spans="1:50" ht="15" customHeight="1" x14ac:dyDescent="0.3">
      <c r="E65" s="597" t="str">
        <f>Dashboard!C53</f>
        <v>Import duties (included in costs)</v>
      </c>
      <c r="F65" s="593">
        <f xml:space="preserve"> Dashboard!D$53</f>
        <v>200.0244688320212</v>
      </c>
      <c r="G65" s="597" t="s">
        <v>346</v>
      </c>
      <c r="H65" s="446"/>
      <c r="I65" s="585">
        <f t="shared" si="13"/>
        <v>0</v>
      </c>
      <c r="J65" s="595">
        <f t="shared" si="14"/>
        <v>0</v>
      </c>
      <c r="K65" s="453"/>
      <c r="M65" s="745">
        <v>200.0244688320212</v>
      </c>
      <c r="N65" s="745">
        <v>181.17485434107223</v>
      </c>
      <c r="O65" s="593">
        <v>181.95543886940129</v>
      </c>
    </row>
    <row r="66" spans="1:50" ht="15" customHeight="1" x14ac:dyDescent="0.3">
      <c r="E66" s="704" t="str">
        <f>Dashboard!C54</f>
        <v>Interest withholding tax</v>
      </c>
      <c r="F66" s="720">
        <f xml:space="preserve"> Dashboard!D$54</f>
        <v>0</v>
      </c>
      <c r="G66" s="597" t="s">
        <v>346</v>
      </c>
      <c r="H66" s="446"/>
      <c r="I66" s="585">
        <f t="shared" si="13"/>
        <v>0</v>
      </c>
      <c r="J66" s="595">
        <f t="shared" si="14"/>
        <v>0</v>
      </c>
      <c r="K66" s="453"/>
      <c r="M66" s="745">
        <v>0</v>
      </c>
      <c r="N66" s="745">
        <v>0</v>
      </c>
      <c r="O66" s="720">
        <v>0</v>
      </c>
    </row>
    <row r="67" spans="1:50" ht="15" customHeight="1" x14ac:dyDescent="0.3">
      <c r="E67" s="704" t="str">
        <f>Dashboard!C55</f>
        <v>Dividend withholding tax</v>
      </c>
      <c r="F67" s="720">
        <f xml:space="preserve"> Dashboard!D$55</f>
        <v>117.18909417518921</v>
      </c>
      <c r="G67" s="597" t="s">
        <v>346</v>
      </c>
      <c r="H67" s="446"/>
      <c r="I67" s="585">
        <f t="shared" si="13"/>
        <v>0</v>
      </c>
      <c r="J67" s="595">
        <f t="shared" si="14"/>
        <v>0</v>
      </c>
      <c r="K67" s="453"/>
      <c r="M67" s="745">
        <v>117.18909417518921</v>
      </c>
      <c r="N67" s="745">
        <v>134.76947066990448</v>
      </c>
      <c r="O67" s="720">
        <v>91.662295032429085</v>
      </c>
    </row>
    <row r="68" spans="1:50" ht="15" customHeight="1" x14ac:dyDescent="0.3">
      <c r="E68" s="704" t="str">
        <f>Dashboard!C56</f>
        <v>WHT on non-resident services</v>
      </c>
      <c r="F68" s="720">
        <f xml:space="preserve"> Dashboard!D$56</f>
        <v>35.004282045603716</v>
      </c>
      <c r="G68" s="597" t="s">
        <v>346</v>
      </c>
      <c r="H68" s="446"/>
      <c r="I68" s="585">
        <f t="shared" si="13"/>
        <v>0</v>
      </c>
      <c r="J68" s="595">
        <f t="shared" si="14"/>
        <v>0</v>
      </c>
      <c r="K68" s="453"/>
      <c r="M68" s="745">
        <v>35.004282045603716</v>
      </c>
      <c r="N68" s="745">
        <v>31.705599509687637</v>
      </c>
      <c r="O68" s="720">
        <v>31.842201802145226</v>
      </c>
    </row>
    <row r="69" spans="1:50" ht="15" customHeight="1" x14ac:dyDescent="0.3">
      <c r="E69" s="704" t="str">
        <f>Dashboard!C58</f>
        <v>Government revenues excl Gecamines participation</v>
      </c>
      <c r="F69" s="704">
        <f>Dashboard!D58</f>
        <v>1466.4175190631361</v>
      </c>
      <c r="G69" s="597" t="s">
        <v>346</v>
      </c>
      <c r="H69" s="446"/>
      <c r="I69" s="585">
        <f t="shared" si="13"/>
        <v>0</v>
      </c>
      <c r="J69" s="595">
        <f t="shared" si="14"/>
        <v>0</v>
      </c>
      <c r="K69" s="453"/>
      <c r="M69" s="745">
        <v>1466.4175190631361</v>
      </c>
      <c r="N69" s="745">
        <v>1561.3685177316049</v>
      </c>
      <c r="O69" s="704">
        <v>1225.6275845882133</v>
      </c>
    </row>
    <row r="70" spans="1:50" ht="15" customHeight="1" x14ac:dyDescent="0.3">
      <c r="E70" s="704" t="str">
        <f>Dashboard!C59</f>
        <v>Gecamines share of cashflows after repaying loan</v>
      </c>
      <c r="F70" s="704">
        <f>Dashboard!D59</f>
        <v>577.20001608675273</v>
      </c>
      <c r="G70" s="597" t="s">
        <v>346</v>
      </c>
      <c r="H70" s="446"/>
      <c r="I70" s="585">
        <f t="shared" si="13"/>
        <v>0</v>
      </c>
      <c r="J70" s="595">
        <f t="shared" si="14"/>
        <v>0</v>
      </c>
      <c r="K70" s="453"/>
      <c r="M70" s="745">
        <v>577.20001608675273</v>
      </c>
      <c r="N70" s="745">
        <v>663.7899301652011</v>
      </c>
      <c r="O70" s="704">
        <v>451.47100538360587</v>
      </c>
    </row>
    <row r="71" spans="1:50" ht="15" customHeight="1" x14ac:dyDescent="0.3">
      <c r="E71" s="704" t="str">
        <f>Dashboard!C60</f>
        <v>Government revenues incl Gecamines</v>
      </c>
      <c r="F71" s="704">
        <f>Dashboard!D60</f>
        <v>2043.6175351498887</v>
      </c>
      <c r="G71" s="597" t="s">
        <v>346</v>
      </c>
      <c r="H71" s="446"/>
      <c r="I71" s="585">
        <f t="shared" si="13"/>
        <v>0</v>
      </c>
      <c r="J71" s="595">
        <f t="shared" si="14"/>
        <v>0</v>
      </c>
      <c r="K71" s="453"/>
      <c r="M71" s="745">
        <v>2043.6175351498887</v>
      </c>
      <c r="N71" s="745">
        <v>2225.1584478968061</v>
      </c>
      <c r="O71" s="704">
        <v>1677.0985899718194</v>
      </c>
    </row>
    <row r="72" spans="1:50" ht="15" customHeight="1" x14ac:dyDescent="0.3">
      <c r="E72" s="704"/>
      <c r="F72" s="720"/>
      <c r="G72" s="597"/>
      <c r="H72" s="446"/>
      <c r="I72"/>
      <c r="J72" s="595"/>
      <c r="K72" s="453"/>
      <c r="O72" s="743"/>
    </row>
    <row r="73" spans="1:50" s="459" customFormat="1" ht="15" customHeight="1" collapsed="1" x14ac:dyDescent="0.3">
      <c r="A73" s="454" t="s">
        <v>524</v>
      </c>
      <c r="B73" s="455"/>
      <c r="C73" s="456"/>
      <c r="D73" s="457"/>
      <c r="E73" s="455"/>
      <c r="F73" s="455"/>
      <c r="G73" s="455"/>
      <c r="H73" s="455"/>
      <c r="I73" s="455"/>
      <c r="J73" s="455"/>
      <c r="K73" s="455"/>
      <c r="L73" s="591"/>
      <c r="M73" s="455"/>
      <c r="N73" s="455"/>
      <c r="O73" s="455"/>
      <c r="P73" s="591"/>
      <c r="Q73" s="455"/>
      <c r="R73" s="455"/>
      <c r="S73" s="455"/>
      <c r="T73" s="455"/>
      <c r="U73" s="455"/>
      <c r="V73" s="455"/>
      <c r="W73" s="455"/>
      <c r="X73" s="455"/>
      <c r="Y73" s="455"/>
      <c r="Z73" s="455"/>
      <c r="AA73" s="455"/>
      <c r="AB73" s="455"/>
      <c r="AC73" s="455"/>
      <c r="AD73" s="455"/>
      <c r="AE73" s="455"/>
      <c r="AF73" s="455"/>
      <c r="AG73" s="455"/>
      <c r="AH73" s="455"/>
      <c r="AI73" s="455"/>
      <c r="AJ73" s="455"/>
      <c r="AK73" s="455"/>
      <c r="AL73" s="455"/>
      <c r="AM73" s="455"/>
      <c r="AN73" s="455"/>
      <c r="AO73" s="455"/>
      <c r="AP73" s="455"/>
      <c r="AQ73" s="455"/>
      <c r="AR73" s="455"/>
      <c r="AS73" s="455"/>
      <c r="AT73" s="455"/>
      <c r="AU73" s="455"/>
      <c r="AV73" s="455"/>
      <c r="AW73" s="455"/>
      <c r="AX73" s="455"/>
    </row>
    <row r="74" spans="1:50" ht="15" customHeight="1" x14ac:dyDescent="0.3">
      <c r="C74" s="604"/>
      <c r="D74" s="460"/>
      <c r="K74" s="453"/>
    </row>
    <row r="75" spans="1:50" ht="15" customHeight="1" x14ac:dyDescent="0.3">
      <c r="C75" s="447" t="s">
        <v>575</v>
      </c>
    </row>
    <row r="76" spans="1:50" ht="15" customHeight="1" x14ac:dyDescent="0.3">
      <c r="E76" s="598" t="str">
        <f ca="1" xml:space="preserve"> Dashboard!C$72</f>
        <v>SheetChecks: Dashboard</v>
      </c>
      <c r="F76" s="579">
        <f xml:space="preserve"> Dashboard!D$72</f>
        <v>0</v>
      </c>
      <c r="G76" s="598" t="str">
        <f xml:space="preserve"> Dashboard!E$72</f>
        <v>sheet checks</v>
      </c>
      <c r="I76" s="585">
        <f xml:space="preserve"> IF(ABS(J76) &gt; CHK_TOL, 1, 0)</f>
        <v>0</v>
      </c>
      <c r="J76" s="595">
        <f xml:space="preserve"> IF(OR(ISTEXT(F76), ISTEXT(INDEX(L76:O76, $I$5))), 0, F76 - INDEX(L76:O76, $I$5))</f>
        <v>0</v>
      </c>
      <c r="M76" s="442">
        <v>0</v>
      </c>
      <c r="N76" s="442">
        <v>0</v>
      </c>
      <c r="O76" s="442">
        <v>0</v>
      </c>
    </row>
    <row r="77" spans="1:50" ht="15" customHeight="1" x14ac:dyDescent="0.3">
      <c r="E77" s="598" t="str">
        <f ca="1" xml:space="preserve"> SummaryC_Flow!E$90</f>
        <v>SheetChecks: SummaryC_Flow</v>
      </c>
      <c r="F77" s="579">
        <f xml:space="preserve"> SummaryC_Flow!F$90</f>
        <v>0</v>
      </c>
      <c r="G77" s="598" t="str">
        <f xml:space="preserve"> SummaryC_Flow!G$90</f>
        <v>sheet checks</v>
      </c>
      <c r="I77" s="585">
        <f xml:space="preserve"> IF(ABS(J77) &gt; CHK_TOL, 1, 0)</f>
        <v>0</v>
      </c>
      <c r="J77" s="595">
        <f xml:space="preserve"> IF(OR(ISTEXT(F77), ISTEXT(INDEX(L77:O77, $I$5))), 0, F77 - INDEX(L77:O77, $I$5))</f>
        <v>0</v>
      </c>
      <c r="M77" s="442">
        <v>0</v>
      </c>
      <c r="N77" s="442">
        <v>0</v>
      </c>
      <c r="O77" s="442">
        <v>0</v>
      </c>
    </row>
    <row r="78" spans="1:50" ht="15" customHeight="1" x14ac:dyDescent="0.3">
      <c r="E78" s="598" t="str">
        <f ca="1" xml:space="preserve"> COMMUS_Model!E$1237</f>
        <v>SheetChecks: COMMUS_Model</v>
      </c>
      <c r="F78" s="579">
        <f xml:space="preserve"> COMMUS_Model!F$1237</f>
        <v>0</v>
      </c>
      <c r="G78" s="598" t="str">
        <f xml:space="preserve"> COMMUS_Model!G$1237</f>
        <v>sheet checks</v>
      </c>
      <c r="I78" s="585">
        <f xml:space="preserve"> IF(ABS(J78) &gt; CHK_TOL, 1, 0)</f>
        <v>0</v>
      </c>
      <c r="J78" s="595">
        <f xml:space="preserve"> IF(OR(ISTEXT(F78), ISTEXT(INDEX(L78:O78, $I$5))), 0, F78 - INDEX(L78:O78, $I$5))</f>
        <v>0</v>
      </c>
      <c r="M78" s="442">
        <v>0</v>
      </c>
      <c r="N78" s="442">
        <v>0</v>
      </c>
      <c r="O78" s="442">
        <v>0</v>
      </c>
    </row>
    <row r="79" spans="1:50" ht="15" customHeight="1" x14ac:dyDescent="0.3">
      <c r="E79" s="605"/>
      <c r="F79" s="605"/>
      <c r="G79" s="605"/>
      <c r="I79" s="581"/>
      <c r="J79" s="581"/>
      <c r="M79" s="606"/>
      <c r="N79" s="606"/>
      <c r="O79" s="606"/>
    </row>
    <row r="80" spans="1:50" s="584" customFormat="1" ht="15" customHeight="1" x14ac:dyDescent="0.3">
      <c r="A80" s="582"/>
      <c r="B80" s="582"/>
      <c r="C80" s="583"/>
      <c r="E80" s="584" t="s">
        <v>576</v>
      </c>
      <c r="F80" s="853">
        <f>SUM(F76:F78)</f>
        <v>0</v>
      </c>
      <c r="G80" s="584" t="s">
        <v>509</v>
      </c>
      <c r="I80" s="882">
        <f xml:space="preserve"> IF(ABS(J80) &gt; CHK_TOL, 1, 0)</f>
        <v>0</v>
      </c>
      <c r="J80" s="885">
        <f xml:space="preserve"> IF(OR(ISTEXT(F80), ISTEXT(INDEX(L80:O80, $I$5))), 0, F80 - INDEX(L80:O80, $I$5))</f>
        <v>0</v>
      </c>
      <c r="K80" s="587"/>
      <c r="L80" s="608"/>
      <c r="M80" s="853">
        <v>0</v>
      </c>
      <c r="N80" s="853">
        <v>0</v>
      </c>
      <c r="O80" s="853">
        <v>0</v>
      </c>
      <c r="P80" s="608"/>
    </row>
    <row r="81" spans="1:50" s="584" customFormat="1" ht="15" customHeight="1" x14ac:dyDescent="0.3">
      <c r="A81" s="582"/>
      <c r="B81" s="582"/>
      <c r="C81" s="583"/>
      <c r="E81" s="607"/>
      <c r="F81" s="607"/>
      <c r="G81" s="607"/>
      <c r="I81" s="431"/>
      <c r="K81" s="587"/>
      <c r="L81" s="608"/>
      <c r="P81" s="608"/>
    </row>
    <row r="82" spans="1:50" s="459" customFormat="1" ht="15" customHeight="1" collapsed="1" x14ac:dyDescent="0.3">
      <c r="A82" s="454" t="s">
        <v>492</v>
      </c>
      <c r="B82" s="455"/>
      <c r="C82" s="456"/>
      <c r="D82" s="457"/>
      <c r="E82" s="455"/>
      <c r="F82" s="455"/>
      <c r="G82" s="455"/>
      <c r="H82" s="455"/>
      <c r="I82" s="455"/>
      <c r="J82" s="455"/>
      <c r="K82" s="455"/>
      <c r="L82" s="591"/>
      <c r="M82" s="455"/>
      <c r="N82" s="455"/>
      <c r="O82" s="455"/>
      <c r="P82" s="591"/>
      <c r="Q82" s="455"/>
      <c r="R82" s="455"/>
      <c r="S82" s="455"/>
      <c r="T82" s="455"/>
      <c r="U82" s="455"/>
      <c r="V82" s="455"/>
      <c r="W82" s="455"/>
      <c r="X82" s="455"/>
      <c r="Y82" s="455"/>
      <c r="Z82" s="455"/>
      <c r="AA82" s="455"/>
      <c r="AB82" s="455"/>
      <c r="AC82" s="455"/>
      <c r="AD82" s="455"/>
      <c r="AE82" s="455"/>
      <c r="AF82" s="455"/>
      <c r="AG82" s="455"/>
      <c r="AH82" s="455"/>
      <c r="AI82" s="455"/>
      <c r="AJ82" s="455"/>
      <c r="AK82" s="455"/>
      <c r="AL82" s="455"/>
      <c r="AM82" s="455"/>
      <c r="AN82" s="455"/>
      <c r="AO82" s="455"/>
      <c r="AP82" s="455"/>
      <c r="AQ82" s="455"/>
      <c r="AR82" s="455"/>
      <c r="AS82" s="455"/>
      <c r="AT82" s="455"/>
      <c r="AU82" s="455"/>
      <c r="AV82" s="455"/>
      <c r="AW82" s="455"/>
      <c r="AX82" s="455"/>
    </row>
    <row r="83" spans="1:50" s="584" customFormat="1" ht="15" customHeight="1" x14ac:dyDescent="0.3">
      <c r="A83" s="582"/>
      <c r="B83" s="582"/>
      <c r="C83" s="583"/>
      <c r="E83" s="609" t="s">
        <v>577</v>
      </c>
      <c r="F83" s="610">
        <f ca="1" xml:space="preserve"> TODAY()</f>
        <v>45862</v>
      </c>
      <c r="G83" s="607"/>
      <c r="I83" s="431"/>
      <c r="K83" s="587"/>
      <c r="L83" s="608"/>
      <c r="M83" s="587">
        <v>45861</v>
      </c>
      <c r="N83" s="587"/>
      <c r="O83" s="610">
        <v>45847</v>
      </c>
      <c r="P83" s="608"/>
    </row>
    <row r="84" spans="1:50" s="584" customFormat="1" ht="15" customHeight="1" x14ac:dyDescent="0.3">
      <c r="A84" s="582"/>
      <c r="B84" s="582"/>
      <c r="C84" s="583"/>
      <c r="E84" s="609" t="s">
        <v>25</v>
      </c>
      <c r="F84" s="611">
        <f ca="1" xml:space="preserve"> NOW()</f>
        <v>45862.581521874999</v>
      </c>
      <c r="G84" s="607"/>
      <c r="I84" s="431"/>
      <c r="K84" s="587"/>
      <c r="L84" s="608"/>
      <c r="M84" s="587">
        <v>45861.653357986113</v>
      </c>
      <c r="N84" s="587"/>
      <c r="O84" s="611">
        <v>45847.652121296298</v>
      </c>
      <c r="P84" s="608"/>
    </row>
    <row r="85" spans="1:50" s="584" customFormat="1" ht="15" customHeight="1" x14ac:dyDescent="0.3">
      <c r="A85" s="582"/>
      <c r="B85" s="582"/>
      <c r="C85" s="583"/>
      <c r="E85" s="590" t="s">
        <v>578</v>
      </c>
      <c r="F85" s="595" t="str">
        <f ca="1" xml:space="preserve"> MID(CELL("filename",$A$1), SEARCH("[", CELL("filename",$A$1)) + 1, SEARCH("]", CELL("filename",$A$1)) - SEARCH("[", CELL("filename",$A$1)) - 1)</f>
        <v>COMMUS_Model_202521_July 1e_AW_BL_.xlsx</v>
      </c>
      <c r="G85" s="448"/>
      <c r="H85" s="448"/>
      <c r="I85" s="5"/>
      <c r="J85" s="448"/>
      <c r="K85" s="587"/>
      <c r="L85" s="608"/>
      <c r="M85" s="587" t="s">
        <v>1150</v>
      </c>
      <c r="N85" s="587"/>
      <c r="O85" s="595" t="s">
        <v>1067</v>
      </c>
      <c r="P85" s="608"/>
    </row>
    <row r="86" spans="1:50" ht="15" customHeight="1" x14ac:dyDescent="0.3">
      <c r="E86" s="590"/>
      <c r="F86" s="595"/>
      <c r="O86" s="595"/>
    </row>
    <row r="88" spans="1:50" s="402" customFormat="1" ht="15" customHeight="1" x14ac:dyDescent="0.3">
      <c r="A88" s="400" t="s">
        <v>490</v>
      </c>
      <c r="B88" s="400"/>
      <c r="C88" s="401"/>
      <c r="I88" s="403"/>
      <c r="K88" s="404"/>
      <c r="L88" s="612"/>
      <c r="P88" s="612"/>
    </row>
    <row r="89" spans="1:50" ht="74.25" customHeight="1" x14ac:dyDescent="0.3">
      <c r="A89" s="809"/>
      <c r="B89" s="809"/>
      <c r="C89" s="810"/>
      <c r="D89" s="811"/>
      <c r="E89" s="811"/>
      <c r="F89" s="811"/>
      <c r="G89" s="811"/>
      <c r="H89" s="811"/>
      <c r="I89" s="812"/>
      <c r="J89" s="811"/>
      <c r="K89" s="813"/>
      <c r="L89" s="814"/>
      <c r="M89" s="815"/>
      <c r="N89" s="815"/>
      <c r="O89" s="811"/>
    </row>
  </sheetData>
  <mergeCells count="9">
    <mergeCell ref="R18:AA18"/>
    <mergeCell ref="R19:AA19"/>
    <mergeCell ref="R20:AA21"/>
    <mergeCell ref="R9:AA11"/>
    <mergeCell ref="R12:AA12"/>
    <mergeCell ref="R13:AA13"/>
    <mergeCell ref="R14:AA14"/>
    <mergeCell ref="R15:AA15"/>
    <mergeCell ref="R17:AA17"/>
  </mergeCells>
  <phoneticPr fontId="30" type="noConversion"/>
  <conditionalFormatting sqref="F2 M76:O78 M80:O80">
    <cfRule type="cellIs" dxfId="190" priority="3" stopIfTrue="1" operator="notEqual">
      <formula>0</formula>
    </cfRule>
    <cfRule type="cellIs" dxfId="189" priority="4" stopIfTrue="1" operator="equal">
      <formula>""</formula>
    </cfRule>
  </conditionalFormatting>
  <conditionalFormatting sqref="F3">
    <cfRule type="cellIs" dxfId="188" priority="1" stopIfTrue="1" operator="notEqual">
      <formula>0</formula>
    </cfRule>
    <cfRule type="cellIs" dxfId="187" priority="2" stopIfTrue="1" operator="equal">
      <formula>""</formula>
    </cfRule>
  </conditionalFormatting>
  <conditionalFormatting sqref="F76:F78">
    <cfRule type="cellIs" dxfId="186" priority="23" stopIfTrue="1" operator="notEqual">
      <formula>0</formula>
    </cfRule>
    <cfRule type="cellIs" dxfId="185" priority="24" stopIfTrue="1" operator="equal">
      <formula>""</formula>
    </cfRule>
  </conditionalFormatting>
  <conditionalFormatting sqref="F80">
    <cfRule type="cellIs" dxfId="184" priority="21" stopIfTrue="1" operator="notEqual">
      <formula>0</formula>
    </cfRule>
    <cfRule type="cellIs" dxfId="183" priority="22" stopIfTrue="1" operator="equal">
      <formula>""</formula>
    </cfRule>
  </conditionalFormatting>
  <conditionalFormatting sqref="I9:I23 I38:I46 I49:I56 I59:I71">
    <cfRule type="cellIs" dxfId="182" priority="5" stopIfTrue="1" operator="notEqual">
      <formula>0</formula>
    </cfRule>
    <cfRule type="cellIs" dxfId="181" priority="6" stopIfTrue="1" operator="equal">
      <formula>""</formula>
    </cfRule>
  </conditionalFormatting>
  <conditionalFormatting sqref="I13">
    <cfRule type="cellIs" dxfId="180" priority="17" stopIfTrue="1" operator="notEqual">
      <formula>0</formula>
    </cfRule>
    <cfRule type="cellIs" dxfId="179" priority="18" stopIfTrue="1" operator="equal">
      <formula>""</formula>
    </cfRule>
  </conditionalFormatting>
  <conditionalFormatting sqref="I26:I35">
    <cfRule type="cellIs" dxfId="178" priority="25" stopIfTrue="1" operator="notEqual">
      <formula>0</formula>
    </cfRule>
    <cfRule type="cellIs" dxfId="177" priority="26" stopIfTrue="1" operator="equal">
      <formula>""</formula>
    </cfRule>
  </conditionalFormatting>
  <conditionalFormatting sqref="I30">
    <cfRule type="cellIs" dxfId="176" priority="13" stopIfTrue="1" operator="notEqual">
      <formula>0</formula>
    </cfRule>
    <cfRule type="cellIs" dxfId="175" priority="14" stopIfTrue="1" operator="equal">
      <formula>""</formula>
    </cfRule>
    <cfRule type="cellIs" dxfId="174" priority="15" stopIfTrue="1" operator="notEqual">
      <formula>0</formula>
    </cfRule>
    <cfRule type="cellIs" dxfId="173" priority="16" stopIfTrue="1" operator="equal">
      <formula>""</formula>
    </cfRule>
  </conditionalFormatting>
  <conditionalFormatting sqref="I76:I78 I80">
    <cfRule type="cellIs" dxfId="172" priority="11" stopIfTrue="1" operator="notEqual">
      <formula>0</formula>
    </cfRule>
    <cfRule type="cellIs" dxfId="171" priority="12" stopIfTrue="1" operator="equal">
      <formula>""</formula>
    </cfRule>
  </conditionalFormatting>
  <dataValidations disablePrompts="1" count="1">
    <dataValidation type="list" allowBlank="1" showInputMessage="1" showErrorMessage="1" sqref="E4" xr:uid="{4B65EF37-078A-4630-9CA8-36F078E6213A}">
      <formula1>$L$5:$P$5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EE9D61-5344-4078-8763-C79D6DF3A5F0}">
  <sheetPr codeName="Sheet2">
    <tabColor theme="1"/>
  </sheetPr>
  <dimension ref="A1:AC75"/>
  <sheetViews>
    <sheetView showGridLines="0" tabSelected="1" zoomScale="60" zoomScaleNormal="60" workbookViewId="0">
      <selection activeCell="C42" sqref="C42"/>
    </sheetView>
  </sheetViews>
  <sheetFormatPr defaultColWidth="0" defaultRowHeight="13.8" x14ac:dyDescent="0.3"/>
  <cols>
    <col min="1" max="1" width="3" customWidth="1"/>
    <col min="2" max="2" width="1.88671875" customWidth="1"/>
    <col min="3" max="3" width="48.33203125" customWidth="1"/>
    <col min="4" max="4" width="14.33203125" customWidth="1"/>
    <col min="5" max="28" width="9.33203125" customWidth="1"/>
    <col min="29" max="29" width="2.6640625" customWidth="1"/>
    <col min="30" max="16384" width="9.33203125" hidden="1"/>
  </cols>
  <sheetData>
    <row r="1" spans="1:29" s="408" customFormat="1" ht="28.8" x14ac:dyDescent="0.55000000000000004">
      <c r="A1" s="405" t="str">
        <f ca="1" xml:space="preserve"> RIGHT( CELL("filename",A1), LEN( CELL("filename",A1)) - SEARCH("]", CELL("filename",A1)))</f>
        <v>Dashboard</v>
      </c>
      <c r="B1" s="406"/>
      <c r="C1" s="406"/>
      <c r="D1" s="406"/>
      <c r="E1" s="406"/>
      <c r="F1" s="406"/>
      <c r="G1" s="407"/>
      <c r="H1" s="407"/>
      <c r="I1" s="407"/>
      <c r="J1" s="406"/>
      <c r="K1" s="406"/>
      <c r="L1" s="406"/>
      <c r="M1" s="406"/>
      <c r="N1" s="406"/>
      <c r="O1" s="406"/>
      <c r="P1" s="406"/>
      <c r="Q1" s="406"/>
      <c r="R1" s="406"/>
      <c r="S1" s="406"/>
      <c r="T1" s="406"/>
      <c r="U1" s="406"/>
      <c r="V1" s="406"/>
      <c r="W1" s="406"/>
      <c r="X1" s="406"/>
      <c r="Y1" s="406"/>
      <c r="Z1" s="406"/>
      <c r="AA1" s="406"/>
      <c r="AB1" s="406"/>
      <c r="AC1" s="406"/>
    </row>
    <row r="2" spans="1:29" s="88" customFormat="1" ht="28.8" x14ac:dyDescent="0.55000000000000004">
      <c r="A2" s="409"/>
      <c r="B2" s="409"/>
      <c r="C2" s="409"/>
      <c r="D2" s="407"/>
      <c r="E2" s="407"/>
      <c r="F2" s="407"/>
      <c r="G2" s="410" t="str">
        <f xml:space="preserve"> Inputs_Con!F8</f>
        <v>COMMUS Copper Mine</v>
      </c>
      <c r="H2" s="410"/>
      <c r="I2" s="410"/>
      <c r="J2" s="410"/>
      <c r="K2" s="410"/>
      <c r="L2" s="409"/>
      <c r="M2" s="579">
        <f xml:space="preserve"> Track!F$80</f>
        <v>0</v>
      </c>
      <c r="N2" s="437" t="s">
        <v>0</v>
      </c>
      <c r="O2" s="409"/>
      <c r="P2" s="409"/>
      <c r="Q2" s="409"/>
      <c r="R2" s="409"/>
      <c r="S2" s="409"/>
      <c r="T2" s="409"/>
      <c r="U2" s="409"/>
      <c r="V2" s="409"/>
      <c r="W2" s="409"/>
      <c r="X2" s="409"/>
      <c r="Y2" s="409"/>
      <c r="Z2" s="409"/>
      <c r="AA2" s="409"/>
      <c r="AB2" s="409"/>
      <c r="AC2" s="409"/>
    </row>
    <row r="3" spans="1:29" s="88" customFormat="1" ht="28.8" x14ac:dyDescent="0.55000000000000004">
      <c r="A3" s="409"/>
      <c r="B3" s="409"/>
      <c r="C3" s="409"/>
      <c r="D3" s="409"/>
      <c r="E3" s="407"/>
      <c r="F3" s="407"/>
      <c r="G3" s="411" t="s">
        <v>491</v>
      </c>
      <c r="H3" s="409"/>
      <c r="I3" s="412">
        <f xml:space="preserve"> Inputs_Con!F9</f>
        <v>45839</v>
      </c>
      <c r="J3" s="409"/>
      <c r="K3" s="409"/>
      <c r="L3" s="409"/>
      <c r="M3" s="1212">
        <f xml:space="preserve"> Track!F$3</f>
        <v>0</v>
      </c>
      <c r="N3" s="437" t="s">
        <v>1</v>
      </c>
      <c r="O3" s="409"/>
      <c r="P3" s="409"/>
      <c r="Q3" s="409"/>
      <c r="R3" s="409"/>
      <c r="S3" s="409"/>
      <c r="T3" s="409"/>
      <c r="U3" s="409"/>
      <c r="V3" s="409"/>
      <c r="W3" s="409"/>
      <c r="X3" s="409"/>
      <c r="Y3" s="409"/>
      <c r="Z3" s="409"/>
      <c r="AA3" s="409"/>
      <c r="AB3" s="409"/>
      <c r="AC3" s="409"/>
    </row>
    <row r="4" spans="1:29" s="88" customFormat="1" ht="25.8" x14ac:dyDescent="0.3">
      <c r="A4" s="409"/>
      <c r="B4" s="409"/>
      <c r="C4" s="413"/>
      <c r="D4" s="414"/>
      <c r="E4" s="409"/>
      <c r="F4" s="409"/>
      <c r="G4" s="409"/>
      <c r="H4" s="409"/>
      <c r="I4" s="409"/>
      <c r="J4" s="409"/>
      <c r="K4" s="409"/>
      <c r="L4" s="409"/>
      <c r="M4" s="409"/>
      <c r="N4" s="409"/>
      <c r="O4" s="409"/>
      <c r="P4" s="409"/>
      <c r="Q4" s="409"/>
      <c r="R4" s="409"/>
      <c r="S4" s="409"/>
      <c r="T4" s="409"/>
      <c r="U4" s="409"/>
      <c r="V4" s="409"/>
      <c r="W4" s="409"/>
      <c r="X4" s="409"/>
      <c r="Y4" s="409"/>
      <c r="Z4" s="409"/>
      <c r="AA4" s="409"/>
      <c r="AB4" s="409"/>
      <c r="AC4" s="409"/>
    </row>
    <row r="5" spans="1:29" s="424" customFormat="1" ht="14.4" x14ac:dyDescent="0.3">
      <c r="A5" s="409"/>
      <c r="C5" s="928"/>
      <c r="D5" s="929"/>
      <c r="AC5" s="409"/>
    </row>
    <row r="6" spans="1:29" s="424" customFormat="1" ht="14.4" x14ac:dyDescent="0.3">
      <c r="A6" s="409"/>
      <c r="C6" s="437" t="s">
        <v>954</v>
      </c>
      <c r="D6" s="437"/>
      <c r="E6" s="437"/>
      <c r="F6" s="437"/>
      <c r="AC6" s="409"/>
    </row>
    <row r="7" spans="1:29" s="773" customFormat="1" ht="14.4" x14ac:dyDescent="0.3">
      <c r="A7" s="406"/>
      <c r="C7" s="168" t="s">
        <v>955</v>
      </c>
      <c r="D7" s="678" t="s">
        <v>878</v>
      </c>
      <c r="E7" s="168" t="s">
        <v>280</v>
      </c>
      <c r="F7" s="408"/>
      <c r="AC7" s="406"/>
    </row>
    <row r="8" spans="1:29" s="773" customFormat="1" ht="14.4" x14ac:dyDescent="0.3">
      <c r="A8" s="406"/>
      <c r="C8" s="50" t="s">
        <v>504</v>
      </c>
      <c r="D8" s="907">
        <v>2025</v>
      </c>
      <c r="E8" s="50" t="s">
        <v>27</v>
      </c>
      <c r="F8" s="408"/>
      <c r="AC8" s="406"/>
    </row>
    <row r="9" spans="1:29" s="424" customFormat="1" ht="14.4" x14ac:dyDescent="0.3">
      <c r="A9" s="409"/>
      <c r="C9" s="408"/>
      <c r="D9" s="408"/>
      <c r="E9" s="408"/>
      <c r="F9" s="88"/>
      <c r="AC9" s="409"/>
    </row>
    <row r="10" spans="1:29" s="424" customFormat="1" ht="14.4" x14ac:dyDescent="0.3">
      <c r="A10" s="409"/>
      <c r="C10" s="437" t="s">
        <v>956</v>
      </c>
      <c r="D10" s="437"/>
      <c r="E10" s="437"/>
      <c r="F10" s="437"/>
      <c r="AC10" s="409"/>
    </row>
    <row r="11" spans="1:29" s="424" customFormat="1" ht="14.4" x14ac:dyDescent="0.3">
      <c r="A11" s="409"/>
      <c r="C11" s="408"/>
      <c r="D11" s="408"/>
      <c r="E11" s="408"/>
      <c r="F11" s="88"/>
      <c r="AC11" s="409"/>
    </row>
    <row r="12" spans="1:29" s="424" customFormat="1" ht="14.4" x14ac:dyDescent="0.3">
      <c r="A12" s="409"/>
      <c r="C12" s="88" t="s">
        <v>957</v>
      </c>
      <c r="D12" s="88">
        <f>D58</f>
        <v>1466.4175190631361</v>
      </c>
      <c r="E12" s="88" t="s">
        <v>346</v>
      </c>
      <c r="F12" s="88"/>
      <c r="AC12" s="409"/>
    </row>
    <row r="13" spans="1:29" s="424" customFormat="1" ht="14.4" x14ac:dyDescent="0.3">
      <c r="A13" s="409"/>
      <c r="C13" s="88" t="s">
        <v>958</v>
      </c>
      <c r="D13" s="88">
        <f>D59</f>
        <v>577.20001608675273</v>
      </c>
      <c r="E13" s="88" t="s">
        <v>346</v>
      </c>
      <c r="F13" s="88"/>
      <c r="AC13" s="409"/>
    </row>
    <row r="14" spans="1:29" s="424" customFormat="1" ht="14.4" x14ac:dyDescent="0.3">
      <c r="A14" s="409"/>
      <c r="C14" s="88" t="s">
        <v>959</v>
      </c>
      <c r="D14" s="88">
        <f>D12 + D13</f>
        <v>2043.6175351498887</v>
      </c>
      <c r="E14" s="88" t="s">
        <v>346</v>
      </c>
      <c r="F14" s="88"/>
      <c r="AC14" s="409"/>
    </row>
    <row r="15" spans="1:29" s="424" customFormat="1" ht="14.4" x14ac:dyDescent="0.3">
      <c r="A15" s="409"/>
      <c r="C15" s="88" t="s">
        <v>960</v>
      </c>
      <c r="D15" s="1111">
        <f>D41</f>
        <v>0.39173219126720249</v>
      </c>
      <c r="E15" s="88" t="s">
        <v>34</v>
      </c>
      <c r="F15" s="88"/>
      <c r="AC15" s="409"/>
    </row>
    <row r="16" spans="1:29" s="424" customFormat="1" ht="14.4" x14ac:dyDescent="0.3">
      <c r="A16" s="409"/>
      <c r="C16" s="408"/>
      <c r="D16" s="408"/>
      <c r="E16" s="408"/>
      <c r="F16" s="88"/>
      <c r="AC16" s="409"/>
    </row>
    <row r="17" spans="1:29" s="424" customFormat="1" ht="14.4" x14ac:dyDescent="0.3">
      <c r="A17" s="409"/>
      <c r="C17" s="88" t="s">
        <v>961</v>
      </c>
      <c r="D17" s="88">
        <f>E37</f>
        <v>790.3683305311971</v>
      </c>
      <c r="E17" s="88" t="s">
        <v>962</v>
      </c>
      <c r="F17" s="88"/>
      <c r="AC17" s="409"/>
    </row>
    <row r="18" spans="1:29" ht="14.4" x14ac:dyDescent="0.3">
      <c r="A18" s="409"/>
      <c r="B18" s="88"/>
      <c r="C18" s="88"/>
      <c r="D18" s="88"/>
      <c r="E18" s="88"/>
      <c r="F18" s="88"/>
      <c r="G18" s="88"/>
      <c r="H18" s="88"/>
      <c r="I18" s="88"/>
      <c r="J18" s="88"/>
      <c r="K18" s="88"/>
      <c r="L18" s="88"/>
      <c r="M18" s="88"/>
      <c r="N18" s="88"/>
      <c r="O18" s="88"/>
      <c r="P18" s="88"/>
      <c r="Q18" s="88"/>
      <c r="R18" s="88"/>
      <c r="S18" s="88"/>
      <c r="T18" s="88"/>
      <c r="U18" s="88"/>
      <c r="V18" s="88"/>
      <c r="W18" s="88"/>
      <c r="X18" s="88"/>
      <c r="Y18" s="88"/>
      <c r="Z18" s="88"/>
      <c r="AA18" s="88"/>
      <c r="AB18" s="88"/>
      <c r="AC18" s="409"/>
    </row>
    <row r="19" spans="1:29" s="143" customFormat="1" ht="14.4" x14ac:dyDescent="0.3">
      <c r="A19" s="730"/>
      <c r="B19" s="168"/>
      <c r="C19" s="437" t="str">
        <f>"Project cashflows from: " &amp; D8</f>
        <v>Project cashflows from: 2025</v>
      </c>
      <c r="D19" s="437"/>
      <c r="E19" s="437"/>
      <c r="F19" s="730"/>
      <c r="G19" s="168"/>
      <c r="H19" s="168"/>
      <c r="I19" s="168"/>
      <c r="J19" s="168"/>
      <c r="K19" s="168"/>
      <c r="L19" s="168"/>
      <c r="M19" s="168"/>
      <c r="N19" s="168"/>
      <c r="O19" s="168"/>
      <c r="P19" s="168"/>
      <c r="Q19" s="168"/>
      <c r="R19" s="168"/>
      <c r="S19" s="168"/>
      <c r="T19" s="168"/>
      <c r="U19" s="168"/>
      <c r="V19" s="168"/>
      <c r="W19" s="168"/>
      <c r="X19" s="168"/>
      <c r="Y19" s="168"/>
      <c r="Z19" s="168"/>
      <c r="AA19" s="168"/>
      <c r="AB19" s="168"/>
      <c r="AC19" s="730"/>
    </row>
    <row r="20" spans="1:29" s="143" customFormat="1" ht="14.4" x14ac:dyDescent="0.3">
      <c r="A20" s="730"/>
      <c r="B20" s="168"/>
      <c r="C20" s="50" t="str">
        <f xml:space="preserve"> COMMUS_Model!E$1157</f>
        <v>Copper production incl Sens.</v>
      </c>
      <c r="D20" s="168">
        <f xml:space="preserve"> COMMUS_Model!N$1157</f>
        <v>770.03049999999996</v>
      </c>
      <c r="E20" s="168" t="str">
        <f xml:space="preserve"> COMMUS_Model!G$1157</f>
        <v>KT Cu</v>
      </c>
      <c r="F20" s="168"/>
      <c r="G20" s="168"/>
      <c r="H20" s="168"/>
      <c r="I20" s="168"/>
      <c r="J20" s="168"/>
      <c r="K20" s="168"/>
      <c r="L20" s="168"/>
      <c r="M20" s="168"/>
      <c r="N20" s="168"/>
      <c r="O20" s="168"/>
      <c r="P20" s="168"/>
      <c r="Q20" s="168"/>
      <c r="R20" s="168"/>
      <c r="S20" s="168"/>
      <c r="T20" s="168"/>
      <c r="U20" s="168"/>
      <c r="V20" s="168"/>
      <c r="W20" s="168"/>
      <c r="X20" s="168"/>
      <c r="Y20" s="168"/>
      <c r="Z20" s="168"/>
      <c r="AA20" s="168"/>
      <c r="AB20" s="168"/>
      <c r="AC20" s="730"/>
    </row>
    <row r="21" spans="1:29" s="143" customFormat="1" ht="14.4" x14ac:dyDescent="0.3">
      <c r="A21" s="730"/>
      <c r="B21" s="168"/>
      <c r="C21" s="50" t="str">
        <f xml:space="preserve"> COMMUS_Model!E$1158</f>
        <v>Cobalt production incl Sens.</v>
      </c>
      <c r="D21" s="168">
        <f xml:space="preserve"> COMMUS_Model!N$1158</f>
        <v>12.494162857142857</v>
      </c>
      <c r="E21" s="168" t="str">
        <f xml:space="preserve"> COMMUS_Model!G$1158</f>
        <v>KT Co</v>
      </c>
      <c r="F21" s="168"/>
      <c r="G21" s="168"/>
      <c r="H21" s="168"/>
      <c r="I21" s="168"/>
      <c r="J21" s="168"/>
      <c r="K21" s="168"/>
      <c r="L21" s="168"/>
      <c r="M21" s="168"/>
      <c r="N21" s="168"/>
      <c r="O21" s="168"/>
      <c r="P21" s="168"/>
      <c r="Q21" s="168"/>
      <c r="R21" s="168"/>
      <c r="S21" s="168"/>
      <c r="T21" s="168"/>
      <c r="U21" s="168"/>
      <c r="V21" s="168"/>
      <c r="W21" s="168"/>
      <c r="X21" s="168"/>
      <c r="Y21" s="168"/>
      <c r="Z21" s="168"/>
      <c r="AA21" s="168"/>
      <c r="AB21" s="168"/>
      <c r="AC21" s="730"/>
    </row>
    <row r="22" spans="1:29" s="143" customFormat="1" ht="14.4" x14ac:dyDescent="0.3">
      <c r="A22" s="730"/>
      <c r="B22" s="168"/>
      <c r="C22" s="50" t="str">
        <f xml:space="preserve"> COMMUS_Model!E$1159</f>
        <v>Ratio Co to Cu production</v>
      </c>
      <c r="D22" s="874">
        <f xml:space="preserve"> COMMUS_Model!N$1159</f>
        <v>1.6225542828683874E-2</v>
      </c>
      <c r="E22" s="168" t="str">
        <f xml:space="preserve"> COMMUS_Model!G$1159</f>
        <v>ratio</v>
      </c>
      <c r="F22" s="168"/>
      <c r="G22" s="168"/>
      <c r="H22" s="168"/>
      <c r="I22" s="168"/>
      <c r="J22" s="168"/>
      <c r="K22" s="168"/>
      <c r="L22" s="168"/>
      <c r="M22" s="168"/>
      <c r="N22" s="168"/>
      <c r="O22" s="168"/>
      <c r="P22" s="168"/>
      <c r="Q22" s="168"/>
      <c r="R22" s="168"/>
      <c r="S22" s="168"/>
      <c r="T22" s="168"/>
      <c r="U22" s="168"/>
      <c r="V22" s="168"/>
      <c r="W22" s="168"/>
      <c r="X22" s="168"/>
      <c r="Y22" s="168"/>
      <c r="Z22" s="168"/>
      <c r="AA22" s="168"/>
      <c r="AB22" s="168"/>
      <c r="AC22" s="730"/>
    </row>
    <row r="23" spans="1:29" s="143" customFormat="1" ht="14.4" x14ac:dyDescent="0.3">
      <c r="A23" s="730"/>
      <c r="B23" s="168"/>
      <c r="C23" s="50" t="str">
        <f xml:space="preserve"> COMMUS_Model!E$1167</f>
        <v>Copper net revenue</v>
      </c>
      <c r="D23" s="168">
        <f xml:space="preserve"> COMMUS_Model!N$1167</f>
        <v>6407.5023535756927</v>
      </c>
      <c r="E23" s="168" t="str">
        <f xml:space="preserve"> COMMUS_Model!G$1167</f>
        <v>$ mn</v>
      </c>
      <c r="F23" s="168"/>
      <c r="G23" s="168"/>
      <c r="H23" s="168"/>
      <c r="I23" s="168"/>
      <c r="J23" s="168"/>
      <c r="K23" s="168"/>
      <c r="L23" s="168"/>
      <c r="M23" s="168"/>
      <c r="N23" s="168"/>
      <c r="O23" s="168"/>
      <c r="P23" s="168"/>
      <c r="Q23" s="168"/>
      <c r="R23" s="168"/>
      <c r="S23" s="168"/>
      <c r="T23" s="168"/>
      <c r="U23" s="168"/>
      <c r="V23" s="168"/>
      <c r="W23" s="168"/>
      <c r="X23" s="168"/>
      <c r="Y23" s="168"/>
      <c r="Z23" s="168"/>
      <c r="AA23" s="168"/>
      <c r="AB23" s="168"/>
      <c r="AC23" s="730"/>
    </row>
    <row r="24" spans="1:29" s="143" customFormat="1" ht="14.4" x14ac:dyDescent="0.3">
      <c r="A24" s="730"/>
      <c r="B24" s="168"/>
      <c r="C24" s="50" t="str">
        <f xml:space="preserve"> COMMUS_Model!E$1168</f>
        <v>Cobalt net revenue</v>
      </c>
      <c r="D24" s="168">
        <f xml:space="preserve"> COMMUS_Model!N$1168</f>
        <v>327.94017984808022</v>
      </c>
      <c r="E24" s="168" t="str">
        <f xml:space="preserve"> COMMUS_Model!G$1168</f>
        <v>$ mn</v>
      </c>
      <c r="F24" s="168"/>
      <c r="G24" s="168"/>
      <c r="H24" s="168"/>
      <c r="I24" s="168"/>
      <c r="J24" s="168"/>
      <c r="K24" s="168"/>
      <c r="L24" s="168"/>
      <c r="M24" s="168"/>
      <c r="N24" s="168"/>
      <c r="O24" s="168"/>
      <c r="P24" s="168"/>
      <c r="Q24" s="168"/>
      <c r="R24" s="168"/>
      <c r="S24" s="168"/>
      <c r="T24" s="168"/>
      <c r="U24" s="168"/>
      <c r="V24" s="168"/>
      <c r="W24" s="168"/>
      <c r="X24" s="168"/>
      <c r="Y24" s="168"/>
      <c r="Z24" s="168"/>
      <c r="AA24" s="168"/>
      <c r="AB24" s="168"/>
      <c r="AC24" s="730"/>
    </row>
    <row r="25" spans="1:29" s="143" customFormat="1" ht="14.4" x14ac:dyDescent="0.3">
      <c r="A25" s="730"/>
      <c r="B25" s="168"/>
      <c r="C25" s="1176" t="str">
        <f xml:space="preserve"> COMMUS_Model!E$1169</f>
        <v>Total net revenue</v>
      </c>
      <c r="D25" s="554">
        <f xml:space="preserve"> COMMUS_Model!N$1169</f>
        <v>6735.4425334237731</v>
      </c>
      <c r="E25" s="554" t="str">
        <f xml:space="preserve"> COMMUS_Model!G$1169</f>
        <v>$ mn</v>
      </c>
      <c r="F25" s="168"/>
      <c r="G25" s="168"/>
      <c r="H25" s="168"/>
      <c r="I25" s="168"/>
      <c r="J25" s="168"/>
      <c r="K25" s="168"/>
      <c r="L25" s="168"/>
      <c r="M25" s="168"/>
      <c r="N25" s="168"/>
      <c r="O25" s="168"/>
      <c r="P25" s="168"/>
      <c r="Q25" s="168"/>
      <c r="R25" s="168"/>
      <c r="S25" s="168"/>
      <c r="T25" s="168"/>
      <c r="U25" s="168"/>
      <c r="V25" s="168"/>
      <c r="W25" s="168"/>
      <c r="X25" s="168"/>
      <c r="Y25" s="168"/>
      <c r="Z25" s="168"/>
      <c r="AA25" s="168"/>
      <c r="AB25" s="168"/>
      <c r="AC25" s="730"/>
    </row>
    <row r="26" spans="1:29" s="143" customFormat="1" ht="14.4" x14ac:dyDescent="0.3">
      <c r="A26" s="730"/>
      <c r="B26" s="168"/>
      <c r="C26" s="50" t="str">
        <f xml:space="preserve"> COMMUS_Model!E$1171</f>
        <v>Operating costs, including Sens.</v>
      </c>
      <c r="D26" s="168">
        <f xml:space="preserve"> COMMUS_Model!N$1171</f>
        <v>4000.4893766404239</v>
      </c>
      <c r="E26" s="168" t="str">
        <f xml:space="preserve"> COMMUS_Model!G$1171</f>
        <v>$ mn</v>
      </c>
      <c r="F26" s="168"/>
      <c r="G26" s="168"/>
      <c r="H26" s="168"/>
      <c r="I26" s="168"/>
      <c r="J26" s="168"/>
      <c r="K26" s="168"/>
      <c r="L26" s="168"/>
      <c r="M26" s="168"/>
      <c r="N26" s="168"/>
      <c r="O26" s="168"/>
      <c r="P26" s="168"/>
      <c r="Q26" s="168"/>
      <c r="R26" s="168"/>
      <c r="S26" s="168"/>
      <c r="T26" s="168"/>
      <c r="U26" s="168"/>
      <c r="V26" s="168"/>
      <c r="W26" s="168"/>
      <c r="X26" s="168"/>
      <c r="Y26" s="168"/>
      <c r="Z26" s="168"/>
      <c r="AA26" s="168"/>
      <c r="AB26" s="168"/>
      <c r="AC26" s="730"/>
    </row>
    <row r="27" spans="1:29" s="143" customFormat="1" ht="14.4" x14ac:dyDescent="0.3">
      <c r="A27" s="730"/>
      <c r="B27" s="168"/>
      <c r="C27" s="50" t="str">
        <f xml:space="preserve"> COMMUS_Model!E$1172</f>
        <v>Capital costs, including Sens.</v>
      </c>
      <c r="D27" s="168">
        <f xml:space="preserve"> COMMUS_Model!N$1172</f>
        <v>0</v>
      </c>
      <c r="E27" s="168" t="str">
        <f xml:space="preserve"> COMMUS_Model!G$1172</f>
        <v>$ mn</v>
      </c>
      <c r="F27" s="168"/>
      <c r="G27" s="168"/>
      <c r="H27" s="168"/>
      <c r="I27" s="168"/>
      <c r="J27" s="168"/>
      <c r="K27" s="168"/>
      <c r="L27" s="168"/>
      <c r="M27" s="168"/>
      <c r="N27" s="168"/>
      <c r="O27" s="168"/>
      <c r="P27" s="168"/>
      <c r="Q27" s="168"/>
      <c r="R27" s="168"/>
      <c r="S27" s="168"/>
      <c r="T27" s="168"/>
      <c r="U27" s="168"/>
      <c r="V27" s="168"/>
      <c r="W27" s="168"/>
      <c r="X27" s="168"/>
      <c r="Y27" s="168"/>
      <c r="Z27" s="168"/>
      <c r="AA27" s="168"/>
      <c r="AB27" s="168"/>
      <c r="AC27" s="730"/>
    </row>
    <row r="28" spans="1:29" s="143" customFormat="1" ht="14.4" x14ac:dyDescent="0.3">
      <c r="A28" s="730"/>
      <c r="B28" s="168"/>
      <c r="C28" s="1150" t="str">
        <f xml:space="preserve"> COMMUS_Model!E$1173</f>
        <v>Project costs</v>
      </c>
      <c r="D28" s="868">
        <f xml:space="preserve"> COMMUS_Model!N$1173</f>
        <v>4000.4893766404239</v>
      </c>
      <c r="E28" s="868" t="str">
        <f xml:space="preserve"> COMMUS_Model!G$1173</f>
        <v>$ mn</v>
      </c>
      <c r="F28" s="168"/>
      <c r="G28" s="168"/>
      <c r="H28" s="168"/>
      <c r="I28" s="168"/>
      <c r="J28" s="168"/>
      <c r="K28" s="168"/>
      <c r="L28" s="168"/>
      <c r="M28" s="168"/>
      <c r="N28" s="168"/>
      <c r="O28" s="168"/>
      <c r="P28" s="168"/>
      <c r="Q28" s="168"/>
      <c r="R28" s="168"/>
      <c r="S28" s="168"/>
      <c r="T28" s="168"/>
      <c r="U28" s="168"/>
      <c r="V28" s="168"/>
      <c r="W28" s="168"/>
      <c r="X28" s="168"/>
      <c r="Y28" s="168"/>
      <c r="Z28" s="168"/>
      <c r="AA28" s="168"/>
      <c r="AB28" s="168"/>
      <c r="AC28" s="730"/>
    </row>
    <row r="29" spans="1:29" s="143" customFormat="1" ht="14.4" x14ac:dyDescent="0.3">
      <c r="A29" s="730"/>
      <c r="B29" s="168"/>
      <c r="C29" s="1176" t="str">
        <f xml:space="preserve"> COMMUS_Model!E$1175</f>
        <v>Project cashflows before fiscal regime</v>
      </c>
      <c r="D29" s="554">
        <f xml:space="preserve"> COMMUS_Model!N$1175</f>
        <v>2734.9531567833492</v>
      </c>
      <c r="E29" s="554" t="str">
        <f xml:space="preserve"> COMMUS_Model!G$1175</f>
        <v>$ mn</v>
      </c>
      <c r="F29" s="168"/>
      <c r="G29" s="168"/>
      <c r="H29" s="168"/>
      <c r="I29" s="168"/>
      <c r="J29" s="168"/>
      <c r="K29" s="168"/>
      <c r="L29" s="168"/>
      <c r="M29" s="168"/>
      <c r="N29" s="168"/>
      <c r="O29" s="168"/>
      <c r="P29" s="168"/>
      <c r="Q29" s="168"/>
      <c r="R29" s="168"/>
      <c r="S29" s="168"/>
      <c r="T29" s="168"/>
      <c r="U29" s="168"/>
      <c r="V29" s="168"/>
      <c r="W29" s="168"/>
      <c r="X29" s="168"/>
      <c r="Y29" s="168"/>
      <c r="Z29" s="168"/>
      <c r="AA29" s="168"/>
      <c r="AB29" s="168"/>
      <c r="AC29" s="730"/>
    </row>
    <row r="30" spans="1:29" s="143" customFormat="1" ht="14.4" x14ac:dyDescent="0.3">
      <c r="A30" s="730"/>
      <c r="B30" s="168"/>
      <c r="C30" s="51" t="str">
        <f xml:space="preserve"> C29 &amp; " check"</f>
        <v>Project cashflows before fiscal regime check</v>
      </c>
      <c r="D30" s="442">
        <f xml:space="preserve"> IF( ABS(D29 - D33) &gt; CHK_TOL, 1, 0)</f>
        <v>0</v>
      </c>
      <c r="E30" s="88" t="s">
        <v>509</v>
      </c>
      <c r="F30" s="168"/>
      <c r="G30" s="168"/>
      <c r="H30" s="168"/>
      <c r="I30" s="168"/>
      <c r="J30" s="168"/>
      <c r="K30" s="168"/>
      <c r="L30" s="168"/>
      <c r="M30" s="168"/>
      <c r="N30" s="168"/>
      <c r="O30" s="168"/>
      <c r="P30" s="168"/>
      <c r="Q30" s="168"/>
      <c r="R30" s="168"/>
      <c r="S30" s="168"/>
      <c r="T30" s="168"/>
      <c r="U30" s="168"/>
      <c r="V30" s="168"/>
      <c r="W30" s="168"/>
      <c r="X30" s="168"/>
      <c r="Y30" s="168"/>
      <c r="Z30" s="168"/>
      <c r="AA30" s="168"/>
      <c r="AB30" s="168"/>
      <c r="AC30" s="730"/>
    </row>
    <row r="31" spans="1:29" s="143" customFormat="1" ht="14.4" x14ac:dyDescent="0.3">
      <c r="A31" s="730"/>
      <c r="B31" s="168"/>
      <c r="C31" s="168"/>
      <c r="D31" s="168"/>
      <c r="E31" s="168"/>
      <c r="F31" s="168"/>
      <c r="G31" s="168"/>
      <c r="H31" s="168"/>
      <c r="I31" s="168"/>
      <c r="J31" s="168"/>
      <c r="K31" s="168"/>
      <c r="L31" s="168"/>
      <c r="M31" s="168"/>
      <c r="N31" s="168"/>
      <c r="O31" s="168"/>
      <c r="P31" s="168"/>
      <c r="Q31" s="168"/>
      <c r="R31" s="168"/>
      <c r="S31" s="168"/>
      <c r="T31" s="168"/>
      <c r="U31" s="168"/>
      <c r="V31" s="168"/>
      <c r="W31" s="168"/>
      <c r="X31" s="168"/>
      <c r="Y31" s="168"/>
      <c r="Z31" s="168"/>
      <c r="AA31" s="168"/>
      <c r="AB31" s="168"/>
      <c r="AC31" s="730"/>
    </row>
    <row r="32" spans="1:29" s="143" customFormat="1" ht="14.4" x14ac:dyDescent="0.3">
      <c r="A32" s="730"/>
      <c r="B32" s="168"/>
      <c r="C32" s="437" t="str">
        <f>"Participant results from: " &amp; D8 &amp; " USD mn"</f>
        <v>Participant results from: 2025 USD mn</v>
      </c>
      <c r="D32" s="443" t="s">
        <v>510</v>
      </c>
      <c r="E32" s="443" t="s">
        <v>511</v>
      </c>
      <c r="F32" s="730"/>
      <c r="G32" s="168"/>
      <c r="H32" s="168"/>
      <c r="I32" s="168"/>
      <c r="J32" s="168"/>
      <c r="K32" s="168"/>
      <c r="L32" s="168"/>
      <c r="M32" s="168"/>
      <c r="N32" s="168"/>
      <c r="O32" s="168"/>
      <c r="P32" s="168"/>
      <c r="Q32" s="168"/>
      <c r="R32" s="168"/>
      <c r="S32" s="168"/>
      <c r="T32" s="168"/>
      <c r="U32" s="168"/>
      <c r="V32" s="168"/>
      <c r="W32" s="168"/>
      <c r="X32" s="168"/>
      <c r="Y32" s="168"/>
      <c r="Z32" s="168"/>
      <c r="AA32" s="168"/>
      <c r="AB32" s="168"/>
      <c r="AC32" s="730"/>
    </row>
    <row r="33" spans="1:29" s="143" customFormat="1" ht="14.4" x14ac:dyDescent="0.3">
      <c r="A33" s="730"/>
      <c r="B33" s="168"/>
      <c r="C33" s="168" t="str">
        <f xml:space="preserve"> COMMUS_Model!E$1199</f>
        <v>Project cashflow before tax</v>
      </c>
      <c r="D33" s="168">
        <f xml:space="preserve"> COMMUS_Model!N$1199</f>
        <v>2734.9531567833492</v>
      </c>
      <c r="E33" s="168">
        <f xml:space="preserve"> COMMUS_Model!N$1212</f>
        <v>2041.8331640161687</v>
      </c>
      <c r="F33" s="168"/>
      <c r="G33" s="168"/>
      <c r="H33" s="168"/>
      <c r="I33" s="168"/>
      <c r="J33" s="168"/>
      <c r="K33" s="168"/>
      <c r="L33" s="168"/>
      <c r="M33" s="168"/>
      <c r="N33" s="168"/>
      <c r="O33" s="168"/>
      <c r="P33" s="168"/>
      <c r="Q33" s="168"/>
      <c r="R33" s="168"/>
      <c r="S33" s="168"/>
      <c r="T33" s="168"/>
      <c r="U33" s="168"/>
      <c r="V33" s="168"/>
      <c r="W33" s="168"/>
      <c r="X33" s="168"/>
      <c r="Y33" s="168"/>
      <c r="Z33" s="168"/>
      <c r="AA33" s="168"/>
      <c r="AB33" s="168"/>
      <c r="AC33" s="730"/>
    </row>
    <row r="34" spans="1:29" s="70" customFormat="1" ht="14.4" x14ac:dyDescent="0.3">
      <c r="A34" s="406"/>
      <c r="B34" s="408"/>
      <c r="C34" s="168" t="str">
        <f xml:space="preserve"> COMMUS_Model!E$1200</f>
        <v>Government revenues excl Gecamines participation</v>
      </c>
      <c r="D34" s="168">
        <f xml:space="preserve"> COMMUS_Model!N$1200</f>
        <v>1466.4175190631361</v>
      </c>
      <c r="E34" s="168">
        <f xml:space="preserve"> COMMUS_Model!N$1213</f>
        <v>1069.6506774714783</v>
      </c>
      <c r="F34" s="408"/>
      <c r="G34" s="408"/>
      <c r="H34" s="408"/>
      <c r="I34" s="408"/>
      <c r="J34" s="408"/>
      <c r="K34" s="408"/>
      <c r="L34" s="408"/>
      <c r="M34" s="408"/>
      <c r="N34" s="408"/>
      <c r="O34" s="408"/>
      <c r="P34" s="408"/>
      <c r="Q34" s="408"/>
      <c r="R34" s="408"/>
      <c r="S34" s="408"/>
      <c r="T34" s="408"/>
      <c r="U34" s="408"/>
      <c r="V34" s="408"/>
      <c r="W34" s="408"/>
      <c r="X34" s="408"/>
      <c r="Y34" s="408"/>
      <c r="Z34" s="408"/>
      <c r="AA34" s="408"/>
      <c r="AB34" s="408"/>
      <c r="AC34" s="406"/>
    </row>
    <row r="35" spans="1:29" s="70" customFormat="1" ht="14.4" x14ac:dyDescent="0.3">
      <c r="A35" s="406"/>
      <c r="B35" s="408"/>
      <c r="C35" s="168" t="str">
        <f xml:space="preserve"> COMMUS_Model!E$1201</f>
        <v>Gecamines share of cashflows after repaying loan</v>
      </c>
      <c r="D35" s="168">
        <f xml:space="preserve"> COMMUS_Model!N$1201</f>
        <v>577.20001608675273</v>
      </c>
      <c r="E35" s="168">
        <f xml:space="preserve"> COMMUS_Model!N$1214</f>
        <v>432.53988238025715</v>
      </c>
      <c r="F35" s="408"/>
      <c r="G35" s="408"/>
      <c r="H35" s="408"/>
      <c r="I35" s="408"/>
      <c r="J35" s="408"/>
      <c r="K35" s="408"/>
      <c r="L35" s="408"/>
      <c r="M35" s="408"/>
      <c r="N35" s="408"/>
      <c r="O35" s="408"/>
      <c r="P35" s="408"/>
      <c r="Q35" s="408"/>
      <c r="R35" s="408"/>
      <c r="S35" s="408"/>
      <c r="T35" s="408"/>
      <c r="U35" s="408"/>
      <c r="V35" s="408"/>
      <c r="W35" s="408"/>
      <c r="X35" s="408"/>
      <c r="Y35" s="408"/>
      <c r="Z35" s="408"/>
      <c r="AA35" s="408"/>
      <c r="AB35" s="408"/>
      <c r="AC35" s="406"/>
    </row>
    <row r="36" spans="1:29" s="70" customFormat="1" ht="14.4" x14ac:dyDescent="0.3">
      <c r="A36" s="406"/>
      <c r="B36" s="408"/>
      <c r="C36" s="168" t="str">
        <f xml:space="preserve"> COMMUS_Model!E$1202</f>
        <v>Government revenues incl Gecamines</v>
      </c>
      <c r="D36" s="168">
        <f xml:space="preserve"> COMMUS_Model!N$1202</f>
        <v>2043.6175351498887</v>
      </c>
      <c r="E36" s="168">
        <f xml:space="preserve"> COMMUS_Model!N$1215</f>
        <v>1502.1905598517353</v>
      </c>
      <c r="F36" s="408"/>
      <c r="G36" s="408"/>
      <c r="H36" s="408"/>
      <c r="I36" s="408"/>
      <c r="J36" s="408"/>
      <c r="K36" s="408"/>
      <c r="L36" s="408"/>
      <c r="M36" s="408"/>
      <c r="N36" s="408"/>
      <c r="O36" s="408"/>
      <c r="P36" s="408"/>
      <c r="Q36" s="408"/>
      <c r="R36" s="408"/>
      <c r="S36" s="408"/>
      <c r="T36" s="408"/>
      <c r="U36" s="408"/>
      <c r="V36" s="408"/>
      <c r="W36" s="408"/>
      <c r="X36" s="408"/>
      <c r="Y36" s="408"/>
      <c r="Z36" s="408"/>
      <c r="AA36" s="408"/>
      <c r="AB36" s="408"/>
      <c r="AC36" s="406"/>
    </row>
    <row r="37" spans="1:29" s="70" customFormat="1" ht="14.4" x14ac:dyDescent="0.3">
      <c r="A37" s="406"/>
      <c r="B37" s="408"/>
      <c r="C37" s="168" t="str">
        <f xml:space="preserve"> COMMUS_Model!E$1203</f>
        <v>Zijin final cashflows</v>
      </c>
      <c r="D37" s="168">
        <f xml:space="preserve"> COMMUS_Model!N$1203</f>
        <v>1054.7018475767027</v>
      </c>
      <c r="E37" s="168">
        <f xml:space="preserve"> COMMUS_Model!N$1216</f>
        <v>790.3683305311971</v>
      </c>
      <c r="F37" s="408"/>
      <c r="G37" s="408"/>
      <c r="H37" s="408"/>
      <c r="I37" s="408"/>
      <c r="J37" s="408"/>
      <c r="K37" s="408"/>
      <c r="L37" s="408"/>
      <c r="M37" s="408"/>
      <c r="N37" s="408"/>
      <c r="O37" s="408"/>
      <c r="P37" s="408"/>
      <c r="Q37" s="408"/>
      <c r="R37" s="408"/>
      <c r="S37" s="408"/>
      <c r="T37" s="408"/>
      <c r="U37" s="408"/>
      <c r="V37" s="408"/>
      <c r="W37" s="408"/>
      <c r="X37" s="408"/>
      <c r="Y37" s="408"/>
      <c r="Z37" s="408"/>
      <c r="AA37" s="408"/>
      <c r="AB37" s="408"/>
      <c r="AC37" s="406"/>
    </row>
    <row r="38" spans="1:29" s="70" customFormat="1" ht="14.4" x14ac:dyDescent="0.3">
      <c r="A38" s="406"/>
      <c r="B38" s="408"/>
      <c r="C38" s="168" t="str">
        <f xml:space="preserve"> COMMUS_Model!E$1204</f>
        <v>Net debt cashflows: 3rd party lenders</v>
      </c>
      <c r="D38" s="168">
        <f xml:space="preserve"> COMMUS_Model!N$1204</f>
        <v>31.682100000000002</v>
      </c>
      <c r="E38" s="168">
        <f xml:space="preserve"> COMMUS_Model!N$1217</f>
        <v>28.858920252149243</v>
      </c>
      <c r="F38" s="408"/>
      <c r="G38" s="408"/>
      <c r="H38" s="408"/>
      <c r="I38" s="408"/>
      <c r="J38" s="408"/>
      <c r="K38" s="408"/>
      <c r="L38" s="408"/>
      <c r="M38" s="408"/>
      <c r="N38" s="408"/>
      <c r="O38" s="408"/>
      <c r="P38" s="408"/>
      <c r="Q38" s="408"/>
      <c r="R38" s="408"/>
      <c r="S38" s="408"/>
      <c r="T38" s="408"/>
      <c r="U38" s="408"/>
      <c r="V38" s="408"/>
      <c r="W38" s="408"/>
      <c r="X38" s="408"/>
      <c r="Y38" s="408"/>
      <c r="Z38" s="408"/>
      <c r="AA38" s="408"/>
      <c r="AB38" s="408"/>
      <c r="AC38" s="406"/>
    </row>
    <row r="39" spans="1:29" s="70" customFormat="1" ht="14.4" x14ac:dyDescent="0.3">
      <c r="A39" s="406"/>
      <c r="B39" s="408"/>
      <c r="C39" s="168" t="str">
        <f xml:space="preserve"> COMMUS_Model!E$1205</f>
        <v>Additional govt revenues incl. in project costs</v>
      </c>
      <c r="D39" s="168">
        <f xml:space="preserve"> COMMUS_Model!N$1205</f>
        <v>395.04832594324182</v>
      </c>
      <c r="E39" s="168">
        <f xml:space="preserve"> COMMUS_Model!N$1218</f>
        <v>279.58464661891321</v>
      </c>
      <c r="F39" s="408"/>
      <c r="G39" s="408"/>
      <c r="H39" s="408"/>
      <c r="I39" s="408"/>
      <c r="J39" s="408"/>
      <c r="K39" s="408"/>
      <c r="L39" s="408"/>
      <c r="M39" s="408"/>
      <c r="N39" s="408"/>
      <c r="O39" s="408"/>
      <c r="P39" s="408"/>
      <c r="Q39" s="408"/>
      <c r="R39" s="408"/>
      <c r="S39" s="408"/>
      <c r="T39" s="408"/>
      <c r="U39" s="408"/>
      <c r="V39" s="408"/>
      <c r="W39" s="408"/>
      <c r="X39" s="408"/>
      <c r="Y39" s="408"/>
      <c r="Z39" s="408"/>
      <c r="AA39" s="408"/>
      <c r="AB39" s="408"/>
      <c r="AC39" s="406"/>
    </row>
    <row r="40" spans="1:29" s="143" customFormat="1" ht="14.4" x14ac:dyDescent="0.3">
      <c r="A40" s="730"/>
      <c r="B40" s="168"/>
      <c r="C40" s="168" t="str">
        <f xml:space="preserve"> COMMUS_Model!E$1206</f>
        <v>Check: project cashflows by time period</v>
      </c>
      <c r="D40" s="702">
        <f xml:space="preserve"> COMMUS_Model!N$1206</f>
        <v>0</v>
      </c>
      <c r="E40" s="702">
        <f xml:space="preserve"> COMMUS_Model!N$1219</f>
        <v>0</v>
      </c>
      <c r="F40" s="168" t="s">
        <v>509</v>
      </c>
      <c r="G40" s="168"/>
      <c r="H40" s="168"/>
      <c r="I40" s="168"/>
      <c r="J40" s="168"/>
      <c r="K40" s="168"/>
      <c r="L40" s="168"/>
      <c r="M40" s="168"/>
      <c r="N40" s="168"/>
      <c r="O40" s="168"/>
      <c r="P40" s="168"/>
      <c r="Q40" s="168"/>
      <c r="R40" s="168"/>
      <c r="S40" s="168"/>
      <c r="T40" s="168"/>
      <c r="U40" s="168"/>
      <c r="V40" s="168"/>
      <c r="W40" s="168"/>
      <c r="X40" s="168"/>
      <c r="Y40" s="168"/>
      <c r="Z40" s="168"/>
      <c r="AA40" s="168"/>
      <c r="AB40" s="168"/>
      <c r="AC40" s="730"/>
    </row>
    <row r="41" spans="1:29" s="143" customFormat="1" ht="14.4" x14ac:dyDescent="0.3">
      <c r="A41" s="730"/>
      <c r="B41" s="168"/>
      <c r="C41" s="168" t="str">
        <f xml:space="preserve"> COMMUS_Model!E$1208</f>
        <v>Government share: excluding payroll &amp; indirect taxes</v>
      </c>
      <c r="D41" s="718">
        <f xml:space="preserve"> COMMUS_Model!N$1208</f>
        <v>0.39173219126720249</v>
      </c>
      <c r="E41" s="951"/>
      <c r="F41" s="168"/>
      <c r="G41" s="168"/>
      <c r="H41" s="168"/>
      <c r="I41" s="168"/>
      <c r="J41" s="168"/>
      <c r="K41" s="168"/>
      <c r="L41" s="168"/>
      <c r="M41" s="168"/>
      <c r="N41" s="168"/>
      <c r="O41" s="168"/>
      <c r="P41" s="168"/>
      <c r="Q41" s="168"/>
      <c r="R41" s="168"/>
      <c r="S41" s="168"/>
      <c r="T41" s="168"/>
      <c r="U41" s="168"/>
      <c r="V41" s="168"/>
      <c r="W41" s="168"/>
      <c r="X41" s="168"/>
      <c r="Y41" s="168"/>
      <c r="Z41" s="168"/>
      <c r="AA41" s="168"/>
      <c r="AB41" s="168"/>
      <c r="AC41" s="730"/>
    </row>
    <row r="42" spans="1:29" s="143" customFormat="1" ht="14.4" x14ac:dyDescent="0.3">
      <c r="A42" s="730"/>
      <c r="B42" s="168"/>
      <c r="C42" s="168" t="str">
        <f xml:space="preserve"> COMMUS_Model!E$1209</f>
        <v>Government share: excluding Gecamines</v>
      </c>
      <c r="D42" s="718">
        <f xml:space="preserve"> COMMUS_Model!N$1209</f>
        <v>0.53617646628647508</v>
      </c>
      <c r="E42" s="718">
        <f xml:space="preserve"> COMMUS_Model!N$1221</f>
        <v>0.52386781462964227</v>
      </c>
      <c r="F42" s="168"/>
      <c r="G42" s="168"/>
      <c r="H42" s="168"/>
      <c r="I42" s="168"/>
      <c r="J42" s="168"/>
      <c r="K42" s="168"/>
      <c r="L42" s="168"/>
      <c r="M42" s="168"/>
      <c r="N42" s="168"/>
      <c r="O42" s="168"/>
      <c r="P42" s="168"/>
      <c r="Q42" s="168"/>
      <c r="R42" s="168"/>
      <c r="S42" s="168"/>
      <c r="T42" s="168"/>
      <c r="U42" s="168"/>
      <c r="V42" s="168"/>
      <c r="W42" s="168"/>
      <c r="X42" s="168"/>
      <c r="Y42" s="168"/>
      <c r="Z42" s="168"/>
      <c r="AA42" s="168"/>
      <c r="AB42" s="168"/>
      <c r="AC42" s="730"/>
    </row>
    <row r="43" spans="1:29" s="143" customFormat="1" ht="14.4" x14ac:dyDescent="0.3">
      <c r="A43" s="730"/>
      <c r="B43" s="168"/>
      <c r="C43" s="168" t="str">
        <f xml:space="preserve"> COMMUS_Model!E$1210</f>
        <v>Government share: including Gecamines</v>
      </c>
      <c r="D43" s="719">
        <f xml:space="preserve"> COMMUS_Model!N$1210</f>
        <v>0.74722213434669627</v>
      </c>
      <c r="E43" s="719">
        <f xml:space="preserve"> COMMUS_Model!N$1222</f>
        <v>0.73570680813951173</v>
      </c>
      <c r="F43" s="168"/>
      <c r="G43" s="168"/>
      <c r="H43" s="168"/>
      <c r="I43" s="168"/>
      <c r="J43" s="168"/>
      <c r="K43" s="168"/>
      <c r="L43" s="168"/>
      <c r="M43" s="168"/>
      <c r="N43" s="168"/>
      <c r="O43" s="168"/>
      <c r="P43" s="168"/>
      <c r="Q43" s="168"/>
      <c r="R43" s="168"/>
      <c r="S43" s="168"/>
      <c r="T43" s="168"/>
      <c r="U43" s="168"/>
      <c r="V43" s="168"/>
      <c r="W43" s="168"/>
      <c r="X43" s="168"/>
      <c r="Y43" s="168"/>
      <c r="Z43" s="168"/>
      <c r="AA43" s="168"/>
      <c r="AB43" s="168"/>
      <c r="AC43" s="730"/>
    </row>
    <row r="44" spans="1:29" s="143" customFormat="1" ht="14.4" x14ac:dyDescent="0.3">
      <c r="A44" s="730"/>
      <c r="B44" s="168"/>
      <c r="C44" s="168"/>
      <c r="D44" s="168"/>
      <c r="E44" s="168"/>
      <c r="F44" s="168"/>
      <c r="G44" s="168"/>
      <c r="H44" s="168"/>
      <c r="I44" s="168"/>
      <c r="J44" s="168"/>
      <c r="K44" s="168"/>
      <c r="L44" s="168"/>
      <c r="M44" s="168"/>
      <c r="N44" s="168"/>
      <c r="O44" s="168"/>
      <c r="P44" s="168"/>
      <c r="Q44" s="168"/>
      <c r="R44" s="168"/>
      <c r="S44" s="168"/>
      <c r="T44" s="168"/>
      <c r="U44" s="168"/>
      <c r="V44" s="168"/>
      <c r="W44" s="168"/>
      <c r="X44" s="168"/>
      <c r="Y44" s="168"/>
      <c r="Z44" s="168"/>
      <c r="AA44" s="168"/>
      <c r="AB44" s="168"/>
      <c r="AC44" s="730"/>
    </row>
    <row r="45" spans="1:29" s="70" customFormat="1" ht="14.4" x14ac:dyDescent="0.3">
      <c r="A45" s="406"/>
      <c r="B45" s="408"/>
      <c r="C45" s="437" t="str">
        <f>"Government results from: " &amp; D8 &amp; " USD mn"</f>
        <v>Government results from: 2025 USD mn</v>
      </c>
      <c r="D45" s="875"/>
      <c r="E45" s="875"/>
      <c r="F45" s="406"/>
      <c r="G45" s="408"/>
      <c r="H45" s="408"/>
      <c r="I45" s="408"/>
      <c r="J45" s="408"/>
      <c r="K45" s="408"/>
      <c r="L45" s="408"/>
      <c r="M45" s="408"/>
      <c r="N45" s="408"/>
      <c r="O45" s="408"/>
      <c r="P45" s="408"/>
      <c r="Q45" s="408"/>
      <c r="R45" s="408"/>
      <c r="S45" s="408"/>
      <c r="T45" s="408"/>
      <c r="U45" s="408"/>
      <c r="V45" s="408"/>
      <c r="W45" s="408"/>
      <c r="X45" s="408"/>
      <c r="Y45" s="408"/>
      <c r="Z45" s="408"/>
      <c r="AA45" s="408"/>
      <c r="AB45" s="408"/>
      <c r="AC45" s="406"/>
    </row>
    <row r="46" spans="1:29" s="143" customFormat="1" ht="14.4" x14ac:dyDescent="0.3">
      <c r="A46" s="730"/>
      <c r="B46" s="168"/>
      <c r="C46" s="870">
        <f xml:space="preserve"> COMMUS_Model!E$1179</f>
        <v>0</v>
      </c>
      <c r="D46" s="703" t="s">
        <v>319</v>
      </c>
      <c r="E46" s="703"/>
      <c r="F46" s="168"/>
      <c r="G46" s="168"/>
      <c r="H46" s="168"/>
      <c r="I46" s="168"/>
      <c r="J46" s="168"/>
      <c r="K46" s="168"/>
      <c r="L46" s="168"/>
      <c r="M46" s="168"/>
      <c r="N46" s="168"/>
      <c r="O46" s="168"/>
      <c r="P46" s="168"/>
      <c r="Q46" s="168"/>
      <c r="R46" s="168"/>
      <c r="S46" s="168"/>
      <c r="T46" s="168"/>
      <c r="U46" s="168"/>
      <c r="V46" s="168"/>
      <c r="W46" s="168"/>
      <c r="X46" s="168"/>
      <c r="Y46" s="168"/>
      <c r="Z46" s="168"/>
      <c r="AA46" s="168"/>
      <c r="AB46" s="168"/>
      <c r="AC46" s="730"/>
    </row>
    <row r="47" spans="1:29" s="143" customFormat="1" ht="14.4" x14ac:dyDescent="0.3">
      <c r="A47" s="730"/>
      <c r="B47" s="168"/>
      <c r="C47" s="168" t="str">
        <f xml:space="preserve"> COMMUS_Model!E$1180</f>
        <v>Total royalty</v>
      </c>
      <c r="D47" s="168">
        <f xml:space="preserve"> COMMUS_Model!N$1180</f>
        <v>257.05660035995732</v>
      </c>
      <c r="E47" s="168" t="str">
        <f xml:space="preserve"> COMMUS_Model!G$1180</f>
        <v>$ mn</v>
      </c>
      <c r="F47" s="168"/>
      <c r="G47" s="168"/>
      <c r="H47" s="168"/>
      <c r="I47" s="168"/>
      <c r="J47" s="168"/>
      <c r="K47" s="168"/>
      <c r="L47" s="168"/>
      <c r="M47" s="168"/>
      <c r="N47" s="168"/>
      <c r="O47" s="168"/>
      <c r="P47" s="168"/>
      <c r="Q47" s="168"/>
      <c r="R47" s="168"/>
      <c r="S47" s="168"/>
      <c r="T47" s="168"/>
      <c r="U47" s="168"/>
      <c r="V47" s="168"/>
      <c r="W47" s="168"/>
      <c r="X47" s="168"/>
      <c r="Y47" s="168"/>
      <c r="Z47" s="168"/>
      <c r="AA47" s="168"/>
      <c r="AB47" s="168"/>
      <c r="AC47" s="730"/>
    </row>
    <row r="48" spans="1:29" s="143" customFormat="1" ht="14.4" x14ac:dyDescent="0.3">
      <c r="A48" s="730"/>
      <c r="B48" s="168"/>
      <c r="C48" s="168" t="str">
        <f xml:space="preserve"> COMMUS_Model!E$1181</f>
        <v>Turnover tax (Chiffre d'Affaires 0.3PC)</v>
      </c>
      <c r="D48" s="168">
        <f xml:space="preserve"> COMMUS_Model!N$1181</f>
        <v>20.206327600271319</v>
      </c>
      <c r="E48" s="168" t="str">
        <f xml:space="preserve"> COMMUS_Model!G$1181</f>
        <v>$ mn</v>
      </c>
      <c r="F48" s="168"/>
      <c r="G48" s="168"/>
      <c r="H48" s="168"/>
      <c r="I48" s="168"/>
      <c r="J48" s="168"/>
      <c r="K48" s="168"/>
      <c r="L48" s="168"/>
      <c r="M48" s="168"/>
      <c r="N48" s="168"/>
      <c r="O48" s="168"/>
      <c r="P48" s="168"/>
      <c r="Q48" s="168"/>
      <c r="R48" s="168"/>
      <c r="S48" s="168"/>
      <c r="T48" s="168"/>
      <c r="U48" s="168"/>
      <c r="V48" s="168"/>
      <c r="W48" s="168"/>
      <c r="X48" s="168"/>
      <c r="Y48" s="168"/>
      <c r="Z48" s="168"/>
      <c r="AA48" s="168"/>
      <c r="AB48" s="168"/>
      <c r="AC48" s="730"/>
    </row>
    <row r="49" spans="1:29" s="143" customFormat="1" ht="14.4" x14ac:dyDescent="0.3">
      <c r="A49" s="730"/>
      <c r="B49" s="168"/>
      <c r="C49" s="168" t="str">
        <f xml:space="preserve"> COMMUS_Model!E$1182</f>
        <v>CIT payable</v>
      </c>
      <c r="D49" s="168">
        <f xml:space="preserve"> COMMUS_Model!N$1182</f>
        <v>676.91717098447634</v>
      </c>
      <c r="E49" s="168" t="str">
        <f xml:space="preserve"> COMMUS_Model!G$1182</f>
        <v>$ mn</v>
      </c>
      <c r="F49" s="168"/>
      <c r="G49" s="168"/>
      <c r="H49" s="168"/>
      <c r="I49" s="168"/>
      <c r="J49" s="168"/>
      <c r="K49" s="168"/>
      <c r="L49" s="168"/>
      <c r="M49" s="168"/>
      <c r="N49" s="168"/>
      <c r="O49" s="168"/>
      <c r="P49" s="168"/>
      <c r="Q49" s="168"/>
      <c r="R49" s="168"/>
      <c r="S49" s="168"/>
      <c r="T49" s="168"/>
      <c r="U49" s="168"/>
      <c r="V49" s="168"/>
      <c r="W49" s="168"/>
      <c r="X49" s="168"/>
      <c r="Y49" s="168"/>
      <c r="Z49" s="168"/>
      <c r="AA49" s="168"/>
      <c r="AB49" s="168"/>
      <c r="AC49" s="730"/>
    </row>
    <row r="50" spans="1:29" s="143" customFormat="1" ht="14.4" x14ac:dyDescent="0.3">
      <c r="A50" s="730"/>
      <c r="B50" s="168"/>
      <c r="C50" s="168" t="str">
        <f xml:space="preserve"> COMMUS_Model!E$1183</f>
        <v>Special Tax On Excess Profits</v>
      </c>
      <c r="D50" s="168">
        <f xml:space="preserve"> COMMUS_Model!N$1183</f>
        <v>0</v>
      </c>
      <c r="E50" s="168" t="str">
        <f xml:space="preserve"> COMMUS_Model!G$1183</f>
        <v>$ mn</v>
      </c>
      <c r="F50" s="168"/>
      <c r="G50" s="168"/>
      <c r="H50" s="168"/>
      <c r="I50" s="168"/>
      <c r="J50" s="168"/>
      <c r="K50" s="168"/>
      <c r="L50" s="168"/>
      <c r="M50" s="168"/>
      <c r="N50" s="168"/>
      <c r="O50" s="168"/>
      <c r="P50" s="168"/>
      <c r="Q50" s="168"/>
      <c r="R50" s="168"/>
      <c r="S50" s="168"/>
      <c r="T50" s="168"/>
      <c r="U50" s="168"/>
      <c r="V50" s="168"/>
      <c r="W50" s="168"/>
      <c r="X50" s="168"/>
      <c r="Y50" s="168"/>
      <c r="Z50" s="168"/>
      <c r="AA50" s="168"/>
      <c r="AB50" s="168"/>
      <c r="AC50" s="730"/>
    </row>
    <row r="51" spans="1:29" s="143" customFormat="1" ht="14.4" x14ac:dyDescent="0.3">
      <c r="A51" s="730"/>
      <c r="B51" s="168"/>
      <c r="C51" s="168" t="str">
        <f xml:space="preserve"> COMMUS_Model!E$1184</f>
        <v>Signature Bonus (EITI)</v>
      </c>
      <c r="D51" s="168">
        <f xml:space="preserve"> COMMUS_Model!N$1184</f>
        <v>0</v>
      </c>
      <c r="E51" s="168" t="str">
        <f xml:space="preserve"> COMMUS_Model!G$1184</f>
        <v>$ mn</v>
      </c>
      <c r="F51" s="168"/>
      <c r="G51" s="168"/>
      <c r="H51" s="168"/>
      <c r="I51" s="168"/>
      <c r="J51" s="168"/>
      <c r="K51" s="168"/>
      <c r="L51" s="168"/>
      <c r="M51" s="168"/>
      <c r="N51" s="168"/>
      <c r="O51" s="168"/>
      <c r="P51" s="168"/>
      <c r="Q51" s="168"/>
      <c r="R51" s="168"/>
      <c r="S51" s="168"/>
      <c r="T51" s="168"/>
      <c r="U51" s="168"/>
      <c r="V51" s="168"/>
      <c r="W51" s="168"/>
      <c r="X51" s="168"/>
      <c r="Y51" s="168"/>
      <c r="Z51" s="168"/>
      <c r="AA51" s="168"/>
      <c r="AB51" s="168"/>
      <c r="AC51" s="730"/>
    </row>
    <row r="52" spans="1:29" s="143" customFormat="1" ht="14.4" x14ac:dyDescent="0.3">
      <c r="A52" s="730"/>
      <c r="B52" s="168"/>
      <c r="C52" s="465" t="str">
        <f xml:space="preserve"> COMMUS_Model!E$1185</f>
        <v>Payroll taxes (included in costs)</v>
      </c>
      <c r="D52" s="168">
        <f xml:space="preserve"> COMMUS_Model!N$1185</f>
        <v>160.01957506561695</v>
      </c>
      <c r="E52" s="465" t="str">
        <f xml:space="preserve"> COMMUS_Model!G$1185</f>
        <v>$ mn</v>
      </c>
      <c r="F52" s="168"/>
      <c r="G52" s="168"/>
      <c r="H52" s="168"/>
      <c r="I52" s="168"/>
      <c r="J52" s="168"/>
      <c r="K52" s="168"/>
      <c r="L52" s="168"/>
      <c r="M52" s="168"/>
      <c r="N52" s="168"/>
      <c r="O52" s="168"/>
      <c r="P52" s="168"/>
      <c r="Q52" s="168"/>
      <c r="R52" s="168"/>
      <c r="S52" s="168"/>
      <c r="T52" s="168"/>
      <c r="U52" s="168"/>
      <c r="V52" s="168"/>
      <c r="W52" s="168"/>
      <c r="X52" s="168"/>
      <c r="Y52" s="168"/>
      <c r="Z52" s="168"/>
      <c r="AA52" s="168"/>
      <c r="AB52" s="168"/>
      <c r="AC52" s="730"/>
    </row>
    <row r="53" spans="1:29" s="143" customFormat="1" ht="14.4" x14ac:dyDescent="0.3">
      <c r="A53" s="730"/>
      <c r="B53" s="168"/>
      <c r="C53" s="168" t="str">
        <f xml:space="preserve"> COMMUS_Model!E$1186</f>
        <v>Import duties (included in costs)</v>
      </c>
      <c r="D53" s="168">
        <f xml:space="preserve"> COMMUS_Model!N$1186</f>
        <v>200.0244688320212</v>
      </c>
      <c r="E53" s="168" t="str">
        <f xml:space="preserve"> COMMUS_Model!G$1186</f>
        <v>$ mn</v>
      </c>
      <c r="F53" s="168"/>
      <c r="G53" s="168"/>
      <c r="H53" s="168"/>
      <c r="I53" s="168"/>
      <c r="J53" s="168"/>
      <c r="K53" s="168"/>
      <c r="L53" s="168"/>
      <c r="M53" s="168"/>
      <c r="N53" s="168"/>
      <c r="O53" s="168"/>
      <c r="P53" s="168"/>
      <c r="Q53" s="168"/>
      <c r="R53" s="168"/>
      <c r="S53" s="168"/>
      <c r="T53" s="168"/>
      <c r="U53" s="168"/>
      <c r="V53" s="168"/>
      <c r="W53" s="168"/>
      <c r="X53" s="168"/>
      <c r="Y53" s="168"/>
      <c r="Z53" s="168"/>
      <c r="AA53" s="168"/>
      <c r="AB53" s="168"/>
      <c r="AC53" s="730"/>
    </row>
    <row r="54" spans="1:29" s="143" customFormat="1" ht="14.4" x14ac:dyDescent="0.3">
      <c r="A54" s="730"/>
      <c r="B54" s="168"/>
      <c r="C54" s="168" t="str">
        <f xml:space="preserve"> COMMUS_Model!E$1187</f>
        <v>Interest withholding tax</v>
      </c>
      <c r="D54" s="168">
        <f xml:space="preserve"> COMMUS_Model!N$1187</f>
        <v>0</v>
      </c>
      <c r="E54" s="168" t="str">
        <f xml:space="preserve"> COMMUS_Model!G$1187</f>
        <v>$ mn</v>
      </c>
      <c r="F54" s="168"/>
      <c r="G54" s="168"/>
      <c r="H54" s="168"/>
      <c r="I54" s="168"/>
      <c r="J54" s="168"/>
      <c r="K54" s="168"/>
      <c r="L54" s="168"/>
      <c r="M54" s="168"/>
      <c r="N54" s="168"/>
      <c r="O54" s="168"/>
      <c r="P54" s="168"/>
      <c r="Q54" s="168"/>
      <c r="R54" s="168"/>
      <c r="S54" s="168"/>
      <c r="T54" s="168"/>
      <c r="U54" s="168"/>
      <c r="V54" s="168"/>
      <c r="W54" s="168"/>
      <c r="X54" s="168"/>
      <c r="Y54" s="168"/>
      <c r="Z54" s="168"/>
      <c r="AA54" s="168"/>
      <c r="AB54" s="168"/>
      <c r="AC54" s="730"/>
    </row>
    <row r="55" spans="1:29" s="143" customFormat="1" ht="14.4" x14ac:dyDescent="0.3">
      <c r="A55" s="730"/>
      <c r="B55" s="168"/>
      <c r="C55" s="168" t="str">
        <f xml:space="preserve"> COMMUS_Model!E$1188</f>
        <v>Dividend withholding tax</v>
      </c>
      <c r="D55" s="168">
        <f xml:space="preserve"> COMMUS_Model!N$1188</f>
        <v>117.18909417518921</v>
      </c>
      <c r="E55" s="168" t="str">
        <f xml:space="preserve"> COMMUS_Model!G$1188</f>
        <v>$ mn</v>
      </c>
      <c r="F55" s="168"/>
      <c r="G55" s="168"/>
      <c r="H55" s="168"/>
      <c r="I55" s="168"/>
      <c r="J55" s="168"/>
      <c r="K55" s="168"/>
      <c r="L55" s="168"/>
      <c r="M55" s="168"/>
      <c r="N55" s="168"/>
      <c r="O55" s="168"/>
      <c r="P55" s="168"/>
      <c r="Q55" s="168"/>
      <c r="R55" s="168"/>
      <c r="S55" s="168"/>
      <c r="T55" s="168"/>
      <c r="U55" s="168"/>
      <c r="V55" s="168"/>
      <c r="W55" s="168"/>
      <c r="X55" s="168"/>
      <c r="Y55" s="168"/>
      <c r="Z55" s="168"/>
      <c r="AA55" s="168"/>
      <c r="AB55" s="168"/>
      <c r="AC55" s="730"/>
    </row>
    <row r="56" spans="1:29" s="143" customFormat="1" ht="14.4" x14ac:dyDescent="0.3">
      <c r="A56" s="730"/>
      <c r="B56" s="168"/>
      <c r="C56" s="168" t="str">
        <f xml:space="preserve"> COMMUS_Model!E$1189</f>
        <v>WHT on non-resident services</v>
      </c>
      <c r="D56" s="168">
        <f xml:space="preserve"> COMMUS_Model!N$1189</f>
        <v>35.004282045603716</v>
      </c>
      <c r="E56" s="168" t="str">
        <f xml:space="preserve"> COMMUS_Model!G$1189</f>
        <v>$ mn</v>
      </c>
      <c r="F56" s="168"/>
      <c r="G56" s="168"/>
      <c r="H56" s="168"/>
      <c r="I56" s="168"/>
      <c r="J56" s="168"/>
      <c r="K56" s="168"/>
      <c r="L56" s="168"/>
      <c r="M56" s="168"/>
      <c r="N56" s="168"/>
      <c r="O56" s="168"/>
      <c r="P56" s="168"/>
      <c r="Q56" s="168"/>
      <c r="R56" s="168"/>
      <c r="S56" s="168"/>
      <c r="T56" s="168"/>
      <c r="U56" s="168"/>
      <c r="V56" s="168"/>
      <c r="W56" s="168"/>
      <c r="X56" s="168"/>
      <c r="Y56" s="168"/>
      <c r="Z56" s="168"/>
      <c r="AA56" s="168"/>
      <c r="AB56" s="168"/>
      <c r="AC56" s="730"/>
    </row>
    <row r="57" spans="1:29" s="143" customFormat="1" ht="14.4" x14ac:dyDescent="0.3">
      <c r="A57" s="730"/>
      <c r="B57" s="168"/>
      <c r="C57" s="870">
        <f xml:space="preserve"> COMMUS_Model!E$1190</f>
        <v>0</v>
      </c>
      <c r="D57" s="703" t="s">
        <v>320</v>
      </c>
      <c r="E57" s="703"/>
      <c r="F57" s="168"/>
      <c r="G57" s="168"/>
      <c r="H57" s="168"/>
      <c r="I57" s="168"/>
      <c r="J57" s="168"/>
      <c r="K57" s="168"/>
      <c r="L57" s="168"/>
      <c r="M57" s="168"/>
      <c r="N57" s="168"/>
      <c r="O57" s="168"/>
      <c r="P57" s="168"/>
      <c r="Q57" s="168"/>
      <c r="R57" s="168"/>
      <c r="S57" s="168"/>
      <c r="T57" s="168"/>
      <c r="U57" s="168"/>
      <c r="V57" s="168"/>
      <c r="W57" s="168"/>
      <c r="X57" s="168"/>
      <c r="Y57" s="168"/>
      <c r="Z57" s="168"/>
      <c r="AA57" s="168"/>
      <c r="AB57" s="168"/>
      <c r="AC57" s="730"/>
    </row>
    <row r="58" spans="1:29" ht="14.4" x14ac:dyDescent="0.3">
      <c r="A58" s="409"/>
      <c r="B58" s="88"/>
      <c r="C58" s="168" t="str">
        <f xml:space="preserve"> COMMUS_Model!E$1191</f>
        <v>Government revenues excl Gecamines participation</v>
      </c>
      <c r="D58" s="168">
        <f xml:space="preserve"> COMMUS_Model!N$1191</f>
        <v>1466.4175190631361</v>
      </c>
      <c r="E58" s="168" t="str">
        <f xml:space="preserve"> COMMUS_Model!G$1191</f>
        <v>$ mn</v>
      </c>
      <c r="F58" s="88"/>
      <c r="G58" s="88"/>
      <c r="H58" s="88"/>
      <c r="I58" s="88"/>
      <c r="J58" s="88"/>
      <c r="K58" s="88"/>
      <c r="L58" s="88"/>
      <c r="M58" s="88"/>
      <c r="N58" s="88"/>
      <c r="O58" s="88"/>
      <c r="P58" s="88"/>
      <c r="Q58" s="88"/>
      <c r="R58" s="88"/>
      <c r="S58" s="88"/>
      <c r="T58" s="88"/>
      <c r="U58" s="88"/>
      <c r="V58" s="88"/>
      <c r="W58" s="88"/>
      <c r="X58" s="88"/>
      <c r="Y58" s="88"/>
      <c r="Z58" s="88"/>
      <c r="AA58" s="88"/>
      <c r="AB58" s="88"/>
      <c r="AC58" s="409"/>
    </row>
    <row r="59" spans="1:29" ht="14.4" x14ac:dyDescent="0.3">
      <c r="A59" s="409"/>
      <c r="B59" s="88"/>
      <c r="C59" s="465" t="str">
        <f xml:space="preserve"> COMMUS_Model!E$1192</f>
        <v>Gecamines share of cashflows after repaying loan</v>
      </c>
      <c r="D59" s="168">
        <f xml:space="preserve"> COMMUS_Model!N$1192</f>
        <v>577.20001608675273</v>
      </c>
      <c r="E59" s="168" t="str">
        <f xml:space="preserve"> COMMUS_Model!G$1192</f>
        <v>$ mn</v>
      </c>
      <c r="F59" s="88"/>
      <c r="G59" s="88"/>
      <c r="H59" s="88"/>
      <c r="I59" s="88"/>
      <c r="J59" s="88"/>
      <c r="K59" s="88"/>
      <c r="L59" s="88"/>
      <c r="M59" s="88"/>
      <c r="N59" s="88"/>
      <c r="O59" s="88"/>
      <c r="P59" s="88"/>
      <c r="Q59" s="88"/>
      <c r="R59" s="88"/>
      <c r="S59" s="88"/>
      <c r="T59" s="88"/>
      <c r="U59" s="88"/>
      <c r="V59" s="88"/>
      <c r="W59" s="88"/>
      <c r="X59" s="88"/>
      <c r="Y59" s="88"/>
      <c r="Z59" s="88"/>
      <c r="AA59" s="88"/>
      <c r="AB59" s="88"/>
      <c r="AC59" s="409"/>
    </row>
    <row r="60" spans="1:29" ht="14.4" x14ac:dyDescent="0.3">
      <c r="A60" s="409"/>
      <c r="B60" s="88"/>
      <c r="C60" s="168" t="str">
        <f xml:space="preserve"> COMMUS_Model!E$1193</f>
        <v>Government revenues incl Gecamines</v>
      </c>
      <c r="D60" s="168">
        <f xml:space="preserve"> COMMUS_Model!N$1193</f>
        <v>2043.6175351498887</v>
      </c>
      <c r="E60" s="168" t="str">
        <f xml:space="preserve"> COMMUS_Model!G$1193</f>
        <v>$ mn</v>
      </c>
      <c r="F60" s="88"/>
      <c r="G60" s="88"/>
      <c r="H60" s="88"/>
      <c r="I60" s="88"/>
      <c r="J60" s="88"/>
      <c r="K60" s="88"/>
      <c r="L60" s="88"/>
      <c r="M60" s="88"/>
      <c r="N60" s="88"/>
      <c r="O60" s="88"/>
      <c r="P60" s="88"/>
      <c r="Q60" s="88"/>
      <c r="R60" s="88"/>
      <c r="S60" s="88"/>
      <c r="T60" s="88"/>
      <c r="U60" s="88"/>
      <c r="V60" s="88"/>
      <c r="W60" s="88"/>
      <c r="X60" s="88"/>
      <c r="Y60" s="88"/>
      <c r="Z60" s="88"/>
      <c r="AA60" s="88"/>
      <c r="AB60" s="88"/>
      <c r="AC60" s="409"/>
    </row>
    <row r="61" spans="1:29" ht="14.4" x14ac:dyDescent="0.3">
      <c r="A61" s="409"/>
      <c r="B61" s="88"/>
      <c r="C61" s="88" t="s">
        <v>512</v>
      </c>
      <c r="D61" s="442">
        <f xml:space="preserve"> IF( ABS(D36 - D58 - D59) &gt; CHK_TOL, 1, 0)</f>
        <v>0</v>
      </c>
      <c r="E61" s="88" t="s">
        <v>509</v>
      </c>
      <c r="F61" s="88"/>
      <c r="G61" s="88"/>
      <c r="H61" s="88"/>
      <c r="I61" s="88"/>
      <c r="J61" s="88"/>
      <c r="K61" s="88"/>
      <c r="L61" s="88"/>
      <c r="M61" s="88"/>
      <c r="N61" s="88"/>
      <c r="O61" s="88"/>
      <c r="P61" s="88"/>
      <c r="Q61" s="88"/>
      <c r="R61" s="88"/>
      <c r="S61" s="88"/>
      <c r="T61" s="88"/>
      <c r="U61" s="88"/>
      <c r="V61" s="88"/>
      <c r="W61" s="88"/>
      <c r="X61" s="88"/>
      <c r="Y61" s="88"/>
      <c r="Z61" s="88"/>
      <c r="AA61" s="88"/>
      <c r="AB61" s="88"/>
      <c r="AC61" s="409"/>
    </row>
    <row r="62" spans="1:29" ht="14.4" x14ac:dyDescent="0.3">
      <c r="A62" s="409"/>
      <c r="B62" s="88"/>
      <c r="C62" s="88"/>
      <c r="D62" s="88"/>
      <c r="E62" s="88"/>
      <c r="F62" s="88"/>
      <c r="G62" s="88"/>
      <c r="H62" s="88"/>
      <c r="I62" s="88"/>
      <c r="J62" s="88"/>
      <c r="K62" s="88"/>
      <c r="L62" s="88"/>
      <c r="M62" s="88"/>
      <c r="N62" s="88"/>
      <c r="O62" s="88"/>
      <c r="P62" s="88"/>
      <c r="Q62" s="88"/>
      <c r="R62" s="88"/>
      <c r="S62" s="88"/>
      <c r="T62" s="88"/>
      <c r="U62" s="88"/>
      <c r="V62" s="88"/>
      <c r="W62" s="88"/>
      <c r="X62" s="88"/>
      <c r="Y62" s="88"/>
      <c r="Z62" s="88"/>
      <c r="AA62" s="88"/>
      <c r="AB62" s="88"/>
      <c r="AC62" s="409"/>
    </row>
    <row r="63" spans="1:29" ht="14.4" x14ac:dyDescent="0.3">
      <c r="A63" s="409"/>
      <c r="B63" s="409"/>
      <c r="C63" s="409"/>
      <c r="D63" s="409"/>
      <c r="E63" s="409"/>
      <c r="F63" s="409"/>
      <c r="G63" s="409"/>
      <c r="H63" s="409"/>
      <c r="I63" s="409"/>
      <c r="J63" s="409"/>
      <c r="K63" s="409"/>
      <c r="L63" s="409"/>
      <c r="M63" s="409"/>
      <c r="N63" s="409"/>
      <c r="O63" s="409"/>
      <c r="P63" s="409"/>
      <c r="Q63" s="409"/>
      <c r="R63" s="409"/>
      <c r="S63" s="409"/>
      <c r="T63" s="409"/>
      <c r="U63" s="409"/>
      <c r="V63" s="409"/>
      <c r="W63" s="409"/>
      <c r="X63" s="409"/>
      <c r="Y63" s="409"/>
      <c r="Z63" s="409"/>
      <c r="AA63" s="409"/>
      <c r="AB63" s="409"/>
      <c r="AC63" s="409"/>
    </row>
    <row r="65" spans="1:11" s="478" customFormat="1" ht="14.4" x14ac:dyDescent="0.3">
      <c r="A65" s="474" t="s">
        <v>524</v>
      </c>
      <c r="B65" s="475"/>
      <c r="C65" s="476"/>
      <c r="D65" s="477"/>
      <c r="E65" s="475"/>
      <c r="F65" s="475"/>
      <c r="G65" s="475"/>
      <c r="H65" s="475"/>
    </row>
    <row r="66" spans="1:11" s="88" customFormat="1" ht="14.4" x14ac:dyDescent="0.3">
      <c r="A66" s="479"/>
      <c r="B66" s="480"/>
      <c r="C66" s="481"/>
      <c r="D66" s="482"/>
      <c r="E66" s="482"/>
      <c r="F66" s="482"/>
      <c r="G66" s="482"/>
      <c r="H66" s="482"/>
      <c r="I66" s="483"/>
      <c r="J66" s="482"/>
      <c r="K66" s="463"/>
    </row>
    <row r="67" spans="1:11" s="88" customFormat="1" ht="14.4" x14ac:dyDescent="0.3">
      <c r="A67" s="479"/>
      <c r="B67" s="480"/>
      <c r="C67" s="484"/>
      <c r="D67" s="484"/>
      <c r="E67"/>
      <c r="F67"/>
      <c r="G67"/>
      <c r="H67"/>
      <c r="I67"/>
      <c r="J67" s="482"/>
      <c r="K67" s="463"/>
    </row>
    <row r="68" spans="1:11" s="424" customFormat="1" ht="14.4" x14ac:dyDescent="0.3">
      <c r="A68" s="712"/>
      <c r="B68" s="713"/>
      <c r="C68" s="871" t="str">
        <f xml:space="preserve"> C$30</f>
        <v>Project cashflows before fiscal regime check</v>
      </c>
      <c r="D68" s="442">
        <f xml:space="preserve"> D$30</f>
        <v>0</v>
      </c>
      <c r="E68" s="872" t="str">
        <f xml:space="preserve"> E$30</f>
        <v>check</v>
      </c>
      <c r="F68" s="89"/>
      <c r="G68" s="89"/>
      <c r="H68" s="89"/>
      <c r="I68" s="89"/>
      <c r="J68" s="440"/>
      <c r="K68" s="462"/>
    </row>
    <row r="69" spans="1:11" s="408" customFormat="1" ht="14.4" x14ac:dyDescent="0.3">
      <c r="A69" s="485"/>
      <c r="B69" s="485"/>
      <c r="C69" s="482" t="str">
        <f xml:space="preserve"> C40</f>
        <v>Check: project cashflows by time period</v>
      </c>
      <c r="D69" s="442">
        <f xml:space="preserve"> SUM(D40:E40)</f>
        <v>0</v>
      </c>
      <c r="E69" s="486" t="str">
        <f xml:space="preserve"> F40</f>
        <v>check</v>
      </c>
      <c r="F69" s="441"/>
      <c r="G69" s="441"/>
      <c r="H69" s="441"/>
      <c r="I69" s="441"/>
      <c r="J69" s="487"/>
      <c r="K69" s="488"/>
    </row>
    <row r="70" spans="1:11" s="408" customFormat="1" ht="14.4" x14ac:dyDescent="0.3">
      <c r="A70" s="485"/>
      <c r="B70" s="485"/>
      <c r="C70" s="873" t="str">
        <f xml:space="preserve"> C$61</f>
        <v>Government revenue check</v>
      </c>
      <c r="D70" s="442">
        <f xml:space="preserve"> D$61</f>
        <v>0</v>
      </c>
      <c r="E70" s="486" t="str">
        <f xml:space="preserve"> E$61</f>
        <v>check</v>
      </c>
      <c r="F70" s="441"/>
      <c r="G70" s="441"/>
      <c r="H70" s="441"/>
      <c r="I70" s="441"/>
      <c r="J70" s="487"/>
      <c r="K70" s="488"/>
    </row>
    <row r="71" spans="1:11" s="408" customFormat="1" ht="14.4" x14ac:dyDescent="0.3">
      <c r="A71" s="485"/>
      <c r="B71" s="485"/>
      <c r="C71" s="484"/>
      <c r="D71" s="484"/>
      <c r="E71" s="486"/>
      <c r="F71" s="441"/>
      <c r="G71" s="441"/>
      <c r="H71" s="441"/>
      <c r="I71" s="441"/>
      <c r="J71" s="487"/>
      <c r="K71" s="488"/>
    </row>
    <row r="72" spans="1:11" s="168" customFormat="1" ht="14.4" x14ac:dyDescent="0.3">
      <c r="A72" s="716"/>
      <c r="B72" s="716"/>
      <c r="C72" s="280" t="str">
        <f ca="1">"SheetChecks: " &amp; A1</f>
        <v>SheetChecks: Dashboard</v>
      </c>
      <c r="D72" s="702">
        <f xml:space="preserve"> SUM(D67:D71)</f>
        <v>0</v>
      </c>
      <c r="E72" s="280" t="s">
        <v>525</v>
      </c>
      <c r="F72" s="717"/>
      <c r="G72" s="717"/>
      <c r="H72" s="717"/>
      <c r="I72" s="717"/>
      <c r="J72" s="280"/>
      <c r="K72" s="467"/>
    </row>
    <row r="73" spans="1:11" s="88" customFormat="1" ht="14.4" x14ac:dyDescent="0.3">
      <c r="A73" s="479"/>
      <c r="B73" s="480"/>
      <c r="C73" s="481"/>
      <c r="D73" s="482"/>
      <c r="E73"/>
      <c r="F73"/>
      <c r="G73"/>
      <c r="H73"/>
      <c r="I73"/>
      <c r="J73" s="482"/>
      <c r="K73" s="463"/>
    </row>
    <row r="74" spans="1:11" s="88" customFormat="1" ht="14.4" x14ac:dyDescent="0.3">
      <c r="A74" s="479"/>
      <c r="B74" s="480"/>
      <c r="C74" s="481"/>
      <c r="D74" s="482"/>
      <c r="E74" s="482"/>
      <c r="F74" s="482"/>
      <c r="G74" s="482"/>
      <c r="H74" s="482"/>
      <c r="I74" s="483"/>
      <c r="J74" s="482"/>
      <c r="K74" s="463"/>
    </row>
    <row r="75" spans="1:11" s="492" customFormat="1" ht="14.4" x14ac:dyDescent="0.3">
      <c r="A75" s="489" t="s">
        <v>490</v>
      </c>
      <c r="B75" s="489"/>
      <c r="C75" s="401"/>
      <c r="D75" s="490"/>
      <c r="E75" s="490"/>
      <c r="F75" s="490"/>
      <c r="G75" s="490"/>
      <c r="H75" s="490"/>
      <c r="I75" s="491"/>
      <c r="J75" s="490"/>
    </row>
  </sheetData>
  <conditionalFormatting sqref="D30">
    <cfRule type="cellIs" dxfId="170" priority="9" stopIfTrue="1" operator="notEqual">
      <formula>0</formula>
    </cfRule>
    <cfRule type="cellIs" dxfId="169" priority="10" stopIfTrue="1" operator="equal">
      <formula>""</formula>
    </cfRule>
  </conditionalFormatting>
  <conditionalFormatting sqref="D61">
    <cfRule type="cellIs" dxfId="168" priority="5" stopIfTrue="1" operator="notEqual">
      <formula>0</formula>
    </cfRule>
    <cfRule type="cellIs" dxfId="167" priority="6" stopIfTrue="1" operator="equal">
      <formula>""</formula>
    </cfRule>
  </conditionalFormatting>
  <conditionalFormatting sqref="D68:D70">
    <cfRule type="cellIs" dxfId="166" priority="15" stopIfTrue="1" operator="notEqual">
      <formula>0</formula>
    </cfRule>
    <cfRule type="cellIs" dxfId="165" priority="16" stopIfTrue="1" operator="equal">
      <formula>""</formula>
    </cfRule>
  </conditionalFormatting>
  <conditionalFormatting sqref="D72">
    <cfRule type="cellIs" dxfId="164" priority="11" stopIfTrue="1" operator="notEqual">
      <formula>0</formula>
    </cfRule>
    <cfRule type="cellIs" dxfId="163" priority="12" stopIfTrue="1" operator="equal">
      <formula>""</formula>
    </cfRule>
  </conditionalFormatting>
  <conditionalFormatting sqref="D40:E40">
    <cfRule type="cellIs" dxfId="162" priority="7" stopIfTrue="1" operator="notEqual">
      <formula>0</formula>
    </cfRule>
    <cfRule type="cellIs" dxfId="161" priority="8" stopIfTrue="1" operator="equal">
      <formula>""</formula>
    </cfRule>
  </conditionalFormatting>
  <conditionalFormatting sqref="M2">
    <cfRule type="cellIs" dxfId="160" priority="3" stopIfTrue="1" operator="notEqual">
      <formula>0</formula>
    </cfRule>
    <cfRule type="cellIs" dxfId="159" priority="4" stopIfTrue="1" operator="equal">
      <formula>""</formula>
    </cfRule>
  </conditionalFormatting>
  <conditionalFormatting sqref="M3">
    <cfRule type="cellIs" dxfId="158" priority="1" stopIfTrue="1" operator="notEqual">
      <formula>0</formula>
    </cfRule>
    <cfRule type="cellIs" dxfId="157" priority="2" stopIfTrue="1" operator="equal">
      <formula>""</formula>
    </cfRule>
  </conditionalFormatting>
  <pageMargins left="0.7" right="0.7" top="0.75" bottom="0.75" header="0.3" footer="0.3"/>
  <drawing r:id="rId1"/>
  <extLs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list" allowBlank="1" showInputMessage="1" showErrorMessage="1" xr:uid="{79E5365A-BEA5-48F9-A65D-5BFD38C5D320}">
          <x14:formula1>
            <xm:f>Scenarios!$G$7:$T$7</xm:f>
          </x14:formula1>
          <xm:sqref>D7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5890F7-FF35-42CB-9487-FA38436E03F5}">
  <sheetPr codeName="Sheet3">
    <tabColor rgb="FF0070C0"/>
  </sheetPr>
  <dimension ref="A1:BD92"/>
  <sheetViews>
    <sheetView zoomScale="80" zoomScaleNormal="80" workbookViewId="0">
      <pane xSplit="10" ySplit="4" topLeftCell="K67" activePane="bottomRight" state="frozen"/>
      <selection pane="topRight" activeCell="K1" sqref="K1"/>
      <selection pane="bottomLeft" activeCell="A5" sqref="A5"/>
      <selection pane="bottomRight" activeCell="F3" sqref="F3:G3"/>
    </sheetView>
  </sheetViews>
  <sheetFormatPr defaultColWidth="0" defaultRowHeight="15" customHeight="1" x14ac:dyDescent="0.3"/>
  <cols>
    <col min="1" max="2" width="1.33203125" style="446" customWidth="1"/>
    <col min="3" max="3" width="1.33203125" style="447" customWidth="1"/>
    <col min="4" max="4" width="1.33203125" style="448" customWidth="1"/>
    <col min="5" max="5" width="50.6640625" style="448" customWidth="1"/>
    <col min="6" max="6" width="12.6640625" style="448" customWidth="1"/>
    <col min="7" max="7" width="20.6640625" style="448" customWidth="1"/>
    <col min="8" max="8" width="25.109375" style="5" customWidth="1"/>
    <col min="9" max="9" width="12.6640625" style="448" customWidth="1" collapsed="1"/>
    <col min="10" max="10" width="1.6640625" style="450" customWidth="1"/>
    <col min="11" max="37" width="10.6640625" style="448" customWidth="1"/>
    <col min="38" max="45" width="10.6640625" customWidth="1"/>
    <col min="46" max="47" width="10.6640625" hidden="1" customWidth="1"/>
    <col min="48" max="56" width="11.6640625" hidden="1" customWidth="1"/>
    <col min="57" max="16384" width="14.44140625" hidden="1"/>
  </cols>
  <sheetData>
    <row r="1" spans="1:45" ht="26.25" customHeight="1" x14ac:dyDescent="0.3">
      <c r="A1" s="445" t="str">
        <f ca="1" xml:space="preserve"> RIGHT(CELL("filename", $A$3), LEN(CELL("filename", $A$3)) - SEARCH("]", CELL("filename", $A$3)))</f>
        <v>SummaryC_Flow</v>
      </c>
      <c r="F1" s="449"/>
    </row>
    <row r="2" spans="1:45" ht="15" customHeight="1" x14ac:dyDescent="0.3">
      <c r="F2" s="883">
        <f xml:space="preserve"> Track!F$80</f>
        <v>0</v>
      </c>
      <c r="G2" s="7" t="s">
        <v>0</v>
      </c>
      <c r="K2" s="47">
        <f>'T&amp;E'!K$9</f>
        <v>2006</v>
      </c>
      <c r="L2" s="47">
        <f>'T&amp;E'!L$9</f>
        <v>2007</v>
      </c>
      <c r="M2" s="47">
        <f>'T&amp;E'!M$9</f>
        <v>2008</v>
      </c>
      <c r="N2" s="47">
        <f>'T&amp;E'!N$9</f>
        <v>2009</v>
      </c>
      <c r="O2" s="47">
        <f>'T&amp;E'!O$9</f>
        <v>2010</v>
      </c>
      <c r="P2" s="47">
        <f>'T&amp;E'!P$9</f>
        <v>2011</v>
      </c>
      <c r="Q2" s="47">
        <f>'T&amp;E'!Q$9</f>
        <v>2012</v>
      </c>
      <c r="R2" s="47">
        <f>'T&amp;E'!R$9</f>
        <v>2013</v>
      </c>
      <c r="S2" s="47">
        <f>'T&amp;E'!S$9</f>
        <v>2014</v>
      </c>
      <c r="T2" s="47">
        <f>'T&amp;E'!T$9</f>
        <v>2015</v>
      </c>
      <c r="U2" s="47">
        <f>'T&amp;E'!U$9</f>
        <v>2016</v>
      </c>
      <c r="V2" s="47">
        <f>'T&amp;E'!V$9</f>
        <v>2017</v>
      </c>
      <c r="W2" s="47">
        <f>'T&amp;E'!W$9</f>
        <v>2018</v>
      </c>
      <c r="X2" s="47">
        <f>'T&amp;E'!X$9</f>
        <v>2019</v>
      </c>
      <c r="Y2" s="47">
        <f>'T&amp;E'!Y$9</f>
        <v>2020</v>
      </c>
      <c r="Z2" s="47">
        <f>'T&amp;E'!Z$9</f>
        <v>2021</v>
      </c>
      <c r="AA2" s="47">
        <f>'T&amp;E'!AA$9</f>
        <v>2022</v>
      </c>
      <c r="AB2" s="47">
        <f>'T&amp;E'!AB$9</f>
        <v>2023</v>
      </c>
      <c r="AC2" s="47">
        <f>'T&amp;E'!AC$9</f>
        <v>2024</v>
      </c>
      <c r="AD2" s="47">
        <f>'T&amp;E'!AD$9</f>
        <v>2025</v>
      </c>
      <c r="AE2" s="47">
        <f>'T&amp;E'!AE$9</f>
        <v>2026</v>
      </c>
      <c r="AF2" s="47">
        <f>'T&amp;E'!AF$9</f>
        <v>2027</v>
      </c>
      <c r="AG2" s="47">
        <f>'T&amp;E'!AG$9</f>
        <v>2028</v>
      </c>
      <c r="AH2" s="47">
        <f>'T&amp;E'!AH$9</f>
        <v>2029</v>
      </c>
      <c r="AI2" s="47">
        <f>'T&amp;E'!AI$9</f>
        <v>2030</v>
      </c>
      <c r="AJ2" s="47">
        <f>'T&amp;E'!AJ$9</f>
        <v>2031</v>
      </c>
      <c r="AK2" s="47">
        <f>'T&amp;E'!AK$9</f>
        <v>2032</v>
      </c>
      <c r="AL2" s="47">
        <f>'T&amp;E'!AL$9</f>
        <v>2033</v>
      </c>
      <c r="AM2" s="47">
        <f>'T&amp;E'!AM$9</f>
        <v>2034</v>
      </c>
      <c r="AN2" s="47">
        <f>'T&amp;E'!AN$9</f>
        <v>2035</v>
      </c>
      <c r="AO2" s="47">
        <f>'T&amp;E'!AO$9</f>
        <v>2036</v>
      </c>
      <c r="AP2" s="47">
        <f>'T&amp;E'!AP$9</f>
        <v>2037</v>
      </c>
      <c r="AQ2" s="47">
        <f>'T&amp;E'!AQ$9</f>
        <v>2038</v>
      </c>
      <c r="AR2" s="47">
        <f>'T&amp;E'!AR$9</f>
        <v>2039</v>
      </c>
      <c r="AS2" s="47">
        <f>'T&amp;E'!AS$9</f>
        <v>2040</v>
      </c>
    </row>
    <row r="3" spans="1:45" ht="15" customHeight="1" x14ac:dyDescent="0.3">
      <c r="F3" s="881">
        <f xml:space="preserve"> Track!F$3</f>
        <v>0</v>
      </c>
      <c r="G3" s="9" t="s">
        <v>1</v>
      </c>
      <c r="K3" s="49" t="s">
        <v>2</v>
      </c>
      <c r="L3" s="49" t="s">
        <v>2</v>
      </c>
      <c r="M3" s="49" t="s">
        <v>2</v>
      </c>
      <c r="N3" s="49" t="s">
        <v>2</v>
      </c>
      <c r="O3" s="49" t="s">
        <v>2</v>
      </c>
      <c r="P3" s="49" t="s">
        <v>2</v>
      </c>
      <c r="Q3" s="49" t="s">
        <v>2</v>
      </c>
      <c r="R3" s="49" t="s">
        <v>2</v>
      </c>
      <c r="S3" s="49" t="s">
        <v>2</v>
      </c>
      <c r="T3" s="49" t="s">
        <v>2</v>
      </c>
      <c r="U3" s="49" t="s">
        <v>2</v>
      </c>
      <c r="V3" s="49" t="s">
        <v>2</v>
      </c>
      <c r="W3" s="49" t="s">
        <v>2</v>
      </c>
      <c r="X3" s="49" t="s">
        <v>2</v>
      </c>
      <c r="Y3" s="49" t="s">
        <v>2</v>
      </c>
      <c r="Z3" s="49" t="s">
        <v>2</v>
      </c>
      <c r="AA3" s="49" t="s">
        <v>2</v>
      </c>
      <c r="AB3" s="49" t="s">
        <v>2</v>
      </c>
      <c r="AC3" s="49" t="s">
        <v>2</v>
      </c>
      <c r="AD3" s="49" t="s">
        <v>3</v>
      </c>
      <c r="AE3" s="49" t="s">
        <v>3</v>
      </c>
      <c r="AF3" s="49" t="s">
        <v>3</v>
      </c>
      <c r="AG3" s="49" t="s">
        <v>3</v>
      </c>
      <c r="AH3" s="49" t="s">
        <v>3</v>
      </c>
      <c r="AI3" s="49" t="s">
        <v>3</v>
      </c>
      <c r="AJ3" s="49" t="s">
        <v>3</v>
      </c>
      <c r="AK3" s="49" t="s">
        <v>3</v>
      </c>
      <c r="AL3" s="49" t="s">
        <v>3</v>
      </c>
      <c r="AM3" s="49" t="s">
        <v>3</v>
      </c>
      <c r="AN3" s="49" t="s">
        <v>3</v>
      </c>
      <c r="AO3" s="49" t="s">
        <v>3</v>
      </c>
      <c r="AP3" s="49" t="s">
        <v>3</v>
      </c>
      <c r="AQ3" s="49" t="s">
        <v>3</v>
      </c>
      <c r="AR3" s="49" t="s">
        <v>3</v>
      </c>
      <c r="AS3" s="49" t="s">
        <v>3</v>
      </c>
    </row>
    <row r="4" spans="1:45" ht="15" customHeight="1" x14ac:dyDescent="0.3">
      <c r="F4" s="451" t="s">
        <v>4</v>
      </c>
      <c r="G4" s="446" t="s">
        <v>5</v>
      </c>
      <c r="H4" s="452" t="s">
        <v>6</v>
      </c>
      <c r="I4" s="13"/>
      <c r="K4" s="45">
        <f>'T&amp;E'!K$11</f>
        <v>1</v>
      </c>
      <c r="L4" s="45">
        <f>'T&amp;E'!L$11</f>
        <v>2</v>
      </c>
      <c r="M4" s="45">
        <f>'T&amp;E'!M$11</f>
        <v>3</v>
      </c>
      <c r="N4" s="45">
        <f>'T&amp;E'!N$11</f>
        <v>4</v>
      </c>
      <c r="O4" s="45">
        <f>'T&amp;E'!O$11</f>
        <v>5</v>
      </c>
      <c r="P4" s="45">
        <f>'T&amp;E'!P$11</f>
        <v>6</v>
      </c>
      <c r="Q4" s="45">
        <f>'T&amp;E'!Q$11</f>
        <v>7</v>
      </c>
      <c r="R4" s="45">
        <f>'T&amp;E'!R$11</f>
        <v>8</v>
      </c>
      <c r="S4" s="45">
        <f>'T&amp;E'!S$11</f>
        <v>9</v>
      </c>
      <c r="T4" s="45">
        <f>'T&amp;E'!T$11</f>
        <v>10</v>
      </c>
      <c r="U4" s="45">
        <f>'T&amp;E'!U$11</f>
        <v>11</v>
      </c>
      <c r="V4" s="45">
        <f>'T&amp;E'!V$11</f>
        <v>12</v>
      </c>
      <c r="W4" s="45">
        <f>'T&amp;E'!W$11</f>
        <v>13</v>
      </c>
      <c r="X4" s="45">
        <f>'T&amp;E'!X$11</f>
        <v>14</v>
      </c>
      <c r="Y4" s="45">
        <f>'T&amp;E'!Y$11</f>
        <v>15</v>
      </c>
      <c r="Z4" s="45">
        <f>'T&amp;E'!Z$11</f>
        <v>16</v>
      </c>
      <c r="AA4" s="45">
        <f>'T&amp;E'!AA$11</f>
        <v>17</v>
      </c>
      <c r="AB4" s="45">
        <f>'T&amp;E'!AB$11</f>
        <v>18</v>
      </c>
      <c r="AC4" s="45">
        <f>'T&amp;E'!AC$11</f>
        <v>19</v>
      </c>
      <c r="AD4" s="45">
        <f>'T&amp;E'!AD$11</f>
        <v>20</v>
      </c>
      <c r="AE4" s="45">
        <f>'T&amp;E'!AE$11</f>
        <v>21</v>
      </c>
      <c r="AF4" s="45">
        <f>'T&amp;E'!AF$11</f>
        <v>22</v>
      </c>
      <c r="AG4" s="45">
        <f>'T&amp;E'!AG$11</f>
        <v>23</v>
      </c>
      <c r="AH4" s="45">
        <f>'T&amp;E'!AH$11</f>
        <v>24</v>
      </c>
      <c r="AI4" s="45">
        <f>'T&amp;E'!AI$11</f>
        <v>25</v>
      </c>
      <c r="AJ4" s="45">
        <f>'T&amp;E'!AJ$11</f>
        <v>26</v>
      </c>
      <c r="AK4" s="45">
        <f>'T&amp;E'!AK$11</f>
        <v>27</v>
      </c>
      <c r="AL4" s="45">
        <f>'T&amp;E'!AL$11</f>
        <v>28</v>
      </c>
      <c r="AM4" s="45">
        <f>'T&amp;E'!AM$11</f>
        <v>29</v>
      </c>
      <c r="AN4" s="45">
        <f>'T&amp;E'!AN$11</f>
        <v>30</v>
      </c>
      <c r="AO4" s="45">
        <f>'T&amp;E'!AO$11</f>
        <v>31</v>
      </c>
      <c r="AP4" s="45">
        <f>'T&amp;E'!AP$11</f>
        <v>32</v>
      </c>
      <c r="AQ4" s="45">
        <f>'T&amp;E'!AQ$11</f>
        <v>33</v>
      </c>
      <c r="AR4" s="45">
        <f>'T&amp;E'!AR$11</f>
        <v>34</v>
      </c>
      <c r="AS4" s="45">
        <f>'T&amp;E'!AS$11</f>
        <v>35</v>
      </c>
    </row>
    <row r="5" spans="1:45" ht="15" customHeight="1" x14ac:dyDescent="0.3">
      <c r="F5" s="451"/>
      <c r="G5" s="446"/>
      <c r="H5" s="452"/>
      <c r="I5" s="13"/>
      <c r="J5" s="453"/>
      <c r="AL5" s="448"/>
      <c r="AM5" s="448"/>
      <c r="AN5" s="448"/>
      <c r="AO5" s="448"/>
      <c r="AP5" s="448"/>
      <c r="AQ5" s="448"/>
      <c r="AR5" s="448"/>
      <c r="AS5" s="448"/>
    </row>
    <row r="6" spans="1:45" ht="15" customHeight="1" collapsed="1" x14ac:dyDescent="0.3">
      <c r="A6" s="454" t="s">
        <v>513</v>
      </c>
      <c r="B6" s="455"/>
      <c r="C6" s="456"/>
      <c r="D6" s="457"/>
      <c r="E6" s="455"/>
      <c r="F6" s="455"/>
      <c r="G6" s="455"/>
      <c r="H6" s="455"/>
      <c r="I6" s="455"/>
      <c r="J6" s="458"/>
      <c r="K6" s="455"/>
      <c r="L6" s="455"/>
      <c r="M6" s="455"/>
      <c r="N6" s="455"/>
      <c r="O6" s="455"/>
      <c r="P6" s="455"/>
      <c r="Q6" s="455"/>
      <c r="R6" s="455"/>
      <c r="S6" s="455"/>
      <c r="T6" s="455"/>
      <c r="U6" s="455"/>
      <c r="V6" s="455"/>
      <c r="W6" s="455"/>
      <c r="X6" s="455"/>
      <c r="Y6" s="455"/>
      <c r="Z6" s="455"/>
      <c r="AA6" s="455"/>
      <c r="AB6" s="455"/>
      <c r="AC6" s="455"/>
      <c r="AD6" s="455"/>
      <c r="AE6" s="455"/>
      <c r="AF6" s="455"/>
      <c r="AG6" s="455"/>
      <c r="AH6" s="455"/>
      <c r="AI6" s="455"/>
      <c r="AJ6" s="455"/>
      <c r="AK6" s="455"/>
      <c r="AL6" s="455"/>
      <c r="AM6" s="455"/>
      <c r="AN6" s="455"/>
      <c r="AO6" s="455"/>
      <c r="AP6" s="455"/>
      <c r="AQ6" s="455"/>
      <c r="AR6" s="455"/>
      <c r="AS6" s="455"/>
    </row>
    <row r="7" spans="1:45" ht="15" customHeight="1" x14ac:dyDescent="0.3">
      <c r="D7" s="460"/>
      <c r="H7" s="448"/>
      <c r="J7" s="453"/>
      <c r="AL7" s="448"/>
      <c r="AM7" s="448"/>
      <c r="AN7" s="448"/>
      <c r="AO7" s="448"/>
      <c r="AP7" s="448"/>
      <c r="AQ7" s="448"/>
      <c r="AR7" s="448"/>
      <c r="AS7" s="448"/>
    </row>
    <row r="8" spans="1:45" ht="15" customHeight="1" x14ac:dyDescent="0.3">
      <c r="B8" s="446" t="s">
        <v>36</v>
      </c>
      <c r="AL8" s="448"/>
      <c r="AM8" s="448"/>
      <c r="AN8" s="448"/>
      <c r="AO8" s="448"/>
      <c r="AP8" s="448"/>
      <c r="AQ8" s="448"/>
      <c r="AR8" s="448"/>
      <c r="AS8" s="448"/>
    </row>
    <row r="9" spans="1:45" ht="15" customHeight="1" x14ac:dyDescent="0.3">
      <c r="E9" s="597" t="str">
        <f xml:space="preserve"> COMMUS_Model!E$79</f>
        <v>Copper production incl Sens.</v>
      </c>
      <c r="F9" s="597">
        <f xml:space="preserve"> COMMUS_Model!F$79</f>
        <v>0</v>
      </c>
      <c r="G9" s="597" t="str">
        <f xml:space="preserve"> COMMUS_Model!G$79</f>
        <v>KT Cu</v>
      </c>
      <c r="H9" s="597">
        <f xml:space="preserve"> COMMUS_Model!H$79</f>
        <v>0</v>
      </c>
      <c r="I9" s="597">
        <f xml:space="preserve"> COMMUS_Model!I$79</f>
        <v>1750.6700000000008</v>
      </c>
      <c r="J9" s="597">
        <f xml:space="preserve"> COMMUS_Model!J$79</f>
        <v>0</v>
      </c>
      <c r="K9" s="597">
        <f xml:space="preserve"> COMMUS_Model!K$79</f>
        <v>0</v>
      </c>
      <c r="L9" s="597">
        <f xml:space="preserve"> COMMUS_Model!L$79</f>
        <v>0</v>
      </c>
      <c r="M9" s="597">
        <f xml:space="preserve"> COMMUS_Model!M$79</f>
        <v>0</v>
      </c>
      <c r="N9" s="597">
        <f xml:space="preserve"> COMMUS_Model!N$79</f>
        <v>0</v>
      </c>
      <c r="O9" s="597">
        <f xml:space="preserve"> COMMUS_Model!O$79</f>
        <v>0</v>
      </c>
      <c r="P9" s="597">
        <f xml:space="preserve"> COMMUS_Model!P$79</f>
        <v>0</v>
      </c>
      <c r="Q9" s="597">
        <f xml:space="preserve"> COMMUS_Model!Q$79</f>
        <v>0</v>
      </c>
      <c r="R9" s="597">
        <f xml:space="preserve"> COMMUS_Model!R$79</f>
        <v>0</v>
      </c>
      <c r="S9" s="597">
        <f xml:space="preserve"> COMMUS_Model!S$79</f>
        <v>0</v>
      </c>
      <c r="T9" s="597">
        <f xml:space="preserve"> COMMUS_Model!T$79</f>
        <v>0</v>
      </c>
      <c r="U9" s="597">
        <f xml:space="preserve"> COMMUS_Model!U$79</f>
        <v>0</v>
      </c>
      <c r="V9" s="597">
        <f xml:space="preserve"> COMMUS_Model!V$79</f>
        <v>39.692</v>
      </c>
      <c r="W9" s="597">
        <f xml:space="preserve"> COMMUS_Model!W$79</f>
        <v>111.964</v>
      </c>
      <c r="X9" s="597">
        <f xml:space="preserve"> COMMUS_Model!X$79</f>
        <v>131.25200000000001</v>
      </c>
      <c r="Y9" s="597">
        <f xml:space="preserve"> COMMUS_Model!Y$79</f>
        <v>131.24799999999999</v>
      </c>
      <c r="Z9" s="597">
        <f xml:space="preserve"> COMMUS_Model!Z$79</f>
        <v>215.79500000000002</v>
      </c>
      <c r="AA9" s="597">
        <f xml:space="preserve"> COMMUS_Model!AA$79</f>
        <v>147.09399999999999</v>
      </c>
      <c r="AB9" s="597">
        <f xml:space="preserve"> COMMUS_Model!AB$79</f>
        <v>124.084</v>
      </c>
      <c r="AC9" s="597">
        <f xml:space="preserve"> COMMUS_Model!AC$79</f>
        <v>79.510500000000008</v>
      </c>
      <c r="AD9" s="597">
        <f xml:space="preserve"> COMMUS_Model!AD$79</f>
        <v>110.2505</v>
      </c>
      <c r="AE9" s="597">
        <f xml:space="preserve"> COMMUS_Model!AE$79</f>
        <v>110.2505</v>
      </c>
      <c r="AF9" s="597">
        <f xml:space="preserve"> COMMUS_Model!AF$79</f>
        <v>110.2505</v>
      </c>
      <c r="AG9" s="597">
        <f xml:space="preserve"> COMMUS_Model!AG$79</f>
        <v>110.2505</v>
      </c>
      <c r="AH9" s="597">
        <f xml:space="preserve"> COMMUS_Model!AH$79</f>
        <v>110.2505</v>
      </c>
      <c r="AI9" s="597">
        <f xml:space="preserve"> COMMUS_Model!AI$79</f>
        <v>90.641000000000005</v>
      </c>
      <c r="AJ9" s="597">
        <f xml:space="preserve"> COMMUS_Model!AJ$79</f>
        <v>90.641000000000005</v>
      </c>
      <c r="AK9" s="597">
        <f xml:space="preserve"> COMMUS_Model!AK$79</f>
        <v>37.496000000000002</v>
      </c>
      <c r="AL9" s="597">
        <f xml:space="preserve"> COMMUS_Model!AL$79</f>
        <v>0</v>
      </c>
      <c r="AM9" s="597">
        <f xml:space="preserve"> COMMUS_Model!AM$79</f>
        <v>0</v>
      </c>
      <c r="AN9" s="597">
        <f xml:space="preserve"> COMMUS_Model!AN$79</f>
        <v>0</v>
      </c>
      <c r="AO9" s="597">
        <f xml:space="preserve"> COMMUS_Model!AO$79</f>
        <v>0</v>
      </c>
      <c r="AP9" s="597">
        <f xml:space="preserve"> COMMUS_Model!AP$79</f>
        <v>0</v>
      </c>
      <c r="AQ9" s="597">
        <f xml:space="preserve"> COMMUS_Model!AQ$79</f>
        <v>0</v>
      </c>
      <c r="AR9" s="597">
        <f xml:space="preserve"> COMMUS_Model!AR$79</f>
        <v>0</v>
      </c>
      <c r="AS9" s="597">
        <f xml:space="preserve"> COMMUS_Model!AS$79</f>
        <v>0</v>
      </c>
    </row>
    <row r="10" spans="1:45" ht="15" customHeight="1" x14ac:dyDescent="0.3">
      <c r="E10" s="597" t="str">
        <f xml:space="preserve"> COMMUS_Model!E$126</f>
        <v>Cobalt production incl Sens.</v>
      </c>
      <c r="F10" s="597">
        <f xml:space="preserve"> COMMUS_Model!F$126</f>
        <v>0</v>
      </c>
      <c r="G10" s="597" t="str">
        <f xml:space="preserve"> COMMUS_Model!G$126</f>
        <v>KT Co</v>
      </c>
      <c r="H10" s="597">
        <f xml:space="preserve"> COMMUS_Model!H$126</f>
        <v>0</v>
      </c>
      <c r="I10" s="597">
        <f xml:space="preserve"> COMMUS_Model!I$126</f>
        <v>21.822532857142861</v>
      </c>
      <c r="J10" s="597">
        <f xml:space="preserve"> COMMUS_Model!J$126</f>
        <v>0</v>
      </c>
      <c r="K10" s="597">
        <f xml:space="preserve"> COMMUS_Model!K$126</f>
        <v>0</v>
      </c>
      <c r="L10" s="597">
        <f xml:space="preserve"> COMMUS_Model!L$126</f>
        <v>0</v>
      </c>
      <c r="M10" s="597">
        <f xml:space="preserve"> COMMUS_Model!M$126</f>
        <v>0</v>
      </c>
      <c r="N10" s="597">
        <f xml:space="preserve"> COMMUS_Model!N$126</f>
        <v>0</v>
      </c>
      <c r="O10" s="597">
        <f xml:space="preserve"> COMMUS_Model!O$126</f>
        <v>0</v>
      </c>
      <c r="P10" s="597">
        <f xml:space="preserve"> COMMUS_Model!P$126</f>
        <v>0</v>
      </c>
      <c r="Q10" s="597">
        <f xml:space="preserve"> COMMUS_Model!Q$126</f>
        <v>0</v>
      </c>
      <c r="R10" s="597">
        <f xml:space="preserve"> COMMUS_Model!R$126</f>
        <v>0</v>
      </c>
      <c r="S10" s="597">
        <f xml:space="preserve"> COMMUS_Model!S$126</f>
        <v>0</v>
      </c>
      <c r="T10" s="597">
        <f xml:space="preserve"> COMMUS_Model!T$126</f>
        <v>0</v>
      </c>
      <c r="U10" s="597">
        <f xml:space="preserve"> COMMUS_Model!U$126</f>
        <v>0</v>
      </c>
      <c r="V10" s="597">
        <f xml:space="preserve"> COMMUS_Model!V$126</f>
        <v>0</v>
      </c>
      <c r="W10" s="597">
        <f xml:space="preserve"> COMMUS_Model!W$126</f>
        <v>0</v>
      </c>
      <c r="X10" s="597">
        <f xml:space="preserve"> COMMUS_Model!X$126</f>
        <v>0.70802999999999994</v>
      </c>
      <c r="Y10" s="597">
        <f xml:space="preserve"> COMMUS_Model!Y$126</f>
        <v>1.4230799999999999</v>
      </c>
      <c r="Z10" s="597">
        <f xml:space="preserve"> COMMUS_Model!Z$126</f>
        <v>1.6069300000000002</v>
      </c>
      <c r="AA10" s="597">
        <f xml:space="preserve"> COMMUS_Model!AA$126</f>
        <v>2.5061800000000001</v>
      </c>
      <c r="AB10" s="597">
        <f xml:space="preserve"> COMMUS_Model!AB$126</f>
        <v>2.306</v>
      </c>
      <c r="AC10" s="597">
        <f xml:space="preserve"> COMMUS_Model!AC$126</f>
        <v>0.77815000000000001</v>
      </c>
      <c r="AD10" s="597">
        <f xml:space="preserve"> COMMUS_Model!AD$126</f>
        <v>1.7336771428571429</v>
      </c>
      <c r="AE10" s="597">
        <f xml:space="preserve"> COMMUS_Model!AE$126</f>
        <v>1.7336771428571429</v>
      </c>
      <c r="AF10" s="597">
        <f xml:space="preserve"> COMMUS_Model!AF$126</f>
        <v>1.7336771428571429</v>
      </c>
      <c r="AG10" s="597">
        <f xml:space="preserve"> COMMUS_Model!AG$126</f>
        <v>1.7336771428571429</v>
      </c>
      <c r="AH10" s="597">
        <f xml:space="preserve"> COMMUS_Model!AH$126</f>
        <v>1.7336771428571429</v>
      </c>
      <c r="AI10" s="597">
        <f xml:space="preserve"> COMMUS_Model!AI$126</f>
        <v>1.7336771428571429</v>
      </c>
      <c r="AJ10" s="597">
        <f xml:space="preserve"> COMMUS_Model!AJ$126</f>
        <v>1.4799100000000001</v>
      </c>
      <c r="AK10" s="597">
        <f xml:space="preserve"> COMMUS_Model!AK$126</f>
        <v>0.61219000000000001</v>
      </c>
      <c r="AL10" s="597">
        <f xml:space="preserve"> COMMUS_Model!AL$126</f>
        <v>0</v>
      </c>
      <c r="AM10" s="597">
        <f xml:space="preserve"> COMMUS_Model!AM$126</f>
        <v>0</v>
      </c>
      <c r="AN10" s="597">
        <f xml:space="preserve"> COMMUS_Model!AN$126</f>
        <v>0</v>
      </c>
      <c r="AO10" s="597">
        <f xml:space="preserve"> COMMUS_Model!AO$126</f>
        <v>0</v>
      </c>
      <c r="AP10" s="597">
        <f xml:space="preserve"> COMMUS_Model!AP$126</f>
        <v>0</v>
      </c>
      <c r="AQ10" s="597">
        <f xml:space="preserve"> COMMUS_Model!AQ$126</f>
        <v>0</v>
      </c>
      <c r="AR10" s="597">
        <f xml:space="preserve"> COMMUS_Model!AR$126</f>
        <v>0</v>
      </c>
      <c r="AS10" s="597">
        <f xml:space="preserve"> COMMUS_Model!AS$126</f>
        <v>0</v>
      </c>
    </row>
    <row r="11" spans="1:45" ht="15" customHeight="1" x14ac:dyDescent="0.3">
      <c r="AL11" s="448"/>
      <c r="AM11" s="448"/>
      <c r="AN11" s="448"/>
      <c r="AO11" s="448"/>
      <c r="AP11" s="448"/>
      <c r="AQ11" s="448"/>
      <c r="AR11" s="448"/>
      <c r="AS11" s="448"/>
    </row>
    <row r="12" spans="1:45" ht="15" customHeight="1" x14ac:dyDescent="0.3">
      <c r="B12" s="446" t="s">
        <v>667</v>
      </c>
      <c r="AL12" s="448"/>
      <c r="AM12" s="448"/>
      <c r="AN12" s="448"/>
      <c r="AO12" s="448"/>
      <c r="AP12" s="448"/>
      <c r="AQ12" s="448"/>
      <c r="AR12" s="448"/>
      <c r="AS12" s="448"/>
    </row>
    <row r="13" spans="1:45" ht="15" customHeight="1" x14ac:dyDescent="0.3">
      <c r="E13" s="704" t="str">
        <f xml:space="preserve"> COMMUS_Model!E$186</f>
        <v>Copper realized price: SOM_Contract</v>
      </c>
      <c r="F13" s="704" t="str">
        <f xml:space="preserve"> COMMUS_Model!F$186</f>
        <v>SOM_Contract</v>
      </c>
      <c r="G13" s="704" t="str">
        <f xml:space="preserve"> COMMUS_Model!G$186</f>
        <v>$ / tonne</v>
      </c>
      <c r="H13" s="704">
        <f xml:space="preserve"> COMMUS_Model!H$186</f>
        <v>0</v>
      </c>
      <c r="I13" s="704">
        <f xml:space="preserve"> COMMUS_Model!I$186</f>
        <v>0</v>
      </c>
      <c r="J13" s="704">
        <f xml:space="preserve"> COMMUS_Model!J$186</f>
        <v>0</v>
      </c>
      <c r="K13" s="704">
        <f xml:space="preserve"> COMMUS_Model!K$186</f>
        <v>6387.4265919999998</v>
      </c>
      <c r="L13" s="704">
        <f xml:space="preserve"> COMMUS_Model!L$186</f>
        <v>6786.1034799999998</v>
      </c>
      <c r="M13" s="704">
        <f xml:space="preserve"> COMMUS_Model!M$186</f>
        <v>6618.6280719999995</v>
      </c>
      <c r="N13" s="704">
        <f xml:space="preserve"> COMMUS_Model!N$186</f>
        <v>4826.5023639999999</v>
      </c>
      <c r="O13" s="704">
        <f xml:space="preserve"> COMMUS_Model!O$186</f>
        <v>7191.2085520000001</v>
      </c>
      <c r="P13" s="704">
        <f xml:space="preserve"> COMMUS_Model!P$186</f>
        <v>8471.1601840000003</v>
      </c>
      <c r="Q13" s="704">
        <f xml:space="preserve"> COMMUS_Model!Q$186</f>
        <v>7610.0893000000005</v>
      </c>
      <c r="R13" s="704">
        <f xml:space="preserve"> COMMUS_Model!R$186</f>
        <v>6985.1650360000003</v>
      </c>
      <c r="S13" s="704">
        <f xml:space="preserve"> COMMUS_Model!S$186</f>
        <v>6518.9434119999996</v>
      </c>
      <c r="T13" s="704">
        <f xml:space="preserve"> COMMUS_Model!T$186</f>
        <v>5171.415172</v>
      </c>
      <c r="U13" s="704">
        <f xml:space="preserve"> COMMUS_Model!U$186</f>
        <v>4531.4254119999996</v>
      </c>
      <c r="V13" s="704">
        <f xml:space="preserve"> COMMUS_Model!V$186</f>
        <v>5828.2602399999996</v>
      </c>
      <c r="W13" s="704">
        <f xml:space="preserve"> COMMUS_Model!W$186</f>
        <v>6186.6788079999997</v>
      </c>
      <c r="X13" s="704">
        <f xml:space="preserve"> COMMUS_Model!X$186</f>
        <v>5669.1044200000006</v>
      </c>
      <c r="Y13" s="704">
        <f xml:space="preserve"> COMMUS_Model!Y$186</f>
        <v>5832.8597680000003</v>
      </c>
      <c r="Z13" s="704">
        <f xml:space="preserve"> COMMUS_Model!Z$186</f>
        <v>8963.1393639999987</v>
      </c>
      <c r="AA13" s="704">
        <f xml:space="preserve"> COMMUS_Model!AA$186</f>
        <v>8476.6013320000002</v>
      </c>
      <c r="AB13" s="704">
        <f xml:space="preserve"> COMMUS_Model!AB$186</f>
        <v>8139.798952000001</v>
      </c>
      <c r="AC13" s="704">
        <f xml:space="preserve"> COMMUS_Model!AC$186</f>
        <v>8199.5201080000006</v>
      </c>
      <c r="AD13" s="704">
        <f xml:space="preserve"> COMMUS_Model!AD$186</f>
        <v>8309.5840840000001</v>
      </c>
      <c r="AE13" s="704">
        <f xml:space="preserve"> COMMUS_Model!AE$186</f>
        <v>8324.586831999999</v>
      </c>
      <c r="AF13" s="704">
        <f xml:space="preserve"> COMMUS_Model!AF$186</f>
        <v>8316.0789999999997</v>
      </c>
      <c r="AG13" s="704">
        <f xml:space="preserve"> COMMUS_Model!AG$186</f>
        <v>8304.0025000000005</v>
      </c>
      <c r="AH13" s="704">
        <f xml:space="preserve"> COMMUS_Model!AH$186</f>
        <v>8316.8259999999991</v>
      </c>
      <c r="AI13" s="704">
        <f xml:space="preserve"> COMMUS_Model!AI$186</f>
        <v>8504.6035233292805</v>
      </c>
      <c r="AJ13" s="704">
        <f xml:space="preserve"> COMMUS_Model!AJ$186</f>
        <v>8681.0355937958666</v>
      </c>
      <c r="AK13" s="704">
        <f xml:space="preserve"> COMMUS_Model!AK$186</f>
        <v>8860.9963056717843</v>
      </c>
      <c r="AL13" s="704">
        <f xml:space="preserve"> COMMUS_Model!AL$186</f>
        <v>9044.55623178522</v>
      </c>
      <c r="AM13" s="704">
        <f xml:space="preserve"> COMMUS_Model!AM$186</f>
        <v>9231.7873564209222</v>
      </c>
      <c r="AN13" s="704">
        <f xml:space="preserve"> COMMUS_Model!AN$186</f>
        <v>9422.7631035493432</v>
      </c>
      <c r="AO13" s="704">
        <f xml:space="preserve"> COMMUS_Model!AO$186</f>
        <v>9617.5583656203307</v>
      </c>
      <c r="AP13" s="704">
        <f xml:space="preserve"> COMMUS_Model!AP$186</f>
        <v>9816.2495329327376</v>
      </c>
      <c r="AQ13" s="704">
        <f xml:space="preserve"> COMMUS_Model!AQ$186</f>
        <v>10018.914523591395</v>
      </c>
      <c r="AR13" s="704">
        <f xml:space="preserve"> COMMUS_Model!AR$186</f>
        <v>10225.632814063223</v>
      </c>
      <c r="AS13" s="704">
        <f xml:space="preserve"> COMMUS_Model!AS$186</f>
        <v>10436.485470344485</v>
      </c>
    </row>
    <row r="14" spans="1:45" ht="15" customHeight="1" x14ac:dyDescent="0.3">
      <c r="A14" s="394"/>
      <c r="B14" s="394"/>
      <c r="C14" s="395"/>
      <c r="D14" s="34"/>
      <c r="E14" s="104" t="str">
        <f xml:space="preserve"> COMMUS_Model!E$323</f>
        <v>Cobalt realized price: FS</v>
      </c>
      <c r="F14" s="104" t="str">
        <f xml:space="preserve"> COMMUS_Model!F$323</f>
        <v>FS</v>
      </c>
      <c r="G14" s="104" t="str">
        <f xml:space="preserve"> COMMUS_Model!G$323</f>
        <v>$ / tonne</v>
      </c>
      <c r="H14" s="104">
        <f xml:space="preserve"> COMMUS_Model!H$323</f>
        <v>0</v>
      </c>
      <c r="I14" s="104">
        <f xml:space="preserve"> COMMUS_Model!I$323</f>
        <v>0</v>
      </c>
      <c r="J14" s="104">
        <f xml:space="preserve"> COMMUS_Model!J$323</f>
        <v>0</v>
      </c>
      <c r="K14" s="104">
        <f xml:space="preserve"> COMMUS_Model!K$323</f>
        <v>0</v>
      </c>
      <c r="L14" s="104">
        <f xml:space="preserve"> COMMUS_Model!L$323</f>
        <v>0</v>
      </c>
      <c r="M14" s="104">
        <f xml:space="preserve"> COMMUS_Model!M$323</f>
        <v>0</v>
      </c>
      <c r="N14" s="104">
        <f xml:space="preserve"> COMMUS_Model!N$323</f>
        <v>0</v>
      </c>
      <c r="O14" s="104">
        <f xml:space="preserve"> COMMUS_Model!O$323</f>
        <v>0</v>
      </c>
      <c r="P14" s="104">
        <f xml:space="preserve"> COMMUS_Model!P$323</f>
        <v>0</v>
      </c>
      <c r="Q14" s="104">
        <f xml:space="preserve"> COMMUS_Model!Q$323</f>
        <v>0</v>
      </c>
      <c r="R14" s="104">
        <f xml:space="preserve"> COMMUS_Model!R$323</f>
        <v>0</v>
      </c>
      <c r="S14" s="104">
        <f xml:space="preserve"> COMMUS_Model!S$323</f>
        <v>0</v>
      </c>
      <c r="T14" s="104">
        <f xml:space="preserve"> COMMUS_Model!T$323</f>
        <v>0</v>
      </c>
      <c r="U14" s="104">
        <f xml:space="preserve"> COMMUS_Model!U$323</f>
        <v>0</v>
      </c>
      <c r="V14" s="104">
        <f xml:space="preserve"> COMMUS_Model!V$323</f>
        <v>27778.212</v>
      </c>
      <c r="W14" s="104">
        <f xml:space="preserve"> COMMUS_Model!W$323</f>
        <v>27778.212</v>
      </c>
      <c r="X14" s="104">
        <f xml:space="preserve"> COMMUS_Model!X$323</f>
        <v>24691.743999999999</v>
      </c>
      <c r="Y14" s="104">
        <f xml:space="preserve"> COMMUS_Model!Y$323</f>
        <v>23148.51</v>
      </c>
      <c r="Z14" s="104">
        <f xml:space="preserve"> COMMUS_Model!Z$323</f>
        <v>37037.615999999995</v>
      </c>
      <c r="AA14" s="104">
        <f xml:space="preserve"> COMMUS_Model!AA$323</f>
        <v>41667.317999999992</v>
      </c>
      <c r="AB14" s="104">
        <f xml:space="preserve"> COMMUS_Model!AB$323</f>
        <v>21960.215870915901</v>
      </c>
      <c r="AC14" s="104">
        <f xml:space="preserve"> COMMUS_Model!AC$323</f>
        <v>16436.525108406309</v>
      </c>
      <c r="AD14" s="104">
        <f xml:space="preserve"> COMMUS_Model!AD$323</f>
        <v>25938.833026931141</v>
      </c>
      <c r="AE14" s="104">
        <f xml:space="preserve"> COMMUS_Model!AE$323</f>
        <v>25938.833026931141</v>
      </c>
      <c r="AF14" s="104">
        <f xml:space="preserve"> COMMUS_Model!AF$323</f>
        <v>25938.833026931141</v>
      </c>
      <c r="AG14" s="104">
        <f xml:space="preserve"> COMMUS_Model!AG$323</f>
        <v>25938.833026931141</v>
      </c>
      <c r="AH14" s="104">
        <f xml:space="preserve"> COMMUS_Model!AH$323</f>
        <v>25938.833026931141</v>
      </c>
      <c r="AI14" s="104">
        <f xml:space="preserve"> COMMUS_Model!AI$323</f>
        <v>26543.42185053225</v>
      </c>
      <c r="AJ14" s="104">
        <f xml:space="preserve"> COMMUS_Model!AJ$323</f>
        <v>27111.481627004272</v>
      </c>
      <c r="AK14" s="104">
        <f xml:space="preserve"> COMMUS_Model!AK$323</f>
        <v>27690.902599005734</v>
      </c>
      <c r="AL14" s="104">
        <f xml:space="preserve"> COMMUS_Model!AL$323</f>
        <v>28281.911990447228</v>
      </c>
      <c r="AM14" s="104">
        <f xml:space="preserve"> COMMUS_Model!AM$323</f>
        <v>28884.741569717542</v>
      </c>
      <c r="AN14" s="104">
        <f xml:space="preserve"> COMMUS_Model!AN$323</f>
        <v>29499.627740573273</v>
      </c>
      <c r="AO14" s="104">
        <f xml:space="preserve"> COMMUS_Model!AO$323</f>
        <v>30126.811634846119</v>
      </c>
      <c r="AP14" s="104">
        <f xml:space="preserve"> COMMUS_Model!AP$323</f>
        <v>30766.539207004422</v>
      </c>
      <c r="AQ14" s="104">
        <f xml:space="preserve"> COMMUS_Model!AQ$323</f>
        <v>31419.061330605895</v>
      </c>
      <c r="AR14" s="104">
        <f xml:space="preserve"> COMMUS_Model!AR$323</f>
        <v>32084.633896679392</v>
      </c>
      <c r="AS14" s="104">
        <f xml:space="preserve"> COMMUS_Model!AS$323</f>
        <v>32763.517914074346</v>
      </c>
    </row>
    <row r="15" spans="1:45" ht="15" customHeight="1" x14ac:dyDescent="0.3">
      <c r="AL15" s="448"/>
      <c r="AM15" s="448"/>
      <c r="AN15" s="448"/>
      <c r="AO15" s="448"/>
      <c r="AP15" s="448"/>
      <c r="AQ15" s="448"/>
      <c r="AR15" s="448"/>
      <c r="AS15" s="448"/>
    </row>
    <row r="16" spans="1:45" ht="15" customHeight="1" x14ac:dyDescent="0.3">
      <c r="B16" s="446" t="s">
        <v>489</v>
      </c>
      <c r="AL16" s="448"/>
      <c r="AM16" s="448"/>
      <c r="AN16" s="448"/>
      <c r="AO16" s="448"/>
      <c r="AP16" s="448"/>
      <c r="AQ16" s="448"/>
      <c r="AR16" s="448"/>
      <c r="AS16" s="448"/>
    </row>
    <row r="17" spans="2:45" ht="15" customHeight="1" x14ac:dyDescent="0.3">
      <c r="E17" s="594" t="str">
        <f xml:space="preserve"> COMMUS_Model!E$375</f>
        <v>Copper gross revenue</v>
      </c>
      <c r="F17" s="594">
        <f xml:space="preserve"> COMMUS_Model!F$375</f>
        <v>0</v>
      </c>
      <c r="G17" s="594" t="str">
        <f xml:space="preserve"> COMMUS_Model!G$375</f>
        <v>$ mn</v>
      </c>
      <c r="H17" s="594">
        <f xml:space="preserve"> COMMUS_Model!H$375</f>
        <v>0</v>
      </c>
      <c r="I17" s="594">
        <f xml:space="preserve"> COMMUS_Model!I$375</f>
        <v>11451.489506019687</v>
      </c>
      <c r="J17" s="594">
        <f xml:space="preserve"> COMMUS_Model!J$375</f>
        <v>0</v>
      </c>
      <c r="K17" s="594">
        <f xml:space="preserve"> COMMUS_Model!K$375</f>
        <v>0</v>
      </c>
      <c r="L17" s="594">
        <f xml:space="preserve"> COMMUS_Model!L$375</f>
        <v>0</v>
      </c>
      <c r="M17" s="594">
        <f xml:space="preserve"> COMMUS_Model!M$375</f>
        <v>0</v>
      </c>
      <c r="N17" s="594">
        <f xml:space="preserve"> COMMUS_Model!N$375</f>
        <v>0</v>
      </c>
      <c r="O17" s="594">
        <f xml:space="preserve"> COMMUS_Model!O$375</f>
        <v>0</v>
      </c>
      <c r="P17" s="594">
        <f xml:space="preserve"> COMMUS_Model!P$375</f>
        <v>0</v>
      </c>
      <c r="Q17" s="594">
        <f xml:space="preserve"> COMMUS_Model!Q$375</f>
        <v>0</v>
      </c>
      <c r="R17" s="594">
        <f xml:space="preserve"> COMMUS_Model!R$375</f>
        <v>0</v>
      </c>
      <c r="S17" s="594">
        <f xml:space="preserve"> COMMUS_Model!S$375</f>
        <v>0</v>
      </c>
      <c r="T17" s="594">
        <f xml:space="preserve"> COMMUS_Model!T$375</f>
        <v>0</v>
      </c>
      <c r="U17" s="594">
        <f xml:space="preserve"> COMMUS_Model!U$375</f>
        <v>0</v>
      </c>
      <c r="V17" s="594">
        <f xml:space="preserve"> COMMUS_Model!V$375</f>
        <v>104.68060500000001</v>
      </c>
      <c r="W17" s="594">
        <f xml:space="preserve"> COMMUS_Model!W$375</f>
        <v>275.12210799999997</v>
      </c>
      <c r="X17" s="594">
        <f xml:space="preserve"> COMMUS_Model!X$375</f>
        <v>416.84932400000002</v>
      </c>
      <c r="Y17" s="594">
        <f xml:space="preserve"> COMMUS_Model!Y$375</f>
        <v>635.77241700000002</v>
      </c>
      <c r="Z17" s="594">
        <f xml:space="preserve"> COMMUS_Model!Z$375</f>
        <v>1059.1821980000002</v>
      </c>
      <c r="AA17" s="594">
        <f xml:space="preserve"> COMMUS_Model!AA$375</f>
        <v>938.45274099999995</v>
      </c>
      <c r="AB17" s="594">
        <f xml:space="preserve"> COMMUS_Model!AB$375</f>
        <v>972.90811853117418</v>
      </c>
      <c r="AC17" s="594">
        <f xml:space="preserve"> COMMUS_Model!AC$375</f>
        <v>641.01964091281855</v>
      </c>
      <c r="AD17" s="594">
        <f xml:space="preserve"> COMMUS_Model!AD$375</f>
        <v>905.06080438998561</v>
      </c>
      <c r="AE17" s="594">
        <f xml:space="preserve"> COMMUS_Model!AE$375</f>
        <v>906.69486922833119</v>
      </c>
      <c r="AF17" s="594">
        <f xml:space="preserve"> COMMUS_Model!AF$375</f>
        <v>905.7682157164711</v>
      </c>
      <c r="AG17" s="594">
        <f xml:space="preserve"> COMMUS_Model!AG$375</f>
        <v>904.45287108625553</v>
      </c>
      <c r="AH17" s="594">
        <f xml:space="preserve"> COMMUS_Model!AH$375</f>
        <v>905.84957723998957</v>
      </c>
      <c r="AI17" s="594">
        <f xml:space="preserve"> COMMUS_Model!AI$375</f>
        <v>766.66482549710213</v>
      </c>
      <c r="AJ17" s="594">
        <f xml:space="preserve"> COMMUS_Model!AJ$375</f>
        <v>782.56965423430415</v>
      </c>
      <c r="AK17" s="594">
        <f xml:space="preserve"> COMMUS_Model!AK$375</f>
        <v>330.44153618325373</v>
      </c>
      <c r="AL17" s="594">
        <f xml:space="preserve"> COMMUS_Model!AL$375</f>
        <v>0</v>
      </c>
      <c r="AM17" s="594">
        <f xml:space="preserve"> COMMUS_Model!AM$375</f>
        <v>0</v>
      </c>
      <c r="AN17" s="594">
        <f xml:space="preserve"> COMMUS_Model!AN$375</f>
        <v>0</v>
      </c>
      <c r="AO17" s="594">
        <f xml:space="preserve"> COMMUS_Model!AO$375</f>
        <v>0</v>
      </c>
      <c r="AP17" s="594">
        <f xml:space="preserve"> COMMUS_Model!AP$375</f>
        <v>0</v>
      </c>
      <c r="AQ17" s="594">
        <f xml:space="preserve"> COMMUS_Model!AQ$375</f>
        <v>0</v>
      </c>
      <c r="AR17" s="594">
        <f xml:space="preserve"> COMMUS_Model!AR$375</f>
        <v>0</v>
      </c>
      <c r="AS17" s="594">
        <f xml:space="preserve"> COMMUS_Model!AS$375</f>
        <v>0</v>
      </c>
    </row>
    <row r="18" spans="2:45" ht="15" customHeight="1" x14ac:dyDescent="0.3">
      <c r="E18" s="594" t="str">
        <f xml:space="preserve"> COMMUS_Model!E$380</f>
        <v>Cobalt gross revenue</v>
      </c>
      <c r="F18" s="594">
        <f xml:space="preserve"> COMMUS_Model!F$380</f>
        <v>0</v>
      </c>
      <c r="G18" s="594" t="str">
        <f xml:space="preserve"> COMMUS_Model!G$380</f>
        <v>$ mn</v>
      </c>
      <c r="H18" s="594">
        <f xml:space="preserve"> COMMUS_Model!H$380</f>
        <v>0</v>
      </c>
      <c r="I18" s="594">
        <f xml:space="preserve"> COMMUS_Model!I$380</f>
        <v>605.73785207875858</v>
      </c>
      <c r="J18" s="594">
        <f xml:space="preserve"> COMMUS_Model!J$380</f>
        <v>0</v>
      </c>
      <c r="K18" s="594">
        <f xml:space="preserve"> COMMUS_Model!K$380</f>
        <v>0</v>
      </c>
      <c r="L18" s="594">
        <f xml:space="preserve"> COMMUS_Model!L$380</f>
        <v>0</v>
      </c>
      <c r="M18" s="594">
        <f xml:space="preserve"> COMMUS_Model!M$380</f>
        <v>0</v>
      </c>
      <c r="N18" s="594">
        <f xml:space="preserve"> COMMUS_Model!N$380</f>
        <v>0</v>
      </c>
      <c r="O18" s="594">
        <f xml:space="preserve"> COMMUS_Model!O$380</f>
        <v>0</v>
      </c>
      <c r="P18" s="594">
        <f xml:space="preserve"> COMMUS_Model!P$380</f>
        <v>0</v>
      </c>
      <c r="Q18" s="594">
        <f xml:space="preserve"> COMMUS_Model!Q$380</f>
        <v>0</v>
      </c>
      <c r="R18" s="594">
        <f xml:space="preserve"> COMMUS_Model!R$380</f>
        <v>0</v>
      </c>
      <c r="S18" s="594">
        <f xml:space="preserve"> COMMUS_Model!S$380</f>
        <v>0</v>
      </c>
      <c r="T18" s="594">
        <f xml:space="preserve"> COMMUS_Model!T$380</f>
        <v>0</v>
      </c>
      <c r="U18" s="594">
        <f xml:space="preserve"> COMMUS_Model!U$380</f>
        <v>0</v>
      </c>
      <c r="V18" s="594">
        <f xml:space="preserve"> COMMUS_Model!V$380</f>
        <v>0</v>
      </c>
      <c r="W18" s="594">
        <f xml:space="preserve"> COMMUS_Model!W$380</f>
        <v>0</v>
      </c>
      <c r="X18" s="594">
        <f xml:space="preserve"> COMMUS_Model!X$380</f>
        <v>17.482495504319999</v>
      </c>
      <c r="Y18" s="594">
        <f xml:space="preserve"> COMMUS_Model!Y$380</f>
        <v>32.942181610799999</v>
      </c>
      <c r="Z18" s="594">
        <f xml:space="preserve"> COMMUS_Model!Z$380</f>
        <v>59.516856278879999</v>
      </c>
      <c r="AA18" s="594">
        <f xml:space="preserve"> COMMUS_Model!AA$380</f>
        <v>104.42579902523998</v>
      </c>
      <c r="AB18" s="594">
        <f xml:space="preserve"> COMMUS_Model!AB$380</f>
        <v>50.640257798332065</v>
      </c>
      <c r="AC18" s="594">
        <f xml:space="preserve"> COMMUS_Model!AC$380</f>
        <v>12.790082013106371</v>
      </c>
      <c r="AD18" s="594">
        <f xml:space="preserve"> COMMUS_Model!AD$380</f>
        <v>44.969561931178475</v>
      </c>
      <c r="AE18" s="594">
        <f xml:space="preserve"> COMMUS_Model!AE$380</f>
        <v>44.969561931178475</v>
      </c>
      <c r="AF18" s="594">
        <f xml:space="preserve"> COMMUS_Model!AF$380</f>
        <v>44.969561931178475</v>
      </c>
      <c r="AG18" s="594">
        <f xml:space="preserve"> COMMUS_Model!AG$380</f>
        <v>44.969561931178475</v>
      </c>
      <c r="AH18" s="594">
        <f xml:space="preserve"> COMMUS_Model!AH$380</f>
        <v>44.969561931178475</v>
      </c>
      <c r="AI18" s="594">
        <f xml:space="preserve"> COMMUS_Model!AI$380</f>
        <v>46.017723755482606</v>
      </c>
      <c r="AJ18" s="594">
        <f xml:space="preserve"> COMMUS_Model!AJ$380</f>
        <v>40.122552774619891</v>
      </c>
      <c r="AK18" s="594">
        <f xml:space="preserve"> COMMUS_Model!AK$380</f>
        <v>16.952093662085321</v>
      </c>
      <c r="AL18" s="594">
        <f xml:space="preserve"> COMMUS_Model!AL$380</f>
        <v>0</v>
      </c>
      <c r="AM18" s="594">
        <f xml:space="preserve"> COMMUS_Model!AM$380</f>
        <v>0</v>
      </c>
      <c r="AN18" s="594">
        <f xml:space="preserve"> COMMUS_Model!AN$380</f>
        <v>0</v>
      </c>
      <c r="AO18" s="594">
        <f xml:space="preserve"> COMMUS_Model!AO$380</f>
        <v>0</v>
      </c>
      <c r="AP18" s="594">
        <f xml:space="preserve"> COMMUS_Model!AP$380</f>
        <v>0</v>
      </c>
      <c r="AQ18" s="594">
        <f xml:space="preserve"> COMMUS_Model!AQ$380</f>
        <v>0</v>
      </c>
      <c r="AR18" s="594">
        <f xml:space="preserve"> COMMUS_Model!AR$380</f>
        <v>0</v>
      </c>
      <c r="AS18" s="594">
        <f xml:space="preserve"> COMMUS_Model!AS$380</f>
        <v>0</v>
      </c>
    </row>
    <row r="19" spans="2:45" ht="15" customHeight="1" x14ac:dyDescent="0.3">
      <c r="E19" s="594" t="str">
        <f xml:space="preserve"> COMMUS_Model!E$385</f>
        <v>Total gross revenue</v>
      </c>
      <c r="F19" s="594">
        <f xml:space="preserve"> COMMUS_Model!F$385</f>
        <v>0</v>
      </c>
      <c r="G19" s="594" t="str">
        <f xml:space="preserve"> COMMUS_Model!G$385</f>
        <v>$ mn</v>
      </c>
      <c r="H19" s="594">
        <f xml:space="preserve"> COMMUS_Model!H$385</f>
        <v>0</v>
      </c>
      <c r="I19" s="594">
        <f xml:space="preserve"> COMMUS_Model!I$385</f>
        <v>12057.227358098444</v>
      </c>
      <c r="J19" s="594">
        <f xml:space="preserve"> COMMUS_Model!J$385</f>
        <v>0</v>
      </c>
      <c r="K19" s="594">
        <f xml:space="preserve"> COMMUS_Model!K$385</f>
        <v>0</v>
      </c>
      <c r="L19" s="594">
        <f xml:space="preserve"> COMMUS_Model!L$385</f>
        <v>0</v>
      </c>
      <c r="M19" s="594">
        <f xml:space="preserve"> COMMUS_Model!M$385</f>
        <v>0</v>
      </c>
      <c r="N19" s="594">
        <f xml:space="preserve"> COMMUS_Model!N$385</f>
        <v>0</v>
      </c>
      <c r="O19" s="594">
        <f xml:space="preserve"> COMMUS_Model!O$385</f>
        <v>0</v>
      </c>
      <c r="P19" s="594">
        <f xml:space="preserve"> COMMUS_Model!P$385</f>
        <v>0</v>
      </c>
      <c r="Q19" s="594">
        <f xml:space="preserve"> COMMUS_Model!Q$385</f>
        <v>0</v>
      </c>
      <c r="R19" s="594">
        <f xml:space="preserve"> COMMUS_Model!R$385</f>
        <v>0</v>
      </c>
      <c r="S19" s="594">
        <f xml:space="preserve"> COMMUS_Model!S$385</f>
        <v>0</v>
      </c>
      <c r="T19" s="594">
        <f xml:space="preserve"> COMMUS_Model!T$385</f>
        <v>0</v>
      </c>
      <c r="U19" s="594">
        <f xml:space="preserve"> COMMUS_Model!U$385</f>
        <v>0</v>
      </c>
      <c r="V19" s="594">
        <f xml:space="preserve"> COMMUS_Model!V$385</f>
        <v>104.68060500000001</v>
      </c>
      <c r="W19" s="594">
        <f xml:space="preserve"> COMMUS_Model!W$385</f>
        <v>275.12210799999997</v>
      </c>
      <c r="X19" s="594">
        <f xml:space="preserve"> COMMUS_Model!X$385</f>
        <v>434.33181950432004</v>
      </c>
      <c r="Y19" s="594">
        <f xml:space="preserve"> COMMUS_Model!Y$385</f>
        <v>668.71459861080007</v>
      </c>
      <c r="Z19" s="594">
        <f xml:space="preserve"> COMMUS_Model!Z$385</f>
        <v>1118.6990542788801</v>
      </c>
      <c r="AA19" s="594">
        <f xml:space="preserve"> COMMUS_Model!AA$385</f>
        <v>1042.87854002524</v>
      </c>
      <c r="AB19" s="594">
        <f xml:space="preserve"> COMMUS_Model!AB$385</f>
        <v>1023.5483763295063</v>
      </c>
      <c r="AC19" s="594">
        <f xml:space="preserve"> COMMUS_Model!AC$385</f>
        <v>653.80972292592492</v>
      </c>
      <c r="AD19" s="594">
        <f xml:space="preserve"> COMMUS_Model!AD$385</f>
        <v>950.03036632116414</v>
      </c>
      <c r="AE19" s="594">
        <f xml:space="preserve"> COMMUS_Model!AE$385</f>
        <v>951.6644311595096</v>
      </c>
      <c r="AF19" s="594">
        <f xml:space="preserve"> COMMUS_Model!AF$385</f>
        <v>950.73777764764964</v>
      </c>
      <c r="AG19" s="594">
        <f xml:space="preserve"> COMMUS_Model!AG$385</f>
        <v>949.42243301743406</v>
      </c>
      <c r="AH19" s="594">
        <f xml:space="preserve"> COMMUS_Model!AH$385</f>
        <v>950.81913917116799</v>
      </c>
      <c r="AI19" s="594">
        <f xml:space="preserve"> COMMUS_Model!AI$385</f>
        <v>812.68254925258475</v>
      </c>
      <c r="AJ19" s="594">
        <f xml:space="preserve"> COMMUS_Model!AJ$385</f>
        <v>822.69220700892402</v>
      </c>
      <c r="AK19" s="594">
        <f xml:space="preserve"> COMMUS_Model!AK$385</f>
        <v>347.39362984533904</v>
      </c>
      <c r="AL19" s="594">
        <f xml:space="preserve"> COMMUS_Model!AL$385</f>
        <v>0</v>
      </c>
      <c r="AM19" s="594">
        <f xml:space="preserve"> COMMUS_Model!AM$385</f>
        <v>0</v>
      </c>
      <c r="AN19" s="594">
        <f xml:space="preserve"> COMMUS_Model!AN$385</f>
        <v>0</v>
      </c>
      <c r="AO19" s="594">
        <f xml:space="preserve"> COMMUS_Model!AO$385</f>
        <v>0</v>
      </c>
      <c r="AP19" s="594">
        <f xml:space="preserve"> COMMUS_Model!AP$385</f>
        <v>0</v>
      </c>
      <c r="AQ19" s="594">
        <f xml:space="preserve"> COMMUS_Model!AQ$385</f>
        <v>0</v>
      </c>
      <c r="AR19" s="594">
        <f xml:space="preserve"> COMMUS_Model!AR$385</f>
        <v>0</v>
      </c>
      <c r="AS19" s="594">
        <f xml:space="preserve"> COMMUS_Model!AS$385</f>
        <v>0</v>
      </c>
    </row>
    <row r="20" spans="2:45" ht="15" customHeight="1" x14ac:dyDescent="0.3">
      <c r="H20" s="448"/>
      <c r="J20" s="448"/>
      <c r="AL20" s="448"/>
      <c r="AM20" s="448"/>
      <c r="AN20" s="448"/>
      <c r="AO20" s="448"/>
      <c r="AP20" s="448"/>
      <c r="AQ20" s="448"/>
      <c r="AR20" s="448"/>
      <c r="AS20" s="448"/>
    </row>
    <row r="21" spans="2:45" ht="15" customHeight="1" x14ac:dyDescent="0.3">
      <c r="E21" s="597" t="str">
        <f xml:space="preserve"> COMMUS_Model!E$394</f>
        <v>Selling costs</v>
      </c>
      <c r="F21" s="597">
        <f xml:space="preserve"> COMMUS_Model!F$394</f>
        <v>0</v>
      </c>
      <c r="G21" s="597" t="str">
        <f xml:space="preserve"> COMMUS_Model!G$394</f>
        <v>$ mn</v>
      </c>
      <c r="H21" s="597">
        <f xml:space="preserve"> COMMUS_Model!H$394</f>
        <v>0</v>
      </c>
      <c r="I21" s="597">
        <f xml:space="preserve"> COMMUS_Model!I$394</f>
        <v>0</v>
      </c>
      <c r="J21" s="597">
        <f xml:space="preserve"> COMMUS_Model!J$394</f>
        <v>0</v>
      </c>
      <c r="K21" s="597">
        <f xml:space="preserve"> COMMUS_Model!K$394</f>
        <v>0</v>
      </c>
      <c r="L21" s="597">
        <f xml:space="preserve"> COMMUS_Model!L$394</f>
        <v>0</v>
      </c>
      <c r="M21" s="597">
        <f xml:space="preserve"> COMMUS_Model!M$394</f>
        <v>0</v>
      </c>
      <c r="N21" s="597">
        <f xml:space="preserve"> COMMUS_Model!N$394</f>
        <v>0</v>
      </c>
      <c r="O21" s="597">
        <f xml:space="preserve"> COMMUS_Model!O$394</f>
        <v>0</v>
      </c>
      <c r="P21" s="597">
        <f xml:space="preserve"> COMMUS_Model!P$394</f>
        <v>0</v>
      </c>
      <c r="Q21" s="597">
        <f xml:space="preserve"> COMMUS_Model!Q$394</f>
        <v>0</v>
      </c>
      <c r="R21" s="597">
        <f xml:space="preserve"> COMMUS_Model!R$394</f>
        <v>0</v>
      </c>
      <c r="S21" s="597">
        <f xml:space="preserve"> COMMUS_Model!S$394</f>
        <v>0</v>
      </c>
      <c r="T21" s="597">
        <f xml:space="preserve"> COMMUS_Model!T$394</f>
        <v>0</v>
      </c>
      <c r="U21" s="597">
        <f xml:space="preserve"> COMMUS_Model!U$394</f>
        <v>0</v>
      </c>
      <c r="V21" s="597">
        <f xml:space="preserve"> COMMUS_Model!V$394</f>
        <v>0</v>
      </c>
      <c r="W21" s="597">
        <f xml:space="preserve"> COMMUS_Model!W$394</f>
        <v>0</v>
      </c>
      <c r="X21" s="597">
        <f xml:space="preserve"> COMMUS_Model!X$394</f>
        <v>0</v>
      </c>
      <c r="Y21" s="597">
        <f xml:space="preserve"> COMMUS_Model!Y$394</f>
        <v>0</v>
      </c>
      <c r="Z21" s="597">
        <f xml:space="preserve"> COMMUS_Model!Z$394</f>
        <v>0</v>
      </c>
      <c r="AA21" s="597">
        <f xml:space="preserve"> COMMUS_Model!AA$394</f>
        <v>0</v>
      </c>
      <c r="AB21" s="597">
        <f xml:space="preserve"> COMMUS_Model!AB$394</f>
        <v>0</v>
      </c>
      <c r="AC21" s="597">
        <f xml:space="preserve"> COMMUS_Model!AC$394</f>
        <v>0</v>
      </c>
      <c r="AD21" s="597">
        <f xml:space="preserve"> COMMUS_Model!AD$394</f>
        <v>0</v>
      </c>
      <c r="AE21" s="597">
        <f xml:space="preserve"> COMMUS_Model!AE$394</f>
        <v>0</v>
      </c>
      <c r="AF21" s="597">
        <f xml:space="preserve"> COMMUS_Model!AF$394</f>
        <v>0</v>
      </c>
      <c r="AG21" s="597">
        <f xml:space="preserve"> COMMUS_Model!AG$394</f>
        <v>0</v>
      </c>
      <c r="AH21" s="597">
        <f xml:space="preserve"> COMMUS_Model!AH$394</f>
        <v>0</v>
      </c>
      <c r="AI21" s="597">
        <f xml:space="preserve"> COMMUS_Model!AI$394</f>
        <v>0</v>
      </c>
      <c r="AJ21" s="597">
        <f xml:space="preserve"> COMMUS_Model!AJ$394</f>
        <v>0</v>
      </c>
      <c r="AK21" s="597">
        <f xml:space="preserve"> COMMUS_Model!AK$394</f>
        <v>0</v>
      </c>
      <c r="AL21" s="597">
        <f xml:space="preserve"> COMMUS_Model!AL$394</f>
        <v>0</v>
      </c>
      <c r="AM21" s="597">
        <f xml:space="preserve"> COMMUS_Model!AM$394</f>
        <v>0</v>
      </c>
      <c r="AN21" s="597">
        <f xml:space="preserve"> COMMUS_Model!AN$394</f>
        <v>0</v>
      </c>
      <c r="AO21" s="597">
        <f xml:space="preserve"> COMMUS_Model!AO$394</f>
        <v>0</v>
      </c>
      <c r="AP21" s="597">
        <f xml:space="preserve"> COMMUS_Model!AP$394</f>
        <v>0</v>
      </c>
      <c r="AQ21" s="597">
        <f xml:space="preserve"> COMMUS_Model!AQ$394</f>
        <v>0</v>
      </c>
      <c r="AR21" s="597">
        <f xml:space="preserve"> COMMUS_Model!AR$394</f>
        <v>0</v>
      </c>
      <c r="AS21" s="597">
        <f xml:space="preserve"> COMMUS_Model!AS$394</f>
        <v>0</v>
      </c>
    </row>
    <row r="22" spans="2:45" ht="15" customHeight="1" x14ac:dyDescent="0.3">
      <c r="H22" s="448"/>
      <c r="J22" s="448"/>
      <c r="AL22" s="448"/>
      <c r="AM22" s="448"/>
      <c r="AN22" s="448"/>
      <c r="AO22" s="448"/>
      <c r="AP22" s="448"/>
      <c r="AQ22" s="448"/>
      <c r="AR22" s="448"/>
      <c r="AS22" s="448"/>
    </row>
    <row r="23" spans="2:45" ht="15" customHeight="1" x14ac:dyDescent="0.3">
      <c r="E23" s="594" t="str">
        <f xml:space="preserve"> COMMUS_Model!E$407</f>
        <v>Copper net revenue</v>
      </c>
      <c r="F23" s="594">
        <f xml:space="preserve"> COMMUS_Model!F$407</f>
        <v>0</v>
      </c>
      <c r="G23" s="594" t="str">
        <f xml:space="preserve"> COMMUS_Model!G$407</f>
        <v>$ mn</v>
      </c>
      <c r="H23" s="594">
        <f xml:space="preserve"> COMMUS_Model!H$407</f>
        <v>0</v>
      </c>
      <c r="I23" s="594">
        <f xml:space="preserve"> COMMUS_Model!I$407</f>
        <v>11451.489506019687</v>
      </c>
      <c r="J23" s="594">
        <f xml:space="preserve"> COMMUS_Model!J$407</f>
        <v>0</v>
      </c>
      <c r="K23" s="594">
        <f xml:space="preserve"> COMMUS_Model!K$407</f>
        <v>0</v>
      </c>
      <c r="L23" s="594">
        <f xml:space="preserve"> COMMUS_Model!L$407</f>
        <v>0</v>
      </c>
      <c r="M23" s="594">
        <f xml:space="preserve"> COMMUS_Model!M$407</f>
        <v>0</v>
      </c>
      <c r="N23" s="594">
        <f xml:space="preserve"> COMMUS_Model!N$407</f>
        <v>0</v>
      </c>
      <c r="O23" s="594">
        <f xml:space="preserve"> COMMUS_Model!O$407</f>
        <v>0</v>
      </c>
      <c r="P23" s="594">
        <f xml:space="preserve"> COMMUS_Model!P$407</f>
        <v>0</v>
      </c>
      <c r="Q23" s="594">
        <f xml:space="preserve"> COMMUS_Model!Q$407</f>
        <v>0</v>
      </c>
      <c r="R23" s="594">
        <f xml:space="preserve"> COMMUS_Model!R$407</f>
        <v>0</v>
      </c>
      <c r="S23" s="594">
        <f xml:space="preserve"> COMMUS_Model!S$407</f>
        <v>0</v>
      </c>
      <c r="T23" s="594">
        <f xml:space="preserve"> COMMUS_Model!T$407</f>
        <v>0</v>
      </c>
      <c r="U23" s="594">
        <f xml:space="preserve"> COMMUS_Model!U$407</f>
        <v>0</v>
      </c>
      <c r="V23" s="594">
        <f xml:space="preserve"> COMMUS_Model!V$407</f>
        <v>104.68060500000001</v>
      </c>
      <c r="W23" s="594">
        <f xml:space="preserve"> COMMUS_Model!W$407</f>
        <v>275.12210799999997</v>
      </c>
      <c r="X23" s="594">
        <f xml:space="preserve"> COMMUS_Model!X$407</f>
        <v>416.84932400000002</v>
      </c>
      <c r="Y23" s="594">
        <f xml:space="preserve"> COMMUS_Model!Y$407</f>
        <v>635.77241700000002</v>
      </c>
      <c r="Z23" s="594">
        <f xml:space="preserve"> COMMUS_Model!Z$407</f>
        <v>1059.1821980000002</v>
      </c>
      <c r="AA23" s="594">
        <f xml:space="preserve"> COMMUS_Model!AA$407</f>
        <v>938.45274099999995</v>
      </c>
      <c r="AB23" s="594">
        <f xml:space="preserve"> COMMUS_Model!AB$407</f>
        <v>972.90811853117418</v>
      </c>
      <c r="AC23" s="594">
        <f xml:space="preserve"> COMMUS_Model!AC$407</f>
        <v>641.01964091281855</v>
      </c>
      <c r="AD23" s="594">
        <f xml:space="preserve"> COMMUS_Model!AD$407</f>
        <v>905.06080438998561</v>
      </c>
      <c r="AE23" s="594">
        <f xml:space="preserve"> COMMUS_Model!AE$407</f>
        <v>906.69486922833119</v>
      </c>
      <c r="AF23" s="594">
        <f xml:space="preserve"> COMMUS_Model!AF$407</f>
        <v>905.7682157164711</v>
      </c>
      <c r="AG23" s="594">
        <f xml:space="preserve"> COMMUS_Model!AG$407</f>
        <v>904.45287108625553</v>
      </c>
      <c r="AH23" s="594">
        <f xml:space="preserve"> COMMUS_Model!AH$407</f>
        <v>905.84957723998957</v>
      </c>
      <c r="AI23" s="594">
        <f xml:space="preserve"> COMMUS_Model!AI$407</f>
        <v>766.66482549710213</v>
      </c>
      <c r="AJ23" s="594">
        <f xml:space="preserve"> COMMUS_Model!AJ$407</f>
        <v>782.56965423430415</v>
      </c>
      <c r="AK23" s="594">
        <f xml:space="preserve"> COMMUS_Model!AK$407</f>
        <v>330.44153618325373</v>
      </c>
      <c r="AL23" s="594">
        <f xml:space="preserve"> COMMUS_Model!AL$407</f>
        <v>0</v>
      </c>
      <c r="AM23" s="594">
        <f xml:space="preserve"> COMMUS_Model!AM$407</f>
        <v>0</v>
      </c>
      <c r="AN23" s="594">
        <f xml:space="preserve"> COMMUS_Model!AN$407</f>
        <v>0</v>
      </c>
      <c r="AO23" s="594">
        <f xml:space="preserve"> COMMUS_Model!AO$407</f>
        <v>0</v>
      </c>
      <c r="AP23" s="594">
        <f xml:space="preserve"> COMMUS_Model!AP$407</f>
        <v>0</v>
      </c>
      <c r="AQ23" s="594">
        <f xml:space="preserve"> COMMUS_Model!AQ$407</f>
        <v>0</v>
      </c>
      <c r="AR23" s="594">
        <f xml:space="preserve"> COMMUS_Model!AR$407</f>
        <v>0</v>
      </c>
      <c r="AS23" s="594">
        <f xml:space="preserve"> COMMUS_Model!AS$407</f>
        <v>0</v>
      </c>
    </row>
    <row r="24" spans="2:45" ht="15" customHeight="1" x14ac:dyDescent="0.3">
      <c r="E24" s="594" t="str">
        <f xml:space="preserve"> COMMUS_Model!E$408</f>
        <v>Cobalt net revenue</v>
      </c>
      <c r="F24" s="594">
        <f xml:space="preserve"> COMMUS_Model!F$408</f>
        <v>0</v>
      </c>
      <c r="G24" s="594" t="str">
        <f xml:space="preserve"> COMMUS_Model!G$408</f>
        <v>$ mn</v>
      </c>
      <c r="H24" s="594">
        <f xml:space="preserve"> COMMUS_Model!H$408</f>
        <v>0</v>
      </c>
      <c r="I24" s="594">
        <f xml:space="preserve"> COMMUS_Model!I$408</f>
        <v>605.73785207875858</v>
      </c>
      <c r="J24" s="594">
        <f xml:space="preserve"> COMMUS_Model!J$408</f>
        <v>0</v>
      </c>
      <c r="K24" s="594">
        <f xml:space="preserve"> COMMUS_Model!K$408</f>
        <v>0</v>
      </c>
      <c r="L24" s="594">
        <f xml:space="preserve"> COMMUS_Model!L$408</f>
        <v>0</v>
      </c>
      <c r="M24" s="594">
        <f xml:space="preserve"> COMMUS_Model!M$408</f>
        <v>0</v>
      </c>
      <c r="N24" s="594">
        <f xml:space="preserve"> COMMUS_Model!N$408</f>
        <v>0</v>
      </c>
      <c r="O24" s="594">
        <f xml:space="preserve"> COMMUS_Model!O$408</f>
        <v>0</v>
      </c>
      <c r="P24" s="594">
        <f xml:space="preserve"> COMMUS_Model!P$408</f>
        <v>0</v>
      </c>
      <c r="Q24" s="594">
        <f xml:space="preserve"> COMMUS_Model!Q$408</f>
        <v>0</v>
      </c>
      <c r="R24" s="594">
        <f xml:space="preserve"> COMMUS_Model!R$408</f>
        <v>0</v>
      </c>
      <c r="S24" s="594">
        <f xml:space="preserve"> COMMUS_Model!S$408</f>
        <v>0</v>
      </c>
      <c r="T24" s="594">
        <f xml:space="preserve"> COMMUS_Model!T$408</f>
        <v>0</v>
      </c>
      <c r="U24" s="594">
        <f xml:space="preserve"> COMMUS_Model!U$408</f>
        <v>0</v>
      </c>
      <c r="V24" s="594">
        <f xml:space="preserve"> COMMUS_Model!V$408</f>
        <v>0</v>
      </c>
      <c r="W24" s="594">
        <f xml:space="preserve"> COMMUS_Model!W$408</f>
        <v>0</v>
      </c>
      <c r="X24" s="594">
        <f xml:space="preserve"> COMMUS_Model!X$408</f>
        <v>17.482495504319999</v>
      </c>
      <c r="Y24" s="594">
        <f xml:space="preserve"> COMMUS_Model!Y$408</f>
        <v>32.942181610799999</v>
      </c>
      <c r="Z24" s="594">
        <f xml:space="preserve"> COMMUS_Model!Z$408</f>
        <v>59.516856278879999</v>
      </c>
      <c r="AA24" s="594">
        <f xml:space="preserve"> COMMUS_Model!AA$408</f>
        <v>104.42579902523998</v>
      </c>
      <c r="AB24" s="594">
        <f xml:space="preserve"> COMMUS_Model!AB$408</f>
        <v>50.640257798332065</v>
      </c>
      <c r="AC24" s="594">
        <f xml:space="preserve"> COMMUS_Model!AC$408</f>
        <v>12.790082013106371</v>
      </c>
      <c r="AD24" s="594">
        <f xml:space="preserve"> COMMUS_Model!AD$408</f>
        <v>44.969561931178475</v>
      </c>
      <c r="AE24" s="594">
        <f xml:space="preserve"> COMMUS_Model!AE$408</f>
        <v>44.969561931178475</v>
      </c>
      <c r="AF24" s="594">
        <f xml:space="preserve"> COMMUS_Model!AF$408</f>
        <v>44.969561931178475</v>
      </c>
      <c r="AG24" s="594">
        <f xml:space="preserve"> COMMUS_Model!AG$408</f>
        <v>44.969561931178475</v>
      </c>
      <c r="AH24" s="594">
        <f xml:space="preserve"> COMMUS_Model!AH$408</f>
        <v>44.969561931178475</v>
      </c>
      <c r="AI24" s="594">
        <f xml:space="preserve"> COMMUS_Model!AI$408</f>
        <v>46.017723755482606</v>
      </c>
      <c r="AJ24" s="594">
        <f xml:space="preserve"> COMMUS_Model!AJ$408</f>
        <v>40.122552774619891</v>
      </c>
      <c r="AK24" s="594">
        <f xml:space="preserve"> COMMUS_Model!AK$408</f>
        <v>16.952093662085321</v>
      </c>
      <c r="AL24" s="594">
        <f xml:space="preserve"> COMMUS_Model!AL$408</f>
        <v>0</v>
      </c>
      <c r="AM24" s="594">
        <f xml:space="preserve"> COMMUS_Model!AM$408</f>
        <v>0</v>
      </c>
      <c r="AN24" s="594">
        <f xml:space="preserve"> COMMUS_Model!AN$408</f>
        <v>0</v>
      </c>
      <c r="AO24" s="594">
        <f xml:space="preserve"> COMMUS_Model!AO$408</f>
        <v>0</v>
      </c>
      <c r="AP24" s="594">
        <f xml:space="preserve"> COMMUS_Model!AP$408</f>
        <v>0</v>
      </c>
      <c r="AQ24" s="594">
        <f xml:space="preserve"> COMMUS_Model!AQ$408</f>
        <v>0</v>
      </c>
      <c r="AR24" s="594">
        <f xml:space="preserve"> COMMUS_Model!AR$408</f>
        <v>0</v>
      </c>
      <c r="AS24" s="594">
        <f xml:space="preserve"> COMMUS_Model!AS$408</f>
        <v>0</v>
      </c>
    </row>
    <row r="25" spans="2:45" ht="15" customHeight="1" x14ac:dyDescent="0.3">
      <c r="E25" s="594" t="str">
        <f xml:space="preserve"> COMMUS_Model!E$409</f>
        <v>Total net revenue</v>
      </c>
      <c r="F25" s="594">
        <f xml:space="preserve"> COMMUS_Model!F$409</f>
        <v>0</v>
      </c>
      <c r="G25" s="594" t="str">
        <f xml:space="preserve"> COMMUS_Model!G$409</f>
        <v>$ mn</v>
      </c>
      <c r="H25" s="594">
        <f xml:space="preserve"> COMMUS_Model!H$409</f>
        <v>0</v>
      </c>
      <c r="I25" s="594">
        <f xml:space="preserve"> COMMUS_Model!I$409</f>
        <v>12057.227358098444</v>
      </c>
      <c r="J25" s="594">
        <f xml:space="preserve"> COMMUS_Model!J$409</f>
        <v>0</v>
      </c>
      <c r="K25" s="594">
        <f xml:space="preserve"> COMMUS_Model!K$409</f>
        <v>0</v>
      </c>
      <c r="L25" s="594">
        <f xml:space="preserve"> COMMUS_Model!L$409</f>
        <v>0</v>
      </c>
      <c r="M25" s="594">
        <f xml:space="preserve"> COMMUS_Model!M$409</f>
        <v>0</v>
      </c>
      <c r="N25" s="594">
        <f xml:space="preserve"> COMMUS_Model!N$409</f>
        <v>0</v>
      </c>
      <c r="O25" s="594">
        <f xml:space="preserve"> COMMUS_Model!O$409</f>
        <v>0</v>
      </c>
      <c r="P25" s="594">
        <f xml:space="preserve"> COMMUS_Model!P$409</f>
        <v>0</v>
      </c>
      <c r="Q25" s="594">
        <f xml:space="preserve"> COMMUS_Model!Q$409</f>
        <v>0</v>
      </c>
      <c r="R25" s="594">
        <f xml:space="preserve"> COMMUS_Model!R$409</f>
        <v>0</v>
      </c>
      <c r="S25" s="594">
        <f xml:space="preserve"> COMMUS_Model!S$409</f>
        <v>0</v>
      </c>
      <c r="T25" s="594">
        <f xml:space="preserve"> COMMUS_Model!T$409</f>
        <v>0</v>
      </c>
      <c r="U25" s="594">
        <f xml:space="preserve"> COMMUS_Model!U$409</f>
        <v>0</v>
      </c>
      <c r="V25" s="594">
        <f xml:space="preserve"> COMMUS_Model!V$409</f>
        <v>104.68060500000001</v>
      </c>
      <c r="W25" s="594">
        <f xml:space="preserve"> COMMUS_Model!W$409</f>
        <v>275.12210799999997</v>
      </c>
      <c r="X25" s="594">
        <f xml:space="preserve"> COMMUS_Model!X$409</f>
        <v>434.33181950432004</v>
      </c>
      <c r="Y25" s="594">
        <f xml:space="preserve"> COMMUS_Model!Y$409</f>
        <v>668.71459861080007</v>
      </c>
      <c r="Z25" s="594">
        <f xml:space="preserve"> COMMUS_Model!Z$409</f>
        <v>1118.6990542788801</v>
      </c>
      <c r="AA25" s="594">
        <f xml:space="preserve"> COMMUS_Model!AA$409</f>
        <v>1042.87854002524</v>
      </c>
      <c r="AB25" s="594">
        <f xml:space="preserve"> COMMUS_Model!AB$409</f>
        <v>1023.5483763295063</v>
      </c>
      <c r="AC25" s="594">
        <f xml:space="preserve"> COMMUS_Model!AC$409</f>
        <v>653.80972292592492</v>
      </c>
      <c r="AD25" s="594">
        <f xml:space="preserve"> COMMUS_Model!AD$409</f>
        <v>950.03036632116414</v>
      </c>
      <c r="AE25" s="594">
        <f xml:space="preserve"> COMMUS_Model!AE$409</f>
        <v>951.6644311595096</v>
      </c>
      <c r="AF25" s="594">
        <f xml:space="preserve"> COMMUS_Model!AF$409</f>
        <v>950.73777764764964</v>
      </c>
      <c r="AG25" s="594">
        <f xml:space="preserve"> COMMUS_Model!AG$409</f>
        <v>949.42243301743406</v>
      </c>
      <c r="AH25" s="594">
        <f xml:space="preserve"> COMMUS_Model!AH$409</f>
        <v>950.81913917116799</v>
      </c>
      <c r="AI25" s="594">
        <f xml:space="preserve"> COMMUS_Model!AI$409</f>
        <v>812.68254925258475</v>
      </c>
      <c r="AJ25" s="594">
        <f xml:space="preserve"> COMMUS_Model!AJ$409</f>
        <v>822.69220700892402</v>
      </c>
      <c r="AK25" s="594">
        <f xml:space="preserve"> COMMUS_Model!AK$409</f>
        <v>347.39362984533904</v>
      </c>
      <c r="AL25" s="594">
        <f xml:space="preserve"> COMMUS_Model!AL$409</f>
        <v>0</v>
      </c>
      <c r="AM25" s="594">
        <f xml:space="preserve"> COMMUS_Model!AM$409</f>
        <v>0</v>
      </c>
      <c r="AN25" s="594">
        <f xml:space="preserve"> COMMUS_Model!AN$409</f>
        <v>0</v>
      </c>
      <c r="AO25" s="594">
        <f xml:space="preserve"> COMMUS_Model!AO$409</f>
        <v>0</v>
      </c>
      <c r="AP25" s="594">
        <f xml:space="preserve"> COMMUS_Model!AP$409</f>
        <v>0</v>
      </c>
      <c r="AQ25" s="594">
        <f xml:space="preserve"> COMMUS_Model!AQ$409</f>
        <v>0</v>
      </c>
      <c r="AR25" s="594">
        <f xml:space="preserve"> COMMUS_Model!AR$409</f>
        <v>0</v>
      </c>
      <c r="AS25" s="594">
        <f xml:space="preserve"> COMMUS_Model!AS$409</f>
        <v>0</v>
      </c>
    </row>
    <row r="26" spans="2:45" ht="15" customHeight="1" x14ac:dyDescent="0.3">
      <c r="AL26" s="448"/>
      <c r="AM26" s="448"/>
      <c r="AN26" s="448"/>
      <c r="AO26" s="448"/>
      <c r="AP26" s="448"/>
      <c r="AQ26" s="448"/>
      <c r="AR26" s="448"/>
      <c r="AS26" s="448"/>
    </row>
    <row r="27" spans="2:45" ht="15" customHeight="1" x14ac:dyDescent="0.3">
      <c r="B27" s="446" t="s">
        <v>537</v>
      </c>
      <c r="AL27" s="448"/>
      <c r="AM27" s="448"/>
      <c r="AN27" s="448"/>
      <c r="AO27" s="448"/>
      <c r="AP27" s="448"/>
      <c r="AQ27" s="448"/>
      <c r="AR27" s="448"/>
      <c r="AS27" s="448"/>
    </row>
    <row r="28" spans="2:45" ht="15" customHeight="1" x14ac:dyDescent="0.3">
      <c r="E28" s="594" t="str">
        <f xml:space="preserve"> COMMUS_Model!E$520</f>
        <v>Operating costs, including Sens.</v>
      </c>
      <c r="F28" s="594" t="str">
        <f xml:space="preserve"> COMMUS_Model!F$520</f>
        <v>FS</v>
      </c>
      <c r="G28" s="594" t="str">
        <f xml:space="preserve"> COMMUS_Model!G$520</f>
        <v>$ mn</v>
      </c>
      <c r="H28" s="594">
        <f xml:space="preserve"> COMMUS_Model!H$520</f>
        <v>0</v>
      </c>
      <c r="I28" s="594">
        <f xml:space="preserve"> COMMUS_Model!I$520</f>
        <v>6417.4732060838423</v>
      </c>
      <c r="J28" s="594">
        <f xml:space="preserve"> COMMUS_Model!J$520</f>
        <v>0</v>
      </c>
      <c r="K28" s="594">
        <f xml:space="preserve"> COMMUS_Model!K$520</f>
        <v>0</v>
      </c>
      <c r="L28" s="594">
        <f xml:space="preserve"> COMMUS_Model!L$520</f>
        <v>0</v>
      </c>
      <c r="M28" s="594">
        <f xml:space="preserve"> COMMUS_Model!M$520</f>
        <v>0</v>
      </c>
      <c r="N28" s="594">
        <f xml:space="preserve"> COMMUS_Model!N$520</f>
        <v>0</v>
      </c>
      <c r="O28" s="594">
        <f xml:space="preserve"> COMMUS_Model!O$520</f>
        <v>0</v>
      </c>
      <c r="P28" s="594">
        <f xml:space="preserve"> COMMUS_Model!P$520</f>
        <v>0</v>
      </c>
      <c r="Q28" s="594">
        <f xml:space="preserve"> COMMUS_Model!Q$520</f>
        <v>0</v>
      </c>
      <c r="R28" s="594">
        <f xml:space="preserve"> COMMUS_Model!R$520</f>
        <v>0</v>
      </c>
      <c r="S28" s="594">
        <f xml:space="preserve"> COMMUS_Model!S$520</f>
        <v>0</v>
      </c>
      <c r="T28" s="594">
        <f xml:space="preserve"> COMMUS_Model!T$520</f>
        <v>0</v>
      </c>
      <c r="U28" s="594">
        <f xml:space="preserve"> COMMUS_Model!U$520</f>
        <v>0</v>
      </c>
      <c r="V28" s="594">
        <f xml:space="preserve"> COMMUS_Model!V$520</f>
        <v>92.547447899999995</v>
      </c>
      <c r="W28" s="594">
        <f xml:space="preserve"> COMMUS_Model!W$520</f>
        <v>111.20828203000001</v>
      </c>
      <c r="X28" s="594">
        <f xml:space="preserve"> COMMUS_Model!X$520</f>
        <v>222.95433410956798</v>
      </c>
      <c r="Y28" s="594">
        <f xml:space="preserve"> COMMUS_Model!Y$520</f>
        <v>275.07933724392001</v>
      </c>
      <c r="Z28" s="594">
        <f xml:space="preserve"> COMMUS_Model!Z$520</f>
        <v>236.842377442112</v>
      </c>
      <c r="AA28" s="594">
        <f xml:space="preserve"> COMMUS_Model!AA$520</f>
        <v>521.23181416247598</v>
      </c>
      <c r="AB28" s="594">
        <f xml:space="preserve"> COMMUS_Model!AB$520</f>
        <v>458.85614080454303</v>
      </c>
      <c r="AC28" s="594">
        <f xml:space="preserve"> COMMUS_Model!AC$520</f>
        <v>498.26409575079998</v>
      </c>
      <c r="AD28" s="594">
        <f xml:space="preserve"> COMMUS_Model!AD$520</f>
        <v>499.39449196549901</v>
      </c>
      <c r="AE28" s="594">
        <f xml:space="preserve"> COMMUS_Model!AE$520</f>
        <v>511.64191424046072</v>
      </c>
      <c r="AF28" s="594">
        <f xml:space="preserve"> COMMUS_Model!AF$520</f>
        <v>522.47681812965493</v>
      </c>
      <c r="AG28" s="594">
        <f xml:space="preserve"> COMMUS_Model!AG$520</f>
        <v>533.79306524069909</v>
      </c>
      <c r="AH28" s="594">
        <f xml:space="preserve"> COMMUS_Model!AH$520</f>
        <v>545.3125501316897</v>
      </c>
      <c r="AI28" s="594">
        <f xml:space="preserve"> COMMUS_Model!AI$520</f>
        <v>563.04437690960037</v>
      </c>
      <c r="AJ28" s="594">
        <f xml:space="preserve"> COMMUS_Model!AJ$520</f>
        <v>520.87013281239911</v>
      </c>
      <c r="AK28" s="594">
        <f xml:space="preserve"> COMMUS_Model!AK$520</f>
        <v>303.9560272104207</v>
      </c>
      <c r="AL28" s="594">
        <f xml:space="preserve"> COMMUS_Model!AL$520</f>
        <v>0</v>
      </c>
      <c r="AM28" s="594">
        <f xml:space="preserve"> COMMUS_Model!AM$520</f>
        <v>0</v>
      </c>
      <c r="AN28" s="594">
        <f xml:space="preserve"> COMMUS_Model!AN$520</f>
        <v>0</v>
      </c>
      <c r="AO28" s="594">
        <f xml:space="preserve"> COMMUS_Model!AO$520</f>
        <v>0</v>
      </c>
      <c r="AP28" s="594">
        <f xml:space="preserve"> COMMUS_Model!AP$520</f>
        <v>0</v>
      </c>
      <c r="AQ28" s="594">
        <f xml:space="preserve"> COMMUS_Model!AQ$520</f>
        <v>0</v>
      </c>
      <c r="AR28" s="594">
        <f xml:space="preserve"> COMMUS_Model!AR$520</f>
        <v>0</v>
      </c>
      <c r="AS28" s="594">
        <f xml:space="preserve"> COMMUS_Model!AS$520</f>
        <v>0</v>
      </c>
    </row>
    <row r="29" spans="2:45" ht="15" customHeight="1" x14ac:dyDescent="0.3">
      <c r="E29" s="594" t="str">
        <f xml:space="preserve"> COMMUS_Model!E$566</f>
        <v>Capital costs, including Sens.</v>
      </c>
      <c r="F29" s="594" t="str">
        <f xml:space="preserve"> COMMUS_Model!F$566</f>
        <v>FS</v>
      </c>
      <c r="G29" s="594" t="str">
        <f xml:space="preserve"> COMMUS_Model!G$566</f>
        <v>$ mn</v>
      </c>
      <c r="H29" s="594">
        <f xml:space="preserve"> COMMUS_Model!H$566</f>
        <v>0</v>
      </c>
      <c r="I29" s="594">
        <f xml:space="preserve"> COMMUS_Model!I$566</f>
        <v>831.24520052188814</v>
      </c>
      <c r="J29" s="594">
        <f xml:space="preserve"> COMMUS_Model!J$566</f>
        <v>0</v>
      </c>
      <c r="K29" s="594">
        <f xml:space="preserve"> COMMUS_Model!K$566</f>
        <v>0</v>
      </c>
      <c r="L29" s="594">
        <f xml:space="preserve"> COMMUS_Model!L$566</f>
        <v>0</v>
      </c>
      <c r="M29" s="594">
        <f xml:space="preserve"> COMMUS_Model!M$566</f>
        <v>0</v>
      </c>
      <c r="N29" s="594">
        <f xml:space="preserve"> COMMUS_Model!N$566</f>
        <v>0</v>
      </c>
      <c r="O29" s="594">
        <f xml:space="preserve"> COMMUS_Model!O$566</f>
        <v>0</v>
      </c>
      <c r="P29" s="594">
        <f xml:space="preserve"> COMMUS_Model!P$566</f>
        <v>0</v>
      </c>
      <c r="Q29" s="594">
        <f xml:space="preserve"> COMMUS_Model!Q$566</f>
        <v>0</v>
      </c>
      <c r="R29" s="594">
        <f xml:space="preserve"> COMMUS_Model!R$566</f>
        <v>0</v>
      </c>
      <c r="S29" s="594">
        <f xml:space="preserve"> COMMUS_Model!S$566</f>
        <v>0</v>
      </c>
      <c r="T29" s="594">
        <f xml:space="preserve"> COMMUS_Model!T$566</f>
        <v>0</v>
      </c>
      <c r="U29" s="594">
        <f xml:space="preserve"> COMMUS_Model!U$566</f>
        <v>0</v>
      </c>
      <c r="V29" s="594">
        <f xml:space="preserve"> COMMUS_Model!V$566</f>
        <v>245.02819335000001</v>
      </c>
      <c r="W29" s="594">
        <f xml:space="preserve"> COMMUS_Model!W$566</f>
        <v>111.33372773000001</v>
      </c>
      <c r="X29" s="594">
        <f xml:space="preserve"> COMMUS_Model!X$566</f>
        <v>148.28970892000001</v>
      </c>
      <c r="Y29" s="594">
        <f xml:space="preserve"> COMMUS_Model!Y$566</f>
        <v>4.7877627</v>
      </c>
      <c r="Z29" s="594">
        <f xml:space="preserve"> COMMUS_Model!Z$566</f>
        <v>81.812290399999995</v>
      </c>
      <c r="AA29" s="594">
        <f xml:space="preserve"> COMMUS_Model!AA$566</f>
        <v>100.30613584</v>
      </c>
      <c r="AB29" s="594">
        <f xml:space="preserve"> COMMUS_Model!AB$566</f>
        <v>103.88373304536523</v>
      </c>
      <c r="AC29" s="594">
        <f xml:space="preserve"> COMMUS_Model!AC$566</f>
        <v>35.80364853652285</v>
      </c>
      <c r="AD29" s="594">
        <f xml:space="preserve"> COMMUS_Model!AD$566</f>
        <v>0</v>
      </c>
      <c r="AE29" s="594">
        <f xml:space="preserve"> COMMUS_Model!AE$566</f>
        <v>0</v>
      </c>
      <c r="AF29" s="594">
        <f xml:space="preserve"> COMMUS_Model!AF$566</f>
        <v>0</v>
      </c>
      <c r="AG29" s="594">
        <f xml:space="preserve"> COMMUS_Model!AG$566</f>
        <v>0</v>
      </c>
      <c r="AH29" s="594">
        <f xml:space="preserve"> COMMUS_Model!AH$566</f>
        <v>0</v>
      </c>
      <c r="AI29" s="594">
        <f xml:space="preserve"> COMMUS_Model!AI$566</f>
        <v>0</v>
      </c>
      <c r="AJ29" s="594">
        <f xml:space="preserve"> COMMUS_Model!AJ$566</f>
        <v>0</v>
      </c>
      <c r="AK29" s="594">
        <f xml:space="preserve"> COMMUS_Model!AK$566</f>
        <v>0</v>
      </c>
      <c r="AL29" s="594">
        <f xml:space="preserve"> COMMUS_Model!AL$566</f>
        <v>0</v>
      </c>
      <c r="AM29" s="594">
        <f xml:space="preserve"> COMMUS_Model!AM$566</f>
        <v>0</v>
      </c>
      <c r="AN29" s="594">
        <f xml:space="preserve"> COMMUS_Model!AN$566</f>
        <v>0</v>
      </c>
      <c r="AO29" s="594">
        <f xml:space="preserve"> COMMUS_Model!AO$566</f>
        <v>0</v>
      </c>
      <c r="AP29" s="594">
        <f xml:space="preserve"> COMMUS_Model!AP$566</f>
        <v>0</v>
      </c>
      <c r="AQ29" s="594">
        <f xml:space="preserve"> COMMUS_Model!AQ$566</f>
        <v>0</v>
      </c>
      <c r="AR29" s="594">
        <f xml:space="preserve"> COMMUS_Model!AR$566</f>
        <v>0</v>
      </c>
      <c r="AS29" s="594">
        <f xml:space="preserve"> COMMUS_Model!AS$566</f>
        <v>0</v>
      </c>
    </row>
    <row r="30" spans="2:45" ht="15" customHeight="1" x14ac:dyDescent="0.3">
      <c r="E30" s="594" t="str">
        <f xml:space="preserve"> COMMUS_Model!E$655</f>
        <v>Project costs</v>
      </c>
      <c r="F30" s="594">
        <f xml:space="preserve"> COMMUS_Model!F$655</f>
        <v>0</v>
      </c>
      <c r="G30" s="594" t="str">
        <f xml:space="preserve"> COMMUS_Model!G$655</f>
        <v>$ mn</v>
      </c>
      <c r="H30" s="594">
        <f xml:space="preserve"> COMMUS_Model!H$655</f>
        <v>0</v>
      </c>
      <c r="I30" s="594">
        <f xml:space="preserve"> COMMUS_Model!I$655</f>
        <v>7248.7184066057316</v>
      </c>
      <c r="J30" s="594">
        <f xml:space="preserve"> COMMUS_Model!J$655</f>
        <v>0</v>
      </c>
      <c r="K30" s="594">
        <f xml:space="preserve"> COMMUS_Model!K$655</f>
        <v>0</v>
      </c>
      <c r="L30" s="594">
        <f xml:space="preserve"> COMMUS_Model!L$655</f>
        <v>0</v>
      </c>
      <c r="M30" s="594">
        <f xml:space="preserve"> COMMUS_Model!M$655</f>
        <v>0</v>
      </c>
      <c r="N30" s="594">
        <f xml:space="preserve"> COMMUS_Model!N$655</f>
        <v>0</v>
      </c>
      <c r="O30" s="594">
        <f xml:space="preserve"> COMMUS_Model!O$655</f>
        <v>0</v>
      </c>
      <c r="P30" s="594">
        <f xml:space="preserve"> COMMUS_Model!P$655</f>
        <v>0</v>
      </c>
      <c r="Q30" s="594">
        <f xml:space="preserve"> COMMUS_Model!Q$655</f>
        <v>0</v>
      </c>
      <c r="R30" s="594">
        <f xml:space="preserve"> COMMUS_Model!R$655</f>
        <v>0</v>
      </c>
      <c r="S30" s="594">
        <f xml:space="preserve"> COMMUS_Model!S$655</f>
        <v>0</v>
      </c>
      <c r="T30" s="594">
        <f xml:space="preserve"> COMMUS_Model!T$655</f>
        <v>0</v>
      </c>
      <c r="U30" s="594">
        <f xml:space="preserve"> COMMUS_Model!U$655</f>
        <v>0</v>
      </c>
      <c r="V30" s="594">
        <f xml:space="preserve"> COMMUS_Model!V$655</f>
        <v>337.57564124999999</v>
      </c>
      <c r="W30" s="594">
        <f xml:space="preserve"> COMMUS_Model!W$655</f>
        <v>222.54200976000001</v>
      </c>
      <c r="X30" s="594">
        <f xml:space="preserve"> COMMUS_Model!X$655</f>
        <v>371.24404302956799</v>
      </c>
      <c r="Y30" s="594">
        <f xml:space="preserve"> COMMUS_Model!Y$655</f>
        <v>279.86709994391998</v>
      </c>
      <c r="Z30" s="594">
        <f xml:space="preserve"> COMMUS_Model!Z$655</f>
        <v>318.65466784211196</v>
      </c>
      <c r="AA30" s="594">
        <f xml:space="preserve"> COMMUS_Model!AA$655</f>
        <v>621.53795000247601</v>
      </c>
      <c r="AB30" s="594">
        <f xml:space="preserve"> COMMUS_Model!AB$655</f>
        <v>562.73987384990824</v>
      </c>
      <c r="AC30" s="594">
        <f xml:space="preserve"> COMMUS_Model!AC$655</f>
        <v>534.06774428732285</v>
      </c>
      <c r="AD30" s="594">
        <f xml:space="preserve"> COMMUS_Model!AD$655</f>
        <v>499.39449196549901</v>
      </c>
      <c r="AE30" s="594">
        <f xml:space="preserve"> COMMUS_Model!AE$655</f>
        <v>511.64191424046072</v>
      </c>
      <c r="AF30" s="594">
        <f xml:space="preserve"> COMMUS_Model!AF$655</f>
        <v>522.47681812965493</v>
      </c>
      <c r="AG30" s="594">
        <f xml:space="preserve"> COMMUS_Model!AG$655</f>
        <v>533.79306524069909</v>
      </c>
      <c r="AH30" s="594">
        <f xml:space="preserve"> COMMUS_Model!AH$655</f>
        <v>545.3125501316897</v>
      </c>
      <c r="AI30" s="594">
        <f xml:space="preserve"> COMMUS_Model!AI$655</f>
        <v>563.04437690960037</v>
      </c>
      <c r="AJ30" s="594">
        <f xml:space="preserve"> COMMUS_Model!AJ$655</f>
        <v>520.87013281239911</v>
      </c>
      <c r="AK30" s="594">
        <f xml:space="preserve"> COMMUS_Model!AK$655</f>
        <v>303.9560272104207</v>
      </c>
      <c r="AL30" s="594">
        <f xml:space="preserve"> COMMUS_Model!AL$655</f>
        <v>0</v>
      </c>
      <c r="AM30" s="594">
        <f xml:space="preserve"> COMMUS_Model!AM$655</f>
        <v>0</v>
      </c>
      <c r="AN30" s="594">
        <f xml:space="preserve"> COMMUS_Model!AN$655</f>
        <v>0</v>
      </c>
      <c r="AO30" s="594">
        <f xml:space="preserve"> COMMUS_Model!AO$655</f>
        <v>0</v>
      </c>
      <c r="AP30" s="594">
        <f xml:space="preserve"> COMMUS_Model!AP$655</f>
        <v>0</v>
      </c>
      <c r="AQ30" s="594">
        <f xml:space="preserve"> COMMUS_Model!AQ$655</f>
        <v>0</v>
      </c>
      <c r="AR30" s="594">
        <f xml:space="preserve"> COMMUS_Model!AR$655</f>
        <v>0</v>
      </c>
      <c r="AS30" s="594">
        <f xml:space="preserve"> COMMUS_Model!AS$655</f>
        <v>0</v>
      </c>
    </row>
    <row r="31" spans="2:45" ht="15" customHeight="1" x14ac:dyDescent="0.3">
      <c r="AL31" s="448"/>
      <c r="AM31" s="448"/>
      <c r="AN31" s="448"/>
      <c r="AO31" s="448"/>
      <c r="AP31" s="448"/>
      <c r="AQ31" s="448"/>
      <c r="AR31" s="448"/>
      <c r="AS31" s="448"/>
    </row>
    <row r="32" spans="2:45" ht="15" customHeight="1" x14ac:dyDescent="0.3">
      <c r="B32" s="446" t="s">
        <v>669</v>
      </c>
      <c r="AL32" s="448"/>
      <c r="AM32" s="448"/>
      <c r="AN32" s="448"/>
      <c r="AO32" s="448"/>
      <c r="AP32" s="448"/>
      <c r="AQ32" s="448"/>
      <c r="AR32" s="448"/>
      <c r="AS32" s="448"/>
    </row>
    <row r="33" spans="1:45" ht="15" customHeight="1" x14ac:dyDescent="0.3">
      <c r="E33" s="594" t="str">
        <f xml:space="preserve"> COMMUS_Model!E$661</f>
        <v>Project cashflow before tax</v>
      </c>
      <c r="F33" s="594">
        <f xml:space="preserve"> COMMUS_Model!F$661</f>
        <v>0</v>
      </c>
      <c r="G33" s="594" t="str">
        <f xml:space="preserve"> COMMUS_Model!G$661</f>
        <v>$ mn</v>
      </c>
      <c r="H33" s="594">
        <f xml:space="preserve"> COMMUS_Model!H$661</f>
        <v>0</v>
      </c>
      <c r="I33" s="594">
        <f xml:space="preserve"> COMMUS_Model!I$661</f>
        <v>4808.508951492714</v>
      </c>
      <c r="J33" s="594">
        <f xml:space="preserve"> COMMUS_Model!J$661</f>
        <v>0</v>
      </c>
      <c r="K33" s="594">
        <f xml:space="preserve"> COMMUS_Model!K$661</f>
        <v>0</v>
      </c>
      <c r="L33" s="594">
        <f xml:space="preserve"> COMMUS_Model!L$661</f>
        <v>0</v>
      </c>
      <c r="M33" s="594">
        <f xml:space="preserve"> COMMUS_Model!M$661</f>
        <v>0</v>
      </c>
      <c r="N33" s="594">
        <f xml:space="preserve"> COMMUS_Model!N$661</f>
        <v>0</v>
      </c>
      <c r="O33" s="594">
        <f xml:space="preserve"> COMMUS_Model!O$661</f>
        <v>0</v>
      </c>
      <c r="P33" s="594">
        <f xml:space="preserve"> COMMUS_Model!P$661</f>
        <v>0</v>
      </c>
      <c r="Q33" s="594">
        <f xml:space="preserve"> COMMUS_Model!Q$661</f>
        <v>0</v>
      </c>
      <c r="R33" s="594">
        <f xml:space="preserve"> COMMUS_Model!R$661</f>
        <v>0</v>
      </c>
      <c r="S33" s="594">
        <f xml:space="preserve"> COMMUS_Model!S$661</f>
        <v>0</v>
      </c>
      <c r="T33" s="594">
        <f xml:space="preserve"> COMMUS_Model!T$661</f>
        <v>0</v>
      </c>
      <c r="U33" s="594">
        <f xml:space="preserve"> COMMUS_Model!U$661</f>
        <v>0</v>
      </c>
      <c r="V33" s="594">
        <f xml:space="preserve"> COMMUS_Model!V$661</f>
        <v>-232.89503624999998</v>
      </c>
      <c r="W33" s="594">
        <f xml:space="preserve"> COMMUS_Model!W$661</f>
        <v>52.580098239999941</v>
      </c>
      <c r="X33" s="594">
        <f xml:space="preserve"> COMMUS_Model!X$661</f>
        <v>63.087776474752047</v>
      </c>
      <c r="Y33" s="594">
        <f xml:space="preserve"> COMMUS_Model!Y$661</f>
        <v>388.84749866688009</v>
      </c>
      <c r="Z33" s="594">
        <f xml:space="preserve"> COMMUS_Model!Z$661</f>
        <v>800.04438643676804</v>
      </c>
      <c r="AA33" s="594">
        <f xml:space="preserve"> COMMUS_Model!AA$661</f>
        <v>421.34059002276399</v>
      </c>
      <c r="AB33" s="594">
        <f xml:space="preserve"> COMMUS_Model!AB$661</f>
        <v>460.80850247959802</v>
      </c>
      <c r="AC33" s="594">
        <f xml:space="preserve"> COMMUS_Model!AC$661</f>
        <v>119.74197863860209</v>
      </c>
      <c r="AD33" s="594">
        <f xml:space="preserve"> COMMUS_Model!AD$661</f>
        <v>450.63587435566512</v>
      </c>
      <c r="AE33" s="594">
        <f xml:space="preserve"> COMMUS_Model!AE$661</f>
        <v>440.02251691904888</v>
      </c>
      <c r="AF33" s="594">
        <f xml:space="preserve"> COMMUS_Model!AF$661</f>
        <v>428.26095951799471</v>
      </c>
      <c r="AG33" s="594">
        <f xml:space="preserve"> COMMUS_Model!AG$661</f>
        <v>415.62936777673497</v>
      </c>
      <c r="AH33" s="594">
        <f xml:space="preserve"> COMMUS_Model!AH$661</f>
        <v>405.50658903947829</v>
      </c>
      <c r="AI33" s="594">
        <f xml:space="preserve"> COMMUS_Model!AI$661</f>
        <v>249.63817234298438</v>
      </c>
      <c r="AJ33" s="594">
        <f xml:space="preserve"> COMMUS_Model!AJ$661</f>
        <v>301.82207419652491</v>
      </c>
      <c r="AK33" s="594">
        <f xml:space="preserve"> COMMUS_Model!AK$661</f>
        <v>43.437602634918335</v>
      </c>
      <c r="AL33" s="594">
        <f xml:space="preserve"> COMMUS_Model!AL$661</f>
        <v>0</v>
      </c>
      <c r="AM33" s="594">
        <f xml:space="preserve"> COMMUS_Model!AM$661</f>
        <v>0</v>
      </c>
      <c r="AN33" s="594">
        <f xml:space="preserve"> COMMUS_Model!AN$661</f>
        <v>0</v>
      </c>
      <c r="AO33" s="594">
        <f xml:space="preserve"> COMMUS_Model!AO$661</f>
        <v>0</v>
      </c>
      <c r="AP33" s="594">
        <f xml:space="preserve"> COMMUS_Model!AP$661</f>
        <v>0</v>
      </c>
      <c r="AQ33" s="594">
        <f xml:space="preserve"> COMMUS_Model!AQ$661</f>
        <v>0</v>
      </c>
      <c r="AR33" s="594">
        <f xml:space="preserve"> COMMUS_Model!AR$661</f>
        <v>0</v>
      </c>
      <c r="AS33" s="594">
        <f xml:space="preserve"> COMMUS_Model!AS$661</f>
        <v>0</v>
      </c>
    </row>
    <row r="34" spans="1:45" ht="15" customHeight="1" x14ac:dyDescent="0.3">
      <c r="E34" s="594" t="str">
        <f xml:space="preserve"> COMMUS_Model!E$662</f>
        <v>Project cashflow before tax</v>
      </c>
      <c r="F34" s="594">
        <f xml:space="preserve"> COMMUS_Model!F$662</f>
        <v>4808.508951492714</v>
      </c>
      <c r="AL34" s="448"/>
      <c r="AM34" s="448"/>
      <c r="AN34" s="448"/>
      <c r="AO34" s="448"/>
      <c r="AP34" s="448"/>
      <c r="AQ34" s="448"/>
      <c r="AR34" s="448"/>
      <c r="AS34" s="448"/>
    </row>
    <row r="35" spans="1:45" ht="15" customHeight="1" x14ac:dyDescent="0.3">
      <c r="AL35" s="448"/>
      <c r="AM35" s="448"/>
      <c r="AN35" s="448"/>
      <c r="AO35" s="448"/>
      <c r="AP35" s="448"/>
      <c r="AQ35" s="448"/>
      <c r="AR35" s="448"/>
      <c r="AS35" s="448"/>
    </row>
    <row r="36" spans="1:45" ht="15" customHeight="1" x14ac:dyDescent="0.3">
      <c r="A36" s="506"/>
      <c r="B36" s="506"/>
      <c r="C36" s="507"/>
      <c r="D36" s="88"/>
      <c r="E36" s="88" t="str">
        <f>"Check: " &amp; E34</f>
        <v>Check: Project cashflow before tax</v>
      </c>
      <c r="F36" s="708">
        <f xml:space="preserve"> SUM(Q36:AV36)</f>
        <v>0</v>
      </c>
      <c r="G36" s="88" t="s">
        <v>509</v>
      </c>
      <c r="H36" s="88"/>
      <c r="I36" s="424"/>
      <c r="J36" s="88"/>
      <c r="K36" s="708">
        <f t="shared" ref="K36:AS36" si="0" xml:space="preserve"> IF(ABS(K25 - K30 - K33) &gt; CHK_TOL, 1, 0)</f>
        <v>0</v>
      </c>
      <c r="L36" s="708">
        <f t="shared" si="0"/>
        <v>0</v>
      </c>
      <c r="M36" s="708">
        <f t="shared" si="0"/>
        <v>0</v>
      </c>
      <c r="N36" s="708">
        <f t="shared" si="0"/>
        <v>0</v>
      </c>
      <c r="O36" s="708">
        <f t="shared" si="0"/>
        <v>0</v>
      </c>
      <c r="P36" s="708">
        <f t="shared" si="0"/>
        <v>0</v>
      </c>
      <c r="Q36" s="708">
        <f t="shared" si="0"/>
        <v>0</v>
      </c>
      <c r="R36" s="708">
        <f t="shared" si="0"/>
        <v>0</v>
      </c>
      <c r="S36" s="708">
        <f t="shared" si="0"/>
        <v>0</v>
      </c>
      <c r="T36" s="708">
        <f t="shared" si="0"/>
        <v>0</v>
      </c>
      <c r="U36" s="708">
        <f t="shared" si="0"/>
        <v>0</v>
      </c>
      <c r="V36" s="708">
        <f t="shared" si="0"/>
        <v>0</v>
      </c>
      <c r="W36" s="708">
        <f t="shared" si="0"/>
        <v>0</v>
      </c>
      <c r="X36" s="708">
        <f t="shared" si="0"/>
        <v>0</v>
      </c>
      <c r="Y36" s="708">
        <f t="shared" si="0"/>
        <v>0</v>
      </c>
      <c r="Z36" s="708">
        <f t="shared" si="0"/>
        <v>0</v>
      </c>
      <c r="AA36" s="708">
        <f t="shared" si="0"/>
        <v>0</v>
      </c>
      <c r="AB36" s="708">
        <f t="shared" si="0"/>
        <v>0</v>
      </c>
      <c r="AC36" s="708">
        <f t="shared" si="0"/>
        <v>0</v>
      </c>
      <c r="AD36" s="708">
        <f t="shared" si="0"/>
        <v>0</v>
      </c>
      <c r="AE36" s="708">
        <f t="shared" si="0"/>
        <v>0</v>
      </c>
      <c r="AF36" s="708">
        <f t="shared" si="0"/>
        <v>0</v>
      </c>
      <c r="AG36" s="708">
        <f t="shared" si="0"/>
        <v>0</v>
      </c>
      <c r="AH36" s="708">
        <f t="shared" si="0"/>
        <v>0</v>
      </c>
      <c r="AI36" s="708">
        <f t="shared" si="0"/>
        <v>0</v>
      </c>
      <c r="AJ36" s="708">
        <f t="shared" si="0"/>
        <v>0</v>
      </c>
      <c r="AK36" s="708">
        <f t="shared" si="0"/>
        <v>0</v>
      </c>
      <c r="AL36" s="708">
        <f t="shared" si="0"/>
        <v>0</v>
      </c>
      <c r="AM36" s="708">
        <f t="shared" si="0"/>
        <v>0</v>
      </c>
      <c r="AN36" s="708">
        <f t="shared" si="0"/>
        <v>0</v>
      </c>
      <c r="AO36" s="708">
        <f t="shared" si="0"/>
        <v>0</v>
      </c>
      <c r="AP36" s="708">
        <f t="shared" si="0"/>
        <v>0</v>
      </c>
      <c r="AQ36" s="708">
        <f t="shared" si="0"/>
        <v>0</v>
      </c>
      <c r="AR36" s="708">
        <f t="shared" si="0"/>
        <v>0</v>
      </c>
      <c r="AS36" s="708">
        <f t="shared" si="0"/>
        <v>0</v>
      </c>
    </row>
    <row r="37" spans="1:45" ht="15" customHeight="1" x14ac:dyDescent="0.3">
      <c r="AL37" s="448"/>
      <c r="AM37" s="448"/>
      <c r="AN37" s="448"/>
      <c r="AO37" s="448"/>
      <c r="AP37" s="448"/>
      <c r="AQ37" s="448"/>
      <c r="AR37" s="448"/>
      <c r="AS37" s="448"/>
    </row>
    <row r="38" spans="1:45" ht="15" customHeight="1" x14ac:dyDescent="0.3">
      <c r="B38" s="446" t="s">
        <v>245</v>
      </c>
      <c r="AL38" s="448"/>
      <c r="AM38" s="448"/>
      <c r="AN38" s="448"/>
      <c r="AO38" s="448"/>
      <c r="AP38" s="448"/>
      <c r="AQ38" s="448"/>
      <c r="AR38" s="448"/>
      <c r="AS38" s="448"/>
    </row>
    <row r="39" spans="1:45" ht="15" customHeight="1" x14ac:dyDescent="0.3">
      <c r="E39" s="704" t="str">
        <f xml:space="preserve"> COMMUS_Model!E$999</f>
        <v>Total royalty</v>
      </c>
      <c r="F39" s="704">
        <f xml:space="preserve"> COMMUS_Model!F$999</f>
        <v>0</v>
      </c>
      <c r="G39" s="704" t="str">
        <f xml:space="preserve"> COMMUS_Model!G$999</f>
        <v>$ mn</v>
      </c>
      <c r="H39" s="704">
        <f xml:space="preserve"> COMMUS_Model!H$999</f>
        <v>0</v>
      </c>
      <c r="I39" s="704">
        <f xml:space="preserve"> COMMUS_Model!I$999</f>
        <v>457.74229303356492</v>
      </c>
      <c r="J39" s="704">
        <f xml:space="preserve"> COMMUS_Model!J$999</f>
        <v>0</v>
      </c>
      <c r="K39" s="704">
        <f xml:space="preserve"> COMMUS_Model!K$999</f>
        <v>0</v>
      </c>
      <c r="L39" s="704">
        <f xml:space="preserve"> COMMUS_Model!L$999</f>
        <v>0</v>
      </c>
      <c r="M39" s="704">
        <f xml:space="preserve"> COMMUS_Model!M$999</f>
        <v>0</v>
      </c>
      <c r="N39" s="704">
        <f xml:space="preserve"> COMMUS_Model!N$999</f>
        <v>0</v>
      </c>
      <c r="O39" s="704">
        <f xml:space="preserve"> COMMUS_Model!O$999</f>
        <v>0</v>
      </c>
      <c r="P39" s="704">
        <f xml:space="preserve"> COMMUS_Model!P$999</f>
        <v>0</v>
      </c>
      <c r="Q39" s="704">
        <f xml:space="preserve"> COMMUS_Model!Q$999</f>
        <v>0</v>
      </c>
      <c r="R39" s="704">
        <f xml:space="preserve"> COMMUS_Model!R$999</f>
        <v>0</v>
      </c>
      <c r="S39" s="704">
        <f xml:space="preserve"> COMMUS_Model!S$999</f>
        <v>0</v>
      </c>
      <c r="T39" s="704">
        <f xml:space="preserve"> COMMUS_Model!T$999</f>
        <v>0</v>
      </c>
      <c r="U39" s="704">
        <f xml:space="preserve"> COMMUS_Model!U$999</f>
        <v>0</v>
      </c>
      <c r="V39" s="704">
        <f xml:space="preserve"> COMMUS_Model!V$999</f>
        <v>2.0936121000000005</v>
      </c>
      <c r="W39" s="704">
        <f xml:space="preserve"> COMMUS_Model!W$999</f>
        <v>7.5658579699999997</v>
      </c>
      <c r="X39" s="704">
        <f xml:space="preserve"> COMMUS_Model!X$999</f>
        <v>16.337975890432002</v>
      </c>
      <c r="Y39" s="704">
        <f xml:space="preserve"> COMMUS_Model!Y$999</f>
        <v>25.546252756080001</v>
      </c>
      <c r="Z39" s="704">
        <f xml:space="preserve"> COMMUS_Model!Z$999</f>
        <v>43.023062557888011</v>
      </c>
      <c r="AA39" s="704">
        <f xml:space="preserve"> COMMUS_Model!AA$999</f>
        <v>43.288425837524002</v>
      </c>
      <c r="AB39" s="704">
        <f xml:space="preserve"> COMMUS_Model!AB$999</f>
        <v>39.115809928424305</v>
      </c>
      <c r="AC39" s="704">
        <f xml:space="preserve"> COMMUS_Model!AC$999</f>
        <v>23.714695633259289</v>
      </c>
      <c r="AD39" s="704">
        <f xml:space="preserve"> COMMUS_Model!AD$999</f>
        <v>36.174084346767344</v>
      </c>
      <c r="AE39" s="704">
        <f xml:space="preserve"> COMMUS_Model!AE$999</f>
        <v>36.23127661610944</v>
      </c>
      <c r="AF39" s="704">
        <f xml:space="preserve"> COMMUS_Model!AF$999</f>
        <v>36.198843743194338</v>
      </c>
      <c r="AG39" s="704">
        <f xml:space="preserve"> COMMUS_Model!AG$999</f>
        <v>36.152806681136795</v>
      </c>
      <c r="AH39" s="704">
        <f xml:space="preserve"> COMMUS_Model!AH$999</f>
        <v>36.201691396517489</v>
      </c>
      <c r="AI39" s="704">
        <f xml:space="preserve"> COMMUS_Model!AI$999</f>
        <v>31.43504126794684</v>
      </c>
      <c r="AJ39" s="704">
        <f xml:space="preserve"> COMMUS_Model!AJ$999</f>
        <v>31.402193175662639</v>
      </c>
      <c r="AK39" s="704">
        <f xml:space="preserve"> COMMUS_Model!AK$999</f>
        <v>13.260663132622414</v>
      </c>
      <c r="AL39" s="704">
        <f xml:space="preserve"> COMMUS_Model!AL$999</f>
        <v>0</v>
      </c>
      <c r="AM39" s="704">
        <f xml:space="preserve"> COMMUS_Model!AM$999</f>
        <v>0</v>
      </c>
      <c r="AN39" s="704">
        <f xml:space="preserve"> COMMUS_Model!AN$999</f>
        <v>0</v>
      </c>
      <c r="AO39" s="704">
        <f xml:space="preserve"> COMMUS_Model!AO$999</f>
        <v>0</v>
      </c>
      <c r="AP39" s="704">
        <f xml:space="preserve"> COMMUS_Model!AP$999</f>
        <v>0</v>
      </c>
      <c r="AQ39" s="704">
        <f xml:space="preserve"> COMMUS_Model!AQ$999</f>
        <v>0</v>
      </c>
      <c r="AR39" s="704">
        <f xml:space="preserve"> COMMUS_Model!AR$999</f>
        <v>0</v>
      </c>
      <c r="AS39" s="704">
        <f xml:space="preserve"> COMMUS_Model!AS$999</f>
        <v>0</v>
      </c>
    </row>
    <row r="40" spans="1:45" s="89" customFormat="1" ht="15" customHeight="1" x14ac:dyDescent="0.3">
      <c r="A40" s="458"/>
      <c r="B40" s="458"/>
      <c r="C40" s="979"/>
      <c r="D40" s="745"/>
      <c r="E40" s="704" t="str">
        <f xml:space="preserve"> COMMUS_Model!E$1000</f>
        <v>Turnover tax (Chiffre d'Affaires 0.3PC)</v>
      </c>
      <c r="F40" s="704">
        <f xml:space="preserve"> COMMUS_Model!F$1000</f>
        <v>0</v>
      </c>
      <c r="G40" s="704" t="str">
        <f xml:space="preserve"> COMMUS_Model!G$1000</f>
        <v>$ mn</v>
      </c>
      <c r="H40" s="704">
        <f xml:space="preserve"> COMMUS_Model!H$1000</f>
        <v>0</v>
      </c>
      <c r="I40" s="704">
        <f xml:space="preserve"> COMMUS_Model!I$1000</f>
        <v>36.17168207429534</v>
      </c>
      <c r="J40" s="704">
        <f xml:space="preserve"> COMMUS_Model!J$1000</f>
        <v>0</v>
      </c>
      <c r="K40" s="704">
        <f xml:space="preserve"> COMMUS_Model!K$1000</f>
        <v>0</v>
      </c>
      <c r="L40" s="704">
        <f xml:space="preserve"> COMMUS_Model!L$1000</f>
        <v>0</v>
      </c>
      <c r="M40" s="704">
        <f xml:space="preserve"> COMMUS_Model!M$1000</f>
        <v>0</v>
      </c>
      <c r="N40" s="704">
        <f xml:space="preserve"> COMMUS_Model!N$1000</f>
        <v>0</v>
      </c>
      <c r="O40" s="704">
        <f xml:space="preserve"> COMMUS_Model!O$1000</f>
        <v>0</v>
      </c>
      <c r="P40" s="704">
        <f xml:space="preserve"> COMMUS_Model!P$1000</f>
        <v>0</v>
      </c>
      <c r="Q40" s="704">
        <f xml:space="preserve"> COMMUS_Model!Q$1000</f>
        <v>0</v>
      </c>
      <c r="R40" s="704">
        <f xml:space="preserve"> COMMUS_Model!R$1000</f>
        <v>0</v>
      </c>
      <c r="S40" s="704">
        <f xml:space="preserve"> COMMUS_Model!S$1000</f>
        <v>0</v>
      </c>
      <c r="T40" s="704">
        <f xml:space="preserve"> COMMUS_Model!T$1000</f>
        <v>0</v>
      </c>
      <c r="U40" s="704">
        <f xml:space="preserve"> COMMUS_Model!U$1000</f>
        <v>0</v>
      </c>
      <c r="V40" s="704">
        <f xml:space="preserve"> COMMUS_Model!V$1000</f>
        <v>0.31404181500000006</v>
      </c>
      <c r="W40" s="704">
        <f xml:space="preserve"> COMMUS_Model!W$1000</f>
        <v>0.82536632399999987</v>
      </c>
      <c r="X40" s="704">
        <f xml:space="preserve"> COMMUS_Model!X$1000</f>
        <v>1.3029954585129602</v>
      </c>
      <c r="Y40" s="704">
        <f xml:space="preserve"> COMMUS_Model!Y$1000</f>
        <v>2.0061437958324002</v>
      </c>
      <c r="Z40" s="704">
        <f xml:space="preserve"> COMMUS_Model!Z$1000</f>
        <v>3.3560971628366403</v>
      </c>
      <c r="AA40" s="704">
        <f xml:space="preserve"> COMMUS_Model!AA$1000</f>
        <v>3.1286356200757202</v>
      </c>
      <c r="AB40" s="704">
        <f xml:space="preserve"> COMMUS_Model!AB$1000</f>
        <v>3.0706451289885188</v>
      </c>
      <c r="AC40" s="704">
        <f xml:space="preserve"> COMMUS_Model!AC$1000</f>
        <v>1.9614291687777747</v>
      </c>
      <c r="AD40" s="704">
        <f xml:space="preserve"> COMMUS_Model!AD$1000</f>
        <v>2.8500910989634924</v>
      </c>
      <c r="AE40" s="704">
        <f xml:space="preserve"> COMMUS_Model!AE$1000</f>
        <v>2.8549932934785289</v>
      </c>
      <c r="AF40" s="704">
        <f xml:space="preserve"> COMMUS_Model!AF$1000</f>
        <v>2.8522133329429491</v>
      </c>
      <c r="AG40" s="704">
        <f xml:space="preserve"> COMMUS_Model!AG$1000</f>
        <v>2.8482672990523024</v>
      </c>
      <c r="AH40" s="704">
        <f xml:space="preserve"> COMMUS_Model!AH$1000</f>
        <v>2.852457417513504</v>
      </c>
      <c r="AI40" s="704">
        <f xml:space="preserve"> COMMUS_Model!AI$1000</f>
        <v>2.4380476477577542</v>
      </c>
      <c r="AJ40" s="704">
        <f xml:space="preserve"> COMMUS_Model!AJ$1000</f>
        <v>2.4680766210267722</v>
      </c>
      <c r="AK40" s="704">
        <f xml:space="preserve"> COMMUS_Model!AK$1000</f>
        <v>1.0421808895360172</v>
      </c>
      <c r="AL40" s="704">
        <f xml:space="preserve"> COMMUS_Model!AL$1000</f>
        <v>0</v>
      </c>
      <c r="AM40" s="704">
        <f xml:space="preserve"> COMMUS_Model!AM$1000</f>
        <v>0</v>
      </c>
      <c r="AN40" s="704">
        <f xml:space="preserve"> COMMUS_Model!AN$1000</f>
        <v>0</v>
      </c>
      <c r="AO40" s="704">
        <f xml:space="preserve"> COMMUS_Model!AO$1000</f>
        <v>0</v>
      </c>
      <c r="AP40" s="704">
        <f xml:space="preserve"> COMMUS_Model!AP$1000</f>
        <v>0</v>
      </c>
      <c r="AQ40" s="704">
        <f xml:space="preserve"> COMMUS_Model!AQ$1000</f>
        <v>0</v>
      </c>
      <c r="AR40" s="704">
        <f xml:space="preserve"> COMMUS_Model!AR$1000</f>
        <v>0</v>
      </c>
      <c r="AS40" s="704">
        <f xml:space="preserve"> COMMUS_Model!AS$1000</f>
        <v>0</v>
      </c>
    </row>
    <row r="41" spans="1:45" ht="15" customHeight="1" x14ac:dyDescent="0.3">
      <c r="E41" s="704" t="str">
        <f xml:space="preserve"> COMMUS_Model!E$1001</f>
        <v>CIT payable</v>
      </c>
      <c r="F41" s="704">
        <f xml:space="preserve"> COMMUS_Model!F$1001</f>
        <v>0</v>
      </c>
      <c r="G41" s="704" t="str">
        <f xml:space="preserve"> COMMUS_Model!G$1001</f>
        <v>$ mn</v>
      </c>
      <c r="H41" s="704">
        <f xml:space="preserve"> COMMUS_Model!H$1001</f>
        <v>0</v>
      </c>
      <c r="I41" s="704">
        <f xml:space="preserve"> COMMUS_Model!I$1001</f>
        <v>1297.2944426677445</v>
      </c>
      <c r="J41" s="704">
        <f xml:space="preserve"> COMMUS_Model!J$1001</f>
        <v>0</v>
      </c>
      <c r="K41" s="704">
        <f xml:space="preserve"> COMMUS_Model!K$1001</f>
        <v>0</v>
      </c>
      <c r="L41" s="704">
        <f xml:space="preserve"> COMMUS_Model!L$1001</f>
        <v>0</v>
      </c>
      <c r="M41" s="704">
        <f xml:space="preserve"> COMMUS_Model!M$1001</f>
        <v>0</v>
      </c>
      <c r="N41" s="704">
        <f xml:space="preserve"> COMMUS_Model!N$1001</f>
        <v>0</v>
      </c>
      <c r="O41" s="704">
        <f xml:space="preserve"> COMMUS_Model!O$1001</f>
        <v>0</v>
      </c>
      <c r="P41" s="704">
        <f xml:space="preserve"> COMMUS_Model!P$1001</f>
        <v>0</v>
      </c>
      <c r="Q41" s="704">
        <f xml:space="preserve"> COMMUS_Model!Q$1001</f>
        <v>0</v>
      </c>
      <c r="R41" s="704">
        <f xml:space="preserve"> COMMUS_Model!R$1001</f>
        <v>0</v>
      </c>
      <c r="S41" s="704">
        <f xml:space="preserve"> COMMUS_Model!S$1001</f>
        <v>0</v>
      </c>
      <c r="T41" s="704">
        <f xml:space="preserve"> COMMUS_Model!T$1001</f>
        <v>0</v>
      </c>
      <c r="U41" s="704">
        <f xml:space="preserve"> COMMUS_Model!U$1001</f>
        <v>0</v>
      </c>
      <c r="V41" s="704">
        <f xml:space="preserve"> COMMUS_Model!V$1001</f>
        <v>1.0468060500000003</v>
      </c>
      <c r="W41" s="704">
        <f xml:space="preserve"> COMMUS_Model!W$1001</f>
        <v>2.7512210799999997</v>
      </c>
      <c r="X41" s="704">
        <f xml:space="preserve"> COMMUS_Model!X$1001</f>
        <v>33.206817816867449</v>
      </c>
      <c r="Y41" s="704">
        <f xml:space="preserve"> COMMUS_Model!Y$1001</f>
        <v>91.036694725097149</v>
      </c>
      <c r="Z41" s="704">
        <f xml:space="preserve"> COMMUS_Model!Z$1001</f>
        <v>229.8752354083783</v>
      </c>
      <c r="AA41" s="704">
        <f xml:space="preserve"> COMMUS_Model!AA$1001</f>
        <v>119.32897273914344</v>
      </c>
      <c r="AB41" s="704">
        <f xml:space="preserve"> COMMUS_Model!AB$1001</f>
        <v>129.2104604228746</v>
      </c>
      <c r="AC41" s="704">
        <f xml:space="preserve"> COMMUS_Model!AC$1001</f>
        <v>13.921063440907346</v>
      </c>
      <c r="AD41" s="704">
        <f xml:space="preserve"> COMMUS_Model!AD$1001</f>
        <v>103.64997645515984</v>
      </c>
      <c r="AE41" s="704">
        <f xml:space="preserve"> COMMUS_Model!AE$1001</f>
        <v>106.97229478280092</v>
      </c>
      <c r="AF41" s="704">
        <f xml:space="preserve"> COMMUS_Model!AF$1001</f>
        <v>103.82695725435919</v>
      </c>
      <c r="AG41" s="704">
        <f xml:space="preserve"> COMMUS_Model!AG$1001</f>
        <v>103.5575318677414</v>
      </c>
      <c r="AH41" s="704">
        <f xml:space="preserve"> COMMUS_Model!AH$1001</f>
        <v>104.80486722509302</v>
      </c>
      <c r="AI41" s="704">
        <f xml:space="preserve"> COMMUS_Model!AI$1001</f>
        <v>63.926497242374566</v>
      </c>
      <c r="AJ41" s="704">
        <f xml:space="preserve"> COMMUS_Model!AJ$1001</f>
        <v>81.125964306258666</v>
      </c>
      <c r="AK41" s="704">
        <f xml:space="preserve"> COMMUS_Model!AK$1001</f>
        <v>9.0530818506887716</v>
      </c>
      <c r="AL41" s="704">
        <f xml:space="preserve"> COMMUS_Model!AL$1001</f>
        <v>0</v>
      </c>
      <c r="AM41" s="704">
        <f xml:space="preserve"> COMMUS_Model!AM$1001</f>
        <v>0</v>
      </c>
      <c r="AN41" s="704">
        <f xml:space="preserve"> COMMUS_Model!AN$1001</f>
        <v>0</v>
      </c>
      <c r="AO41" s="704">
        <f xml:space="preserve"> COMMUS_Model!AO$1001</f>
        <v>0</v>
      </c>
      <c r="AP41" s="704">
        <f xml:space="preserve"> COMMUS_Model!AP$1001</f>
        <v>0</v>
      </c>
      <c r="AQ41" s="704">
        <f xml:space="preserve"> COMMUS_Model!AQ$1001</f>
        <v>0</v>
      </c>
      <c r="AR41" s="704">
        <f xml:space="preserve"> COMMUS_Model!AR$1001</f>
        <v>0</v>
      </c>
      <c r="AS41" s="704">
        <f xml:space="preserve"> COMMUS_Model!AS$1001</f>
        <v>0</v>
      </c>
    </row>
    <row r="42" spans="1:45" ht="15" customHeight="1" x14ac:dyDescent="0.3">
      <c r="E42" s="704" t="str">
        <f xml:space="preserve"> COMMUS_Model!E$1002</f>
        <v>Special Tax On Excess Profits</v>
      </c>
      <c r="F42" s="704">
        <f xml:space="preserve"> COMMUS_Model!F$1002</f>
        <v>0</v>
      </c>
      <c r="G42" s="704" t="str">
        <f xml:space="preserve"> COMMUS_Model!G$1002</f>
        <v>$ mn</v>
      </c>
      <c r="H42" s="704">
        <f xml:space="preserve"> COMMUS_Model!H$1002</f>
        <v>0</v>
      </c>
      <c r="I42" s="704">
        <f xml:space="preserve"> COMMUS_Model!I$1002</f>
        <v>0</v>
      </c>
      <c r="J42" s="704">
        <f xml:space="preserve"> COMMUS_Model!J$1002</f>
        <v>0</v>
      </c>
      <c r="K42" s="704">
        <f xml:space="preserve"> COMMUS_Model!K$1002</f>
        <v>0</v>
      </c>
      <c r="L42" s="704">
        <f xml:space="preserve"> COMMUS_Model!L$1002</f>
        <v>0</v>
      </c>
      <c r="M42" s="704">
        <f xml:space="preserve"> COMMUS_Model!M$1002</f>
        <v>0</v>
      </c>
      <c r="N42" s="704">
        <f xml:space="preserve"> COMMUS_Model!N$1002</f>
        <v>0</v>
      </c>
      <c r="O42" s="704">
        <f xml:space="preserve"> COMMUS_Model!O$1002</f>
        <v>0</v>
      </c>
      <c r="P42" s="704">
        <f xml:space="preserve"> COMMUS_Model!P$1002</f>
        <v>0</v>
      </c>
      <c r="Q42" s="704">
        <f xml:space="preserve"> COMMUS_Model!Q$1002</f>
        <v>0</v>
      </c>
      <c r="R42" s="704">
        <f xml:space="preserve"> COMMUS_Model!R$1002</f>
        <v>0</v>
      </c>
      <c r="S42" s="704">
        <f xml:space="preserve"> COMMUS_Model!S$1002</f>
        <v>0</v>
      </c>
      <c r="T42" s="704">
        <f xml:space="preserve"> COMMUS_Model!T$1002</f>
        <v>0</v>
      </c>
      <c r="U42" s="704">
        <f xml:space="preserve"> COMMUS_Model!U$1002</f>
        <v>0</v>
      </c>
      <c r="V42" s="704">
        <f xml:space="preserve"> COMMUS_Model!V$1002</f>
        <v>0</v>
      </c>
      <c r="W42" s="704">
        <f xml:space="preserve"> COMMUS_Model!W$1002</f>
        <v>0</v>
      </c>
      <c r="X42" s="704">
        <f xml:space="preserve"> COMMUS_Model!X$1002</f>
        <v>0</v>
      </c>
      <c r="Y42" s="704">
        <f xml:space="preserve"> COMMUS_Model!Y$1002</f>
        <v>0</v>
      </c>
      <c r="Z42" s="704">
        <f xml:space="preserve"> COMMUS_Model!Z$1002</f>
        <v>0</v>
      </c>
      <c r="AA42" s="704">
        <f xml:space="preserve"> COMMUS_Model!AA$1002</f>
        <v>0</v>
      </c>
      <c r="AB42" s="704">
        <f xml:space="preserve"> COMMUS_Model!AB$1002</f>
        <v>0</v>
      </c>
      <c r="AC42" s="704">
        <f xml:space="preserve"> COMMUS_Model!AC$1002</f>
        <v>0</v>
      </c>
      <c r="AD42" s="704">
        <f xml:space="preserve"> COMMUS_Model!AD$1002</f>
        <v>0</v>
      </c>
      <c r="AE42" s="704">
        <f xml:space="preserve"> COMMUS_Model!AE$1002</f>
        <v>0</v>
      </c>
      <c r="AF42" s="704">
        <f xml:space="preserve"> COMMUS_Model!AF$1002</f>
        <v>0</v>
      </c>
      <c r="AG42" s="704">
        <f xml:space="preserve"> COMMUS_Model!AG$1002</f>
        <v>0</v>
      </c>
      <c r="AH42" s="704">
        <f xml:space="preserve"> COMMUS_Model!AH$1002</f>
        <v>0</v>
      </c>
      <c r="AI42" s="704">
        <f xml:space="preserve"> COMMUS_Model!AI$1002</f>
        <v>0</v>
      </c>
      <c r="AJ42" s="704">
        <f xml:space="preserve"> COMMUS_Model!AJ$1002</f>
        <v>0</v>
      </c>
      <c r="AK42" s="704">
        <f xml:space="preserve"> COMMUS_Model!AK$1002</f>
        <v>0</v>
      </c>
      <c r="AL42" s="704">
        <f xml:space="preserve"> COMMUS_Model!AL$1002</f>
        <v>0</v>
      </c>
      <c r="AM42" s="704">
        <f xml:space="preserve"> COMMUS_Model!AM$1002</f>
        <v>0</v>
      </c>
      <c r="AN42" s="704">
        <f xml:space="preserve"> COMMUS_Model!AN$1002</f>
        <v>0</v>
      </c>
      <c r="AO42" s="704">
        <f xml:space="preserve"> COMMUS_Model!AO$1002</f>
        <v>0</v>
      </c>
      <c r="AP42" s="704">
        <f xml:space="preserve"> COMMUS_Model!AP$1002</f>
        <v>0</v>
      </c>
      <c r="AQ42" s="704">
        <f xml:space="preserve"> COMMUS_Model!AQ$1002</f>
        <v>0</v>
      </c>
      <c r="AR42" s="704">
        <f xml:space="preserve"> COMMUS_Model!AR$1002</f>
        <v>0</v>
      </c>
      <c r="AS42" s="704">
        <f xml:space="preserve"> COMMUS_Model!AS$1002</f>
        <v>0</v>
      </c>
    </row>
    <row r="43" spans="1:45" ht="15" customHeight="1" x14ac:dyDescent="0.3">
      <c r="E43" s="594" t="str">
        <f xml:space="preserve"> COMMUS_Model!E$1003</f>
        <v>Signature Bonus (EITI)</v>
      </c>
      <c r="F43" s="594" t="str">
        <f xml:space="preserve"> COMMUS_Model!F$1003</f>
        <v>yes</v>
      </c>
      <c r="G43" s="594" t="str">
        <f xml:space="preserve"> COMMUS_Model!G$1003</f>
        <v>$ mn</v>
      </c>
      <c r="H43" s="594">
        <f xml:space="preserve"> COMMUS_Model!H$1003</f>
        <v>0</v>
      </c>
      <c r="I43" s="594">
        <f xml:space="preserve"> COMMUS_Model!I$1003</f>
        <v>42.679182000000004</v>
      </c>
      <c r="J43" s="594">
        <f xml:space="preserve"> COMMUS_Model!J$1003</f>
        <v>0</v>
      </c>
      <c r="K43" s="594">
        <f xml:space="preserve"> COMMUS_Model!K$1003</f>
        <v>0</v>
      </c>
      <c r="L43" s="594">
        <f xml:space="preserve"> COMMUS_Model!L$1003</f>
        <v>0</v>
      </c>
      <c r="M43" s="594">
        <f xml:space="preserve"> COMMUS_Model!M$1003</f>
        <v>0</v>
      </c>
      <c r="N43" s="594">
        <f xml:space="preserve"> COMMUS_Model!N$1003</f>
        <v>0</v>
      </c>
      <c r="O43" s="594">
        <f xml:space="preserve"> COMMUS_Model!O$1003</f>
        <v>0</v>
      </c>
      <c r="P43" s="594">
        <f xml:space="preserve"> COMMUS_Model!P$1003</f>
        <v>0</v>
      </c>
      <c r="Q43" s="594">
        <f xml:space="preserve"> COMMUS_Model!Q$1003</f>
        <v>0</v>
      </c>
      <c r="R43" s="594">
        <f xml:space="preserve"> COMMUS_Model!R$1003</f>
        <v>0</v>
      </c>
      <c r="S43" s="594">
        <f xml:space="preserve"> COMMUS_Model!S$1003</f>
        <v>0</v>
      </c>
      <c r="T43" s="594">
        <f xml:space="preserve"> COMMUS_Model!T$1003</f>
        <v>0</v>
      </c>
      <c r="U43" s="594">
        <f xml:space="preserve"> COMMUS_Model!U$1003</f>
        <v>0</v>
      </c>
      <c r="V43" s="594">
        <f xml:space="preserve"> COMMUS_Model!V$1003</f>
        <v>2.7</v>
      </c>
      <c r="W43" s="594">
        <f xml:space="preserve"> COMMUS_Model!W$1003</f>
        <v>8.1</v>
      </c>
      <c r="X43" s="594">
        <f xml:space="preserve"> COMMUS_Model!X$1003</f>
        <v>5.4</v>
      </c>
      <c r="Y43" s="594">
        <f xml:space="preserve"> COMMUS_Model!Y$1003</f>
        <v>0</v>
      </c>
      <c r="Z43" s="594">
        <f xml:space="preserve"> COMMUS_Model!Z$1003</f>
        <v>0</v>
      </c>
      <c r="AA43" s="594">
        <f xml:space="preserve"> COMMUS_Model!AA$1003</f>
        <v>26.479182000000002</v>
      </c>
      <c r="AB43" s="594">
        <f xml:space="preserve"> COMMUS_Model!AB$1003</f>
        <v>0</v>
      </c>
      <c r="AC43" s="594">
        <f xml:space="preserve"> COMMUS_Model!AC$1003</f>
        <v>0</v>
      </c>
      <c r="AD43" s="594">
        <f xml:space="preserve"> COMMUS_Model!AD$1003</f>
        <v>0</v>
      </c>
      <c r="AE43" s="594">
        <f xml:space="preserve"> COMMUS_Model!AE$1003</f>
        <v>0</v>
      </c>
      <c r="AF43" s="594">
        <f xml:space="preserve"> COMMUS_Model!AF$1003</f>
        <v>0</v>
      </c>
      <c r="AG43" s="594">
        <f xml:space="preserve"> COMMUS_Model!AG$1003</f>
        <v>0</v>
      </c>
      <c r="AH43" s="594">
        <f xml:space="preserve"> COMMUS_Model!AH$1003</f>
        <v>0</v>
      </c>
      <c r="AI43" s="594">
        <f xml:space="preserve"> COMMUS_Model!AI$1003</f>
        <v>0</v>
      </c>
      <c r="AJ43" s="594">
        <f xml:space="preserve"> COMMUS_Model!AJ$1003</f>
        <v>0</v>
      </c>
      <c r="AK43" s="594">
        <f xml:space="preserve"> COMMUS_Model!AK$1003</f>
        <v>0</v>
      </c>
      <c r="AL43" s="594">
        <f xml:space="preserve"> COMMUS_Model!AL$1003</f>
        <v>0</v>
      </c>
      <c r="AM43" s="594">
        <f xml:space="preserve"> COMMUS_Model!AM$1003</f>
        <v>0</v>
      </c>
      <c r="AN43" s="594">
        <f xml:space="preserve"> COMMUS_Model!AN$1003</f>
        <v>0</v>
      </c>
      <c r="AO43" s="594">
        <f xml:space="preserve"> COMMUS_Model!AO$1003</f>
        <v>0</v>
      </c>
      <c r="AP43" s="594">
        <f xml:space="preserve"> COMMUS_Model!AP$1003</f>
        <v>0</v>
      </c>
      <c r="AQ43" s="594">
        <f xml:space="preserve"> COMMUS_Model!AQ$1003</f>
        <v>0</v>
      </c>
      <c r="AR43" s="594">
        <f xml:space="preserve"> COMMUS_Model!AR$1003</f>
        <v>0</v>
      </c>
      <c r="AS43" s="594">
        <f xml:space="preserve"> COMMUS_Model!AS$1003</f>
        <v>0</v>
      </c>
    </row>
    <row r="44" spans="1:45" ht="15" customHeight="1" x14ac:dyDescent="0.3">
      <c r="E44" s="597" t="str">
        <f xml:space="preserve"> COMMUS_Model!E$1004</f>
        <v>Payroll taxes (included in costs)</v>
      </c>
      <c r="F44" s="597">
        <f xml:space="preserve"> COMMUS_Model!F$1004</f>
        <v>0</v>
      </c>
      <c r="G44" s="597" t="str">
        <f xml:space="preserve"> COMMUS_Model!G$1004</f>
        <v>$ mn</v>
      </c>
      <c r="H44" s="597">
        <f xml:space="preserve"> COMMUS_Model!H$1004</f>
        <v>0</v>
      </c>
      <c r="I44" s="597">
        <f xml:space="preserve"> COMMUS_Model!I$1004</f>
        <v>256.69892824335369</v>
      </c>
      <c r="J44" s="597">
        <f xml:space="preserve"> COMMUS_Model!J$1004</f>
        <v>0</v>
      </c>
      <c r="K44" s="597">
        <f xml:space="preserve"> COMMUS_Model!K$1004</f>
        <v>0</v>
      </c>
      <c r="L44" s="597">
        <f xml:space="preserve"> COMMUS_Model!L$1004</f>
        <v>0</v>
      </c>
      <c r="M44" s="597">
        <f xml:space="preserve"> COMMUS_Model!M$1004</f>
        <v>0</v>
      </c>
      <c r="N44" s="597">
        <f xml:space="preserve"> COMMUS_Model!N$1004</f>
        <v>0</v>
      </c>
      <c r="O44" s="597">
        <f xml:space="preserve"> COMMUS_Model!O$1004</f>
        <v>0</v>
      </c>
      <c r="P44" s="597">
        <f xml:space="preserve"> COMMUS_Model!P$1004</f>
        <v>0</v>
      </c>
      <c r="Q44" s="597">
        <f xml:space="preserve"> COMMUS_Model!Q$1004</f>
        <v>0</v>
      </c>
      <c r="R44" s="597">
        <f xml:space="preserve"> COMMUS_Model!R$1004</f>
        <v>0</v>
      </c>
      <c r="S44" s="597">
        <f xml:space="preserve"> COMMUS_Model!S$1004</f>
        <v>0</v>
      </c>
      <c r="T44" s="597">
        <f xml:space="preserve"> COMMUS_Model!T$1004</f>
        <v>0</v>
      </c>
      <c r="U44" s="597">
        <f xml:space="preserve"> COMMUS_Model!U$1004</f>
        <v>0</v>
      </c>
      <c r="V44" s="597">
        <f xml:space="preserve"> COMMUS_Model!V$1004</f>
        <v>3.7018979160000001</v>
      </c>
      <c r="W44" s="597">
        <f xml:space="preserve"> COMMUS_Model!W$1004</f>
        <v>4.4483312812000007</v>
      </c>
      <c r="X44" s="597">
        <f xml:space="preserve"> COMMUS_Model!X$1004</f>
        <v>8.918173364382719</v>
      </c>
      <c r="Y44" s="597">
        <f xml:space="preserve"> COMMUS_Model!Y$1004</f>
        <v>11.003173489756801</v>
      </c>
      <c r="Z44" s="597">
        <f xml:space="preserve"> COMMUS_Model!Z$1004</f>
        <v>9.4736950976844803</v>
      </c>
      <c r="AA44" s="597">
        <f xml:space="preserve"> COMMUS_Model!AA$1004</f>
        <v>20.849272566499039</v>
      </c>
      <c r="AB44" s="597">
        <f xml:space="preserve"> COMMUS_Model!AB$1004</f>
        <v>18.354245632181723</v>
      </c>
      <c r="AC44" s="597">
        <f xml:space="preserve"> COMMUS_Model!AC$1004</f>
        <v>19.930563830032</v>
      </c>
      <c r="AD44" s="597">
        <f xml:space="preserve"> COMMUS_Model!AD$1004</f>
        <v>19.975779678619961</v>
      </c>
      <c r="AE44" s="597">
        <f xml:space="preserve"> COMMUS_Model!AE$1004</f>
        <v>20.465676569618431</v>
      </c>
      <c r="AF44" s="597">
        <f xml:space="preserve"> COMMUS_Model!AF$1004</f>
        <v>20.899072725186198</v>
      </c>
      <c r="AG44" s="597">
        <f xml:space="preserve"> COMMUS_Model!AG$1004</f>
        <v>21.351722609627963</v>
      </c>
      <c r="AH44" s="597">
        <f xml:space="preserve"> COMMUS_Model!AH$1004</f>
        <v>21.812502005267589</v>
      </c>
      <c r="AI44" s="597">
        <f xml:space="preserve"> COMMUS_Model!AI$1004</f>
        <v>22.521775076384014</v>
      </c>
      <c r="AJ44" s="597">
        <f xml:space="preserve"> COMMUS_Model!AJ$1004</f>
        <v>20.834805312495966</v>
      </c>
      <c r="AK44" s="597">
        <f xml:space="preserve"> COMMUS_Model!AK$1004</f>
        <v>12.158241088416828</v>
      </c>
      <c r="AL44" s="597">
        <f xml:space="preserve"> COMMUS_Model!AL$1004</f>
        <v>0</v>
      </c>
      <c r="AM44" s="597">
        <f xml:space="preserve"> COMMUS_Model!AM$1004</f>
        <v>0</v>
      </c>
      <c r="AN44" s="597">
        <f xml:space="preserve"> COMMUS_Model!AN$1004</f>
        <v>0</v>
      </c>
      <c r="AO44" s="597">
        <f xml:space="preserve"> COMMUS_Model!AO$1004</f>
        <v>0</v>
      </c>
      <c r="AP44" s="597">
        <f xml:space="preserve"> COMMUS_Model!AP$1004</f>
        <v>0</v>
      </c>
      <c r="AQ44" s="597">
        <f xml:space="preserve"> COMMUS_Model!AQ$1004</f>
        <v>0</v>
      </c>
      <c r="AR44" s="597">
        <f xml:space="preserve"> COMMUS_Model!AR$1004</f>
        <v>0</v>
      </c>
      <c r="AS44" s="597">
        <f xml:space="preserve"> COMMUS_Model!AS$1004</f>
        <v>0</v>
      </c>
    </row>
    <row r="45" spans="1:45" ht="15" customHeight="1" x14ac:dyDescent="0.3">
      <c r="E45" s="597" t="str">
        <f xml:space="preserve"> COMMUS_Model!E$1005</f>
        <v>Import duties (included in costs)</v>
      </c>
      <c r="F45" s="597">
        <f xml:space="preserve"> COMMUS_Model!F$1005</f>
        <v>0</v>
      </c>
      <c r="G45" s="597" t="str">
        <f xml:space="preserve"> COMMUS_Model!G$1005</f>
        <v>$ mn</v>
      </c>
      <c r="H45" s="597">
        <f xml:space="preserve"> COMMUS_Model!H$1005</f>
        <v>0</v>
      </c>
      <c r="I45" s="597">
        <f xml:space="preserve"> COMMUS_Model!I$1005</f>
        <v>378.04054337098842</v>
      </c>
      <c r="J45" s="597">
        <f xml:space="preserve"> COMMUS_Model!J$1005</f>
        <v>378.04054337098842</v>
      </c>
      <c r="K45" s="597">
        <f xml:space="preserve"> COMMUS_Model!K$1005</f>
        <v>0</v>
      </c>
      <c r="L45" s="597">
        <f xml:space="preserve"> COMMUS_Model!L$1005</f>
        <v>0</v>
      </c>
      <c r="M45" s="597">
        <f xml:space="preserve"> COMMUS_Model!M$1005</f>
        <v>0</v>
      </c>
      <c r="N45" s="597">
        <f xml:space="preserve"> COMMUS_Model!N$1005</f>
        <v>0</v>
      </c>
      <c r="O45" s="597">
        <f xml:space="preserve"> COMMUS_Model!O$1005</f>
        <v>0</v>
      </c>
      <c r="P45" s="597">
        <f xml:space="preserve"> COMMUS_Model!P$1005</f>
        <v>0</v>
      </c>
      <c r="Q45" s="597">
        <f xml:space="preserve"> COMMUS_Model!Q$1005</f>
        <v>0</v>
      </c>
      <c r="R45" s="597">
        <f xml:space="preserve"> COMMUS_Model!R$1005</f>
        <v>0</v>
      </c>
      <c r="S45" s="597">
        <f xml:space="preserve"> COMMUS_Model!S$1005</f>
        <v>0</v>
      </c>
      <c r="T45" s="597">
        <f xml:space="preserve"> COMMUS_Model!T$1005</f>
        <v>0</v>
      </c>
      <c r="U45" s="597">
        <f xml:space="preserve"> COMMUS_Model!U$1005</f>
        <v>0</v>
      </c>
      <c r="V45" s="597">
        <f xml:space="preserve"> COMMUS_Model!V$1005</f>
        <v>4.9504272399999998</v>
      </c>
      <c r="W45" s="597">
        <f xml:space="preserve"> COMMUS_Model!W$1005</f>
        <v>18.157969999999999</v>
      </c>
      <c r="X45" s="597">
        <f xml:space="preserve"> COMMUS_Model!X$1005</f>
        <v>40.621609999999997</v>
      </c>
      <c r="Y45" s="597">
        <f xml:space="preserve"> COMMUS_Model!Y$1005</f>
        <v>3.393662</v>
      </c>
      <c r="Z45" s="597">
        <f xml:space="preserve"> COMMUS_Model!Z$1005</f>
        <v>15.932733392105598</v>
      </c>
      <c r="AA45" s="597">
        <f xml:space="preserve"> COMMUS_Model!AA$1005</f>
        <v>40.119290999999997</v>
      </c>
      <c r="AB45" s="597">
        <f xml:space="preserve"> COMMUS_Model!AB$1005</f>
        <v>28.136993692495412</v>
      </c>
      <c r="AC45" s="597">
        <f xml:space="preserve"> COMMUS_Model!AC$1005</f>
        <v>26.703387214366145</v>
      </c>
      <c r="AD45" s="597">
        <f xml:space="preserve"> COMMUS_Model!AD$1005</f>
        <v>24.969724598274951</v>
      </c>
      <c r="AE45" s="597">
        <f xml:space="preserve"> COMMUS_Model!AE$1005</f>
        <v>25.582095712023037</v>
      </c>
      <c r="AF45" s="597">
        <f xml:space="preserve"> COMMUS_Model!AF$1005</f>
        <v>26.123840906482748</v>
      </c>
      <c r="AG45" s="597">
        <f xml:space="preserve"> COMMUS_Model!AG$1005</f>
        <v>26.689653262034955</v>
      </c>
      <c r="AH45" s="597">
        <f xml:space="preserve"> COMMUS_Model!AH$1005</f>
        <v>27.265627506584487</v>
      </c>
      <c r="AI45" s="597">
        <f xml:space="preserve"> COMMUS_Model!AI$1005</f>
        <v>28.152218845480022</v>
      </c>
      <c r="AJ45" s="597">
        <f xml:space="preserve"> COMMUS_Model!AJ$1005</f>
        <v>26.043506640619956</v>
      </c>
      <c r="AK45" s="597">
        <f xml:space="preserve"> COMMUS_Model!AK$1005</f>
        <v>15.197801360521035</v>
      </c>
      <c r="AL45" s="597">
        <f xml:space="preserve"> COMMUS_Model!AL$1005</f>
        <v>0</v>
      </c>
      <c r="AM45" s="597">
        <f xml:space="preserve"> COMMUS_Model!AM$1005</f>
        <v>0</v>
      </c>
      <c r="AN45" s="597">
        <f xml:space="preserve"> COMMUS_Model!AN$1005</f>
        <v>0</v>
      </c>
      <c r="AO45" s="597">
        <f xml:space="preserve"> COMMUS_Model!AO$1005</f>
        <v>0</v>
      </c>
      <c r="AP45" s="597">
        <f xml:space="preserve"> COMMUS_Model!AP$1005</f>
        <v>0</v>
      </c>
      <c r="AQ45" s="597">
        <f xml:space="preserve"> COMMUS_Model!AQ$1005</f>
        <v>0</v>
      </c>
      <c r="AR45" s="597">
        <f xml:space="preserve"> COMMUS_Model!AR$1005</f>
        <v>0</v>
      </c>
      <c r="AS45" s="597">
        <f xml:space="preserve"> COMMUS_Model!AS$1005</f>
        <v>0</v>
      </c>
    </row>
    <row r="46" spans="1:45" ht="15" customHeight="1" x14ac:dyDescent="0.3">
      <c r="E46" s="597" t="str">
        <f xml:space="preserve"> COMMUS_Model!E$1006</f>
        <v>Interest withholding tax</v>
      </c>
      <c r="F46" s="597">
        <f xml:space="preserve"> COMMUS_Model!F$1006</f>
        <v>0</v>
      </c>
      <c r="G46" s="597" t="str">
        <f xml:space="preserve"> COMMUS_Model!G$1006</f>
        <v>$ mn</v>
      </c>
      <c r="H46" s="597">
        <f xml:space="preserve"> COMMUS_Model!H$1006</f>
        <v>0</v>
      </c>
      <c r="I46" s="597">
        <f xml:space="preserve"> COMMUS_Model!I$1006</f>
        <v>0</v>
      </c>
      <c r="J46" s="597">
        <f xml:space="preserve"> COMMUS_Model!J$1006</f>
        <v>0</v>
      </c>
      <c r="K46" s="597">
        <f xml:space="preserve"> COMMUS_Model!K$1006</f>
        <v>0</v>
      </c>
      <c r="L46" s="597">
        <f xml:space="preserve"> COMMUS_Model!L$1006</f>
        <v>0</v>
      </c>
      <c r="M46" s="597">
        <f xml:space="preserve"> COMMUS_Model!M$1006</f>
        <v>0</v>
      </c>
      <c r="N46" s="597">
        <f xml:space="preserve"> COMMUS_Model!N$1006</f>
        <v>0</v>
      </c>
      <c r="O46" s="597">
        <f xml:space="preserve"> COMMUS_Model!O$1006</f>
        <v>0</v>
      </c>
      <c r="P46" s="597">
        <f xml:space="preserve"> COMMUS_Model!P$1006</f>
        <v>0</v>
      </c>
      <c r="Q46" s="597">
        <f xml:space="preserve"> COMMUS_Model!Q$1006</f>
        <v>0</v>
      </c>
      <c r="R46" s="597">
        <f xml:space="preserve"> COMMUS_Model!R$1006</f>
        <v>0</v>
      </c>
      <c r="S46" s="597">
        <f xml:space="preserve"> COMMUS_Model!S$1006</f>
        <v>0</v>
      </c>
      <c r="T46" s="597">
        <f xml:space="preserve"> COMMUS_Model!T$1006</f>
        <v>0</v>
      </c>
      <c r="U46" s="597">
        <f xml:space="preserve"> COMMUS_Model!U$1006</f>
        <v>0</v>
      </c>
      <c r="V46" s="597">
        <f xml:space="preserve"> COMMUS_Model!V$1006</f>
        <v>0</v>
      </c>
      <c r="W46" s="597">
        <f xml:space="preserve"> COMMUS_Model!W$1006</f>
        <v>0</v>
      </c>
      <c r="X46" s="597">
        <f xml:space="preserve"> COMMUS_Model!X$1006</f>
        <v>0</v>
      </c>
      <c r="Y46" s="597">
        <f xml:space="preserve"> COMMUS_Model!Y$1006</f>
        <v>0</v>
      </c>
      <c r="Z46" s="597">
        <f xml:space="preserve"> COMMUS_Model!Z$1006</f>
        <v>0</v>
      </c>
      <c r="AA46" s="597">
        <f xml:space="preserve"> COMMUS_Model!AA$1006</f>
        <v>0</v>
      </c>
      <c r="AB46" s="597">
        <f xml:space="preserve"> COMMUS_Model!AB$1006</f>
        <v>0</v>
      </c>
      <c r="AC46" s="597">
        <f xml:space="preserve"> COMMUS_Model!AC$1006</f>
        <v>0</v>
      </c>
      <c r="AD46" s="597">
        <f xml:space="preserve"> COMMUS_Model!AD$1006</f>
        <v>0</v>
      </c>
      <c r="AE46" s="597">
        <f xml:space="preserve"> COMMUS_Model!AE$1006</f>
        <v>0</v>
      </c>
      <c r="AF46" s="597">
        <f xml:space="preserve"> COMMUS_Model!AF$1006</f>
        <v>0</v>
      </c>
      <c r="AG46" s="597">
        <f xml:space="preserve"> COMMUS_Model!AG$1006</f>
        <v>0</v>
      </c>
      <c r="AH46" s="597">
        <f xml:space="preserve"> COMMUS_Model!AH$1006</f>
        <v>0</v>
      </c>
      <c r="AI46" s="597">
        <f xml:space="preserve"> COMMUS_Model!AI$1006</f>
        <v>0</v>
      </c>
      <c r="AJ46" s="597">
        <f xml:space="preserve"> COMMUS_Model!AJ$1006</f>
        <v>0</v>
      </c>
      <c r="AK46" s="597">
        <f xml:space="preserve"> COMMUS_Model!AK$1006</f>
        <v>0</v>
      </c>
      <c r="AL46" s="597">
        <f xml:space="preserve"> COMMUS_Model!AL$1006</f>
        <v>0</v>
      </c>
      <c r="AM46" s="597">
        <f xml:space="preserve"> COMMUS_Model!AM$1006</f>
        <v>0</v>
      </c>
      <c r="AN46" s="597">
        <f xml:space="preserve"> COMMUS_Model!AN$1006</f>
        <v>0</v>
      </c>
      <c r="AO46" s="597">
        <f xml:space="preserve"> COMMUS_Model!AO$1006</f>
        <v>0</v>
      </c>
      <c r="AP46" s="597">
        <f xml:space="preserve"> COMMUS_Model!AP$1006</f>
        <v>0</v>
      </c>
      <c r="AQ46" s="597">
        <f xml:space="preserve"> COMMUS_Model!AQ$1006</f>
        <v>0</v>
      </c>
      <c r="AR46" s="597">
        <f xml:space="preserve"> COMMUS_Model!AR$1006</f>
        <v>0</v>
      </c>
      <c r="AS46" s="597">
        <f xml:space="preserve"> COMMUS_Model!AS$1006</f>
        <v>0</v>
      </c>
    </row>
    <row r="47" spans="1:45" ht="15" customHeight="1" x14ac:dyDescent="0.3">
      <c r="E47" s="704" t="str">
        <f xml:space="preserve"> COMMUS_Model!E$1007</f>
        <v>Dividend withholding tax</v>
      </c>
      <c r="F47" s="704">
        <f xml:space="preserve"> COMMUS_Model!F$1007</f>
        <v>0</v>
      </c>
      <c r="G47" s="704" t="str">
        <f xml:space="preserve"> COMMUS_Model!G$1007</f>
        <v>$ mn</v>
      </c>
      <c r="H47" s="704">
        <f xml:space="preserve"> COMMUS_Model!H$1007</f>
        <v>0</v>
      </c>
      <c r="I47" s="704">
        <f xml:space="preserve"> COMMUS_Model!I$1007</f>
        <v>224.61815895215742</v>
      </c>
      <c r="J47" s="704">
        <f xml:space="preserve"> COMMUS_Model!J$1007</f>
        <v>0</v>
      </c>
      <c r="K47" s="704">
        <f xml:space="preserve"> COMMUS_Model!K$1007</f>
        <v>0</v>
      </c>
      <c r="L47" s="704">
        <f xml:space="preserve"> COMMUS_Model!L$1007</f>
        <v>0</v>
      </c>
      <c r="M47" s="704">
        <f xml:space="preserve"> COMMUS_Model!M$1007</f>
        <v>0</v>
      </c>
      <c r="N47" s="704">
        <f xml:space="preserve"> COMMUS_Model!N$1007</f>
        <v>0</v>
      </c>
      <c r="O47" s="704">
        <f xml:space="preserve"> COMMUS_Model!O$1007</f>
        <v>0</v>
      </c>
      <c r="P47" s="704">
        <f xml:space="preserve"> COMMUS_Model!P$1007</f>
        <v>0</v>
      </c>
      <c r="Q47" s="704">
        <f xml:space="preserve"> COMMUS_Model!Q$1007</f>
        <v>0</v>
      </c>
      <c r="R47" s="704">
        <f xml:space="preserve"> COMMUS_Model!R$1007</f>
        <v>0</v>
      </c>
      <c r="S47" s="704">
        <f xml:space="preserve"> COMMUS_Model!S$1007</f>
        <v>0</v>
      </c>
      <c r="T47" s="704">
        <f xml:space="preserve"> COMMUS_Model!T$1007</f>
        <v>0</v>
      </c>
      <c r="U47" s="704">
        <f xml:space="preserve"> COMMUS_Model!U$1007</f>
        <v>0</v>
      </c>
      <c r="V47" s="704">
        <f xml:space="preserve"> COMMUS_Model!V$1007</f>
        <v>0</v>
      </c>
      <c r="W47" s="704">
        <f xml:space="preserve"> COMMUS_Model!W$1007</f>
        <v>28.712273925940117</v>
      </c>
      <c r="X47" s="704">
        <f xml:space="preserve"> COMMUS_Model!X$1007</f>
        <v>0</v>
      </c>
      <c r="Y47" s="704">
        <f xml:space="preserve"> COMMUS_Model!Y$1007</f>
        <v>12.859494376943317</v>
      </c>
      <c r="Z47" s="704">
        <f xml:space="preserve"> COMMUS_Model!Z$1007</f>
        <v>24.888187534151896</v>
      </c>
      <c r="AA47" s="704">
        <f xml:space="preserve"> COMMUS_Model!AA$1007</f>
        <v>17.1209560194735</v>
      </c>
      <c r="AB47" s="704">
        <f xml:space="preserve"> COMMUS_Model!AB$1007</f>
        <v>19.59615266395036</v>
      </c>
      <c r="AC47" s="704">
        <f xml:space="preserve"> COMMUS_Model!AC$1007</f>
        <v>4.2520002565090707</v>
      </c>
      <c r="AD47" s="704">
        <f xml:space="preserve"> COMMUS_Model!AD$1007</f>
        <v>19.553301604469887</v>
      </c>
      <c r="AE47" s="704">
        <f xml:space="preserve"> COMMUS_Model!AE$1007</f>
        <v>18.653017899186221</v>
      </c>
      <c r="AF47" s="704">
        <f xml:space="preserve"> COMMUS_Model!AF$1007</f>
        <v>19.12065732756238</v>
      </c>
      <c r="AG47" s="704">
        <f xml:space="preserve"> COMMUS_Model!AG$1007</f>
        <v>18.2957410492299</v>
      </c>
      <c r="AH47" s="704">
        <f xml:space="preserve"> COMMUS_Model!AH$1007</f>
        <v>17.530387391023734</v>
      </c>
      <c r="AI47" s="704">
        <f xml:space="preserve"> COMMUS_Model!AI$1007</f>
        <v>10.173185274388651</v>
      </c>
      <c r="AJ47" s="704">
        <f xml:space="preserve"> COMMUS_Model!AJ$1007</f>
        <v>12.51733128626965</v>
      </c>
      <c r="AK47" s="704">
        <f xml:space="preserve"> COMMUS_Model!AK$1007</f>
        <v>1.3454723430587663</v>
      </c>
      <c r="AL47" s="704">
        <f xml:space="preserve"> COMMUS_Model!AL$1007</f>
        <v>0</v>
      </c>
      <c r="AM47" s="704">
        <f xml:space="preserve"> COMMUS_Model!AM$1007</f>
        <v>0</v>
      </c>
      <c r="AN47" s="704">
        <f xml:space="preserve"> COMMUS_Model!AN$1007</f>
        <v>0</v>
      </c>
      <c r="AO47" s="704">
        <f xml:space="preserve"> COMMUS_Model!AO$1007</f>
        <v>0</v>
      </c>
      <c r="AP47" s="704">
        <f xml:space="preserve"> COMMUS_Model!AP$1007</f>
        <v>0</v>
      </c>
      <c r="AQ47" s="704">
        <f xml:space="preserve"> COMMUS_Model!AQ$1007</f>
        <v>0</v>
      </c>
      <c r="AR47" s="704">
        <f xml:space="preserve"> COMMUS_Model!AR$1007</f>
        <v>0</v>
      </c>
      <c r="AS47" s="704">
        <f xml:space="preserve"> COMMUS_Model!AS$1007</f>
        <v>0</v>
      </c>
    </row>
    <row r="48" spans="1:45" ht="15" customHeight="1" x14ac:dyDescent="0.3">
      <c r="E48" s="704" t="str">
        <f xml:space="preserve"> COMMUS_Model!E$1008</f>
        <v>WHT on non-resident services</v>
      </c>
      <c r="F48" s="704">
        <f xml:space="preserve"> COMMUS_Model!F$1008</f>
        <v>0</v>
      </c>
      <c r="G48" s="704" t="str">
        <f xml:space="preserve"> COMMUS_Model!G$1008</f>
        <v>$ mn</v>
      </c>
      <c r="H48" s="704">
        <f xml:space="preserve"> COMMUS_Model!H$1008</f>
        <v>0</v>
      </c>
      <c r="I48" s="704">
        <f xml:space="preserve"> COMMUS_Model!I$1008</f>
        <v>72.445296483462641</v>
      </c>
      <c r="J48" s="704">
        <f xml:space="preserve"> COMMUS_Model!J$1008</f>
        <v>0</v>
      </c>
      <c r="K48" s="704">
        <f xml:space="preserve"> COMMUS_Model!K$1008</f>
        <v>0</v>
      </c>
      <c r="L48" s="704">
        <f xml:space="preserve"> COMMUS_Model!L$1008</f>
        <v>0</v>
      </c>
      <c r="M48" s="704">
        <f xml:space="preserve"> COMMUS_Model!M$1008</f>
        <v>0</v>
      </c>
      <c r="N48" s="704">
        <f xml:space="preserve"> COMMUS_Model!N$1008</f>
        <v>0</v>
      </c>
      <c r="O48" s="704">
        <f xml:space="preserve"> COMMUS_Model!O$1008</f>
        <v>0</v>
      </c>
      <c r="P48" s="704">
        <f xml:space="preserve"> COMMUS_Model!P$1008</f>
        <v>0</v>
      </c>
      <c r="Q48" s="704">
        <f xml:space="preserve"> COMMUS_Model!Q$1008</f>
        <v>0</v>
      </c>
      <c r="R48" s="704">
        <f xml:space="preserve"> COMMUS_Model!R$1008</f>
        <v>0</v>
      </c>
      <c r="S48" s="704">
        <f xml:space="preserve"> COMMUS_Model!S$1008</f>
        <v>0</v>
      </c>
      <c r="T48" s="704">
        <f xml:space="preserve"> COMMUS_Model!T$1008</f>
        <v>0</v>
      </c>
      <c r="U48" s="704">
        <f xml:space="preserve"> COMMUS_Model!U$1008</f>
        <v>0</v>
      </c>
      <c r="V48" s="704">
        <f xml:space="preserve"> COMMUS_Model!V$1008</f>
        <v>5.6123427587850001</v>
      </c>
      <c r="W48" s="704">
        <f xml:space="preserve"> COMMUS_Model!W$1008</f>
        <v>3.1552135312705007</v>
      </c>
      <c r="X48" s="704">
        <f xml:space="preserve"> COMMUS_Model!X$1008</f>
        <v>4.857328718290721</v>
      </c>
      <c r="Y48" s="704">
        <f xml:space="preserve"> COMMUS_Model!Y$1008</f>
        <v>2.5007843498043005</v>
      </c>
      <c r="Z48" s="704">
        <f xml:space="preserve"> COMMUS_Model!Z$1008</f>
        <v>3.6758916944584801</v>
      </c>
      <c r="AA48" s="704">
        <f xml:space="preserve"> COMMUS_Model!AA$1008</f>
        <v>6.5267786363856652</v>
      </c>
      <c r="AB48" s="704">
        <f xml:space="preserve"> COMMUS_Model!AB$1008</f>
        <v>6.0511123997289111</v>
      </c>
      <c r="AC48" s="704">
        <f xml:space="preserve"> COMMUS_Model!AC$1008</f>
        <v>5.0615623491353485</v>
      </c>
      <c r="AD48" s="704">
        <f xml:space="preserve"> COMMUS_Model!AD$1008</f>
        <v>4.3697018046981171</v>
      </c>
      <c r="AE48" s="704">
        <f xml:space="preserve"> COMMUS_Model!AE$1008</f>
        <v>4.4768667496040315</v>
      </c>
      <c r="AF48" s="704">
        <f xml:space="preserve"> COMMUS_Model!AF$1008</f>
        <v>4.5716721586344811</v>
      </c>
      <c r="AG48" s="704">
        <f xml:space="preserve"> COMMUS_Model!AG$1008</f>
        <v>4.6706893208561171</v>
      </c>
      <c r="AH48" s="704">
        <f xml:space="preserve"> COMMUS_Model!AH$1008</f>
        <v>4.7714848136522852</v>
      </c>
      <c r="AI48" s="704">
        <f xml:space="preserve"> COMMUS_Model!AI$1008</f>
        <v>4.9266382979590038</v>
      </c>
      <c r="AJ48" s="704">
        <f xml:space="preserve"> COMMUS_Model!AJ$1008</f>
        <v>4.5576136621084924</v>
      </c>
      <c r="AK48" s="704">
        <f xml:space="preserve"> COMMUS_Model!AK$1008</f>
        <v>2.6596152380911815</v>
      </c>
      <c r="AL48" s="704">
        <f xml:space="preserve"> COMMUS_Model!AL$1008</f>
        <v>0</v>
      </c>
      <c r="AM48" s="704">
        <f xml:space="preserve"> COMMUS_Model!AM$1008</f>
        <v>0</v>
      </c>
      <c r="AN48" s="704">
        <f xml:space="preserve"> COMMUS_Model!AN$1008</f>
        <v>0</v>
      </c>
      <c r="AO48" s="704">
        <f xml:space="preserve"> COMMUS_Model!AO$1008</f>
        <v>0</v>
      </c>
      <c r="AP48" s="704">
        <f xml:space="preserve"> COMMUS_Model!AP$1008</f>
        <v>0</v>
      </c>
      <c r="AQ48" s="704">
        <f xml:space="preserve"> COMMUS_Model!AQ$1008</f>
        <v>0</v>
      </c>
      <c r="AR48" s="704">
        <f xml:space="preserve"> COMMUS_Model!AR$1008</f>
        <v>0</v>
      </c>
      <c r="AS48" s="704">
        <f xml:space="preserve"> COMMUS_Model!AS$1008</f>
        <v>0</v>
      </c>
    </row>
    <row r="49" spans="1:45" ht="15" customHeight="1" x14ac:dyDescent="0.3">
      <c r="E49" s="597" t="str">
        <f xml:space="preserve"> COMMUS_Model!E$1010</f>
        <v>Government revenues excl Gecamines participation</v>
      </c>
      <c r="F49" s="597">
        <f xml:space="preserve"> COMMUS_Model!F$1010</f>
        <v>0</v>
      </c>
      <c r="G49" s="597" t="str">
        <f xml:space="preserve"> COMMUS_Model!G$1010</f>
        <v>$ mn</v>
      </c>
      <c r="H49" s="597">
        <f xml:space="preserve"> COMMUS_Model!H$1010</f>
        <v>0</v>
      </c>
      <c r="I49" s="597">
        <f xml:space="preserve"> COMMUS_Model!I$1010</f>
        <v>2765.6905268255668</v>
      </c>
      <c r="J49" s="597">
        <f xml:space="preserve"> COMMUS_Model!J$1010</f>
        <v>0</v>
      </c>
      <c r="K49" s="597">
        <f xml:space="preserve"> COMMUS_Model!K$1010</f>
        <v>0</v>
      </c>
      <c r="L49" s="597">
        <f xml:space="preserve"> COMMUS_Model!L$1010</f>
        <v>0</v>
      </c>
      <c r="M49" s="597">
        <f xml:space="preserve"> COMMUS_Model!M$1010</f>
        <v>0</v>
      </c>
      <c r="N49" s="597">
        <f xml:space="preserve"> COMMUS_Model!N$1010</f>
        <v>0</v>
      </c>
      <c r="O49" s="597">
        <f xml:space="preserve"> COMMUS_Model!O$1010</f>
        <v>0</v>
      </c>
      <c r="P49" s="597">
        <f xml:space="preserve"> COMMUS_Model!P$1010</f>
        <v>0</v>
      </c>
      <c r="Q49" s="597">
        <f xml:space="preserve"> COMMUS_Model!Q$1010</f>
        <v>0</v>
      </c>
      <c r="R49" s="597">
        <f xml:space="preserve"> COMMUS_Model!R$1010</f>
        <v>0</v>
      </c>
      <c r="S49" s="597">
        <f xml:space="preserve"> COMMUS_Model!S$1010</f>
        <v>0</v>
      </c>
      <c r="T49" s="597">
        <f xml:space="preserve"> COMMUS_Model!T$1010</f>
        <v>0</v>
      </c>
      <c r="U49" s="597">
        <f xml:space="preserve"> COMMUS_Model!U$1010</f>
        <v>0</v>
      </c>
      <c r="V49" s="597">
        <f xml:space="preserve"> COMMUS_Model!V$1010</f>
        <v>20.419127879785002</v>
      </c>
      <c r="W49" s="597">
        <f xml:space="preserve"> COMMUS_Model!W$1010</f>
        <v>73.716234112410632</v>
      </c>
      <c r="X49" s="597">
        <f xml:space="preserve"> COMMUS_Model!X$1010</f>
        <v>110.64490124848584</v>
      </c>
      <c r="Y49" s="597">
        <f xml:space="preserve"> COMMUS_Model!Y$1010</f>
        <v>148.34620549351393</v>
      </c>
      <c r="Z49" s="597">
        <f xml:space="preserve"> COMMUS_Model!Z$1010</f>
        <v>330.22490284750336</v>
      </c>
      <c r="AA49" s="597">
        <f xml:space="preserve"> COMMUS_Model!AA$1010</f>
        <v>276.84151441910132</v>
      </c>
      <c r="AB49" s="597">
        <f xml:space="preserve"> COMMUS_Model!AB$1010</f>
        <v>243.53541986864383</v>
      </c>
      <c r="AC49" s="597">
        <f xml:space="preserve"> COMMUS_Model!AC$1010</f>
        <v>95.544701892986964</v>
      </c>
      <c r="AD49" s="597">
        <f xml:space="preserve"> COMMUS_Model!AD$1010</f>
        <v>211.54265958695359</v>
      </c>
      <c r="AE49" s="597">
        <f xml:space="preserve"> COMMUS_Model!AE$1010</f>
        <v>215.23622162282058</v>
      </c>
      <c r="AF49" s="597">
        <f xml:space="preserve"> COMMUS_Model!AF$1010</f>
        <v>213.59325744836227</v>
      </c>
      <c r="AG49" s="597">
        <f xml:space="preserve"> COMMUS_Model!AG$1010</f>
        <v>213.56641208967943</v>
      </c>
      <c r="AH49" s="597">
        <f xml:space="preserve"> COMMUS_Model!AH$1010</f>
        <v>215.2390177556521</v>
      </c>
      <c r="AI49" s="597">
        <f xml:space="preserve"> COMMUS_Model!AI$1010</f>
        <v>163.57340365229086</v>
      </c>
      <c r="AJ49" s="597">
        <f xml:space="preserve"> COMMUS_Model!AJ$1010</f>
        <v>178.94949100444214</v>
      </c>
      <c r="AK49" s="597">
        <f xml:space="preserve"> COMMUS_Model!AK$1010</f>
        <v>54.717055902935016</v>
      </c>
      <c r="AL49" s="597">
        <f xml:space="preserve"> COMMUS_Model!AL$1010</f>
        <v>0</v>
      </c>
      <c r="AM49" s="597">
        <f xml:space="preserve"> COMMUS_Model!AM$1010</f>
        <v>0</v>
      </c>
      <c r="AN49" s="597">
        <f xml:space="preserve"> COMMUS_Model!AN$1010</f>
        <v>0</v>
      </c>
      <c r="AO49" s="597">
        <f xml:space="preserve"> COMMUS_Model!AO$1010</f>
        <v>0</v>
      </c>
      <c r="AP49" s="597">
        <f xml:space="preserve"> COMMUS_Model!AP$1010</f>
        <v>0</v>
      </c>
      <c r="AQ49" s="597">
        <f xml:space="preserve"> COMMUS_Model!AQ$1010</f>
        <v>0</v>
      </c>
      <c r="AR49" s="597">
        <f xml:space="preserve"> COMMUS_Model!AR$1010</f>
        <v>0</v>
      </c>
      <c r="AS49" s="597">
        <f xml:space="preserve"> COMMUS_Model!AS$1010</f>
        <v>0</v>
      </c>
    </row>
    <row r="50" spans="1:45" ht="15" customHeight="1" x14ac:dyDescent="0.3">
      <c r="E50" s="704" t="str">
        <f xml:space="preserve"> COMMUS_Model!E$1011</f>
        <v>Gecamines share of cashflows after repaying loan</v>
      </c>
      <c r="F50" s="704">
        <f xml:space="preserve"> COMMUS_Model!F$1011</f>
        <v>0</v>
      </c>
      <c r="G50" s="704" t="str">
        <f xml:space="preserve"> COMMUS_Model!G$1011</f>
        <v>$ mn</v>
      </c>
      <c r="H50" s="704">
        <f xml:space="preserve"> COMMUS_Model!H$1011</f>
        <v>0</v>
      </c>
      <c r="I50" s="704">
        <f xml:space="preserve"> COMMUS_Model!I$1011</f>
        <v>921.83851310159503</v>
      </c>
      <c r="J50" s="704">
        <f xml:space="preserve"> COMMUS_Model!J$1011</f>
        <v>0</v>
      </c>
      <c r="K50" s="704">
        <f xml:space="preserve"> COMMUS_Model!K$1011</f>
        <v>0</v>
      </c>
      <c r="L50" s="704">
        <f xml:space="preserve"> COMMUS_Model!L$1011</f>
        <v>0</v>
      </c>
      <c r="M50" s="704">
        <f xml:space="preserve"> COMMUS_Model!M$1011</f>
        <v>0</v>
      </c>
      <c r="N50" s="704">
        <f xml:space="preserve"> COMMUS_Model!N$1011</f>
        <v>0</v>
      </c>
      <c r="O50" s="704">
        <f xml:space="preserve"> COMMUS_Model!O$1011</f>
        <v>0</v>
      </c>
      <c r="P50" s="704">
        <f xml:space="preserve"> COMMUS_Model!P$1011</f>
        <v>0</v>
      </c>
      <c r="Q50" s="704">
        <f xml:space="preserve"> COMMUS_Model!Q$1011</f>
        <v>0</v>
      </c>
      <c r="R50" s="704">
        <f xml:space="preserve"> COMMUS_Model!R$1011</f>
        <v>0</v>
      </c>
      <c r="S50" s="704">
        <f xml:space="preserve"> COMMUS_Model!S$1011</f>
        <v>0</v>
      </c>
      <c r="T50" s="704">
        <f xml:space="preserve"> COMMUS_Model!T$1011</f>
        <v>0</v>
      </c>
      <c r="U50" s="704">
        <f xml:space="preserve"> COMMUS_Model!U$1011</f>
        <v>0</v>
      </c>
      <c r="V50" s="704">
        <f xml:space="preserve"> COMMUS_Model!V$1011</f>
        <v>0</v>
      </c>
      <c r="W50" s="704">
        <f xml:space="preserve"> COMMUS_Model!W$1011</f>
        <v>55.314913606598815</v>
      </c>
      <c r="X50" s="704">
        <f xml:space="preserve"> COMMUS_Model!X$1011</f>
        <v>0</v>
      </c>
      <c r="Y50" s="704">
        <f xml:space="preserve"> COMMUS_Model!Y$1011</f>
        <v>28.804743620437343</v>
      </c>
      <c r="Z50" s="704">
        <f xml:space="preserve"> COMMUS_Model!Z$1011</f>
        <v>96.787395966146264</v>
      </c>
      <c r="AA50" s="704">
        <f xml:space="preserve"> COMMUS_Model!AA$1011</f>
        <v>66.581495631285847</v>
      </c>
      <c r="AB50" s="704">
        <f xml:space="preserve"> COMMUS_Model!AB$1011</f>
        <v>76.207260359806966</v>
      </c>
      <c r="AC50" s="704">
        <f xml:space="preserve"> COMMUS_Model!AC$1011</f>
        <v>20.942687830567063</v>
      </c>
      <c r="AD50" s="704">
        <f xml:space="preserve"> COMMUS_Model!AD$1011</f>
        <v>96.307306410075569</v>
      </c>
      <c r="AE50" s="704">
        <f xml:space="preserve"> COMMUS_Model!AE$1011</f>
        <v>91.873073234797815</v>
      </c>
      <c r="AF50" s="704">
        <f xml:space="preserve"> COMMUS_Model!AF$1011</f>
        <v>94.176371911874412</v>
      </c>
      <c r="AG50" s="704">
        <f xml:space="preserve"> COMMUS_Model!AG$1011</f>
        <v>90.113351436505482</v>
      </c>
      <c r="AH50" s="704">
        <f xml:space="preserve"> COMMUS_Model!AH$1011</f>
        <v>86.3436990901169</v>
      </c>
      <c r="AI50" s="704">
        <f xml:space="preserve"> COMMUS_Model!AI$1011</f>
        <v>50.106733441018733</v>
      </c>
      <c r="AJ50" s="704">
        <f xml:space="preserve"> COMMUS_Model!AJ$1011</f>
        <v>61.652527230880366</v>
      </c>
      <c r="AK50" s="704">
        <f xml:space="preserve"> COMMUS_Model!AK$1011</f>
        <v>6.6269533314834765</v>
      </c>
      <c r="AL50" s="704">
        <f xml:space="preserve"> COMMUS_Model!AL$1011</f>
        <v>0</v>
      </c>
      <c r="AM50" s="704">
        <f xml:space="preserve"> COMMUS_Model!AM$1011</f>
        <v>0</v>
      </c>
      <c r="AN50" s="704">
        <f xml:space="preserve"> COMMUS_Model!AN$1011</f>
        <v>0</v>
      </c>
      <c r="AO50" s="704">
        <f xml:space="preserve"> COMMUS_Model!AO$1011</f>
        <v>0</v>
      </c>
      <c r="AP50" s="704">
        <f xml:space="preserve"> COMMUS_Model!AP$1011</f>
        <v>0</v>
      </c>
      <c r="AQ50" s="704">
        <f xml:space="preserve"> COMMUS_Model!AQ$1011</f>
        <v>0</v>
      </c>
      <c r="AR50" s="704">
        <f xml:space="preserve"> COMMUS_Model!AR$1011</f>
        <v>0</v>
      </c>
      <c r="AS50" s="704">
        <f xml:space="preserve"> COMMUS_Model!AS$1011</f>
        <v>0</v>
      </c>
    </row>
    <row r="51" spans="1:45" ht="15" customHeight="1" x14ac:dyDescent="0.3">
      <c r="E51" s="704" t="str">
        <f xml:space="preserve"> COMMUS_Model!E$1012</f>
        <v>Government revenues incl Gecamines</v>
      </c>
      <c r="F51" s="704">
        <f xml:space="preserve"> COMMUS_Model!F$1012</f>
        <v>0</v>
      </c>
      <c r="G51" s="704" t="str">
        <f xml:space="preserve"> COMMUS_Model!G$1012</f>
        <v>$ mn</v>
      </c>
      <c r="H51" s="704">
        <f xml:space="preserve"> COMMUS_Model!H$1012</f>
        <v>0</v>
      </c>
      <c r="I51" s="704">
        <f xml:space="preserve"> COMMUS_Model!I$1012</f>
        <v>3687.5290399271621</v>
      </c>
      <c r="J51" s="704">
        <f xml:space="preserve"> COMMUS_Model!J$1012</f>
        <v>0</v>
      </c>
      <c r="K51" s="704">
        <f xml:space="preserve"> COMMUS_Model!K$1012</f>
        <v>0</v>
      </c>
      <c r="L51" s="704">
        <f xml:space="preserve"> COMMUS_Model!L$1012</f>
        <v>0</v>
      </c>
      <c r="M51" s="704">
        <f xml:space="preserve"> COMMUS_Model!M$1012</f>
        <v>0</v>
      </c>
      <c r="N51" s="704">
        <f xml:space="preserve"> COMMUS_Model!N$1012</f>
        <v>0</v>
      </c>
      <c r="O51" s="704">
        <f xml:space="preserve"> COMMUS_Model!O$1012</f>
        <v>0</v>
      </c>
      <c r="P51" s="704">
        <f xml:space="preserve"> COMMUS_Model!P$1012</f>
        <v>0</v>
      </c>
      <c r="Q51" s="704">
        <f xml:space="preserve"> COMMUS_Model!Q$1012</f>
        <v>0</v>
      </c>
      <c r="R51" s="704">
        <f xml:space="preserve"> COMMUS_Model!R$1012</f>
        <v>0</v>
      </c>
      <c r="S51" s="704">
        <f xml:space="preserve"> COMMUS_Model!S$1012</f>
        <v>0</v>
      </c>
      <c r="T51" s="704">
        <f xml:space="preserve"> COMMUS_Model!T$1012</f>
        <v>0</v>
      </c>
      <c r="U51" s="704">
        <f xml:space="preserve"> COMMUS_Model!U$1012</f>
        <v>0</v>
      </c>
      <c r="V51" s="704">
        <f xml:space="preserve"> COMMUS_Model!V$1012</f>
        <v>20.419127879785002</v>
      </c>
      <c r="W51" s="704">
        <f xml:space="preserve"> COMMUS_Model!W$1012</f>
        <v>129.03114771900945</v>
      </c>
      <c r="X51" s="704">
        <f xml:space="preserve"> COMMUS_Model!X$1012</f>
        <v>110.64490124848584</v>
      </c>
      <c r="Y51" s="704">
        <f xml:space="preserve"> COMMUS_Model!Y$1012</f>
        <v>177.15094911395127</v>
      </c>
      <c r="Z51" s="704">
        <f xml:space="preserve"> COMMUS_Model!Z$1012</f>
        <v>427.01229881364964</v>
      </c>
      <c r="AA51" s="704">
        <f xml:space="preserve"> COMMUS_Model!AA$1012</f>
        <v>343.42301005038718</v>
      </c>
      <c r="AB51" s="704">
        <f xml:space="preserve"> COMMUS_Model!AB$1012</f>
        <v>319.74268022845081</v>
      </c>
      <c r="AC51" s="704">
        <f xml:space="preserve"> COMMUS_Model!AC$1012</f>
        <v>116.48738972355403</v>
      </c>
      <c r="AD51" s="704">
        <f xml:space="preserve"> COMMUS_Model!AD$1012</f>
        <v>307.84996599702913</v>
      </c>
      <c r="AE51" s="704">
        <f xml:space="preserve"> COMMUS_Model!AE$1012</f>
        <v>307.10929485761841</v>
      </c>
      <c r="AF51" s="704">
        <f xml:space="preserve"> COMMUS_Model!AF$1012</f>
        <v>307.76962936023665</v>
      </c>
      <c r="AG51" s="704">
        <f xml:space="preserve"> COMMUS_Model!AG$1012</f>
        <v>303.6797635261849</v>
      </c>
      <c r="AH51" s="704">
        <f xml:space="preserve"> COMMUS_Model!AH$1012</f>
        <v>301.58271684576903</v>
      </c>
      <c r="AI51" s="704">
        <f xml:space="preserve"> COMMUS_Model!AI$1012</f>
        <v>213.68013709330961</v>
      </c>
      <c r="AJ51" s="704">
        <f xml:space="preserve"> COMMUS_Model!AJ$1012</f>
        <v>240.6020182353225</v>
      </c>
      <c r="AK51" s="704">
        <f xml:space="preserve"> COMMUS_Model!AK$1012</f>
        <v>61.344009234418493</v>
      </c>
      <c r="AL51" s="704">
        <f xml:space="preserve"> COMMUS_Model!AL$1012</f>
        <v>0</v>
      </c>
      <c r="AM51" s="704">
        <f xml:space="preserve"> COMMUS_Model!AM$1012</f>
        <v>0</v>
      </c>
      <c r="AN51" s="704">
        <f xml:space="preserve"> COMMUS_Model!AN$1012</f>
        <v>0</v>
      </c>
      <c r="AO51" s="704">
        <f xml:space="preserve"> COMMUS_Model!AO$1012</f>
        <v>0</v>
      </c>
      <c r="AP51" s="704">
        <f xml:space="preserve"> COMMUS_Model!AP$1012</f>
        <v>0</v>
      </c>
      <c r="AQ51" s="704">
        <f xml:space="preserve"> COMMUS_Model!AQ$1012</f>
        <v>0</v>
      </c>
      <c r="AR51" s="704">
        <f xml:space="preserve"> COMMUS_Model!AR$1012</f>
        <v>0</v>
      </c>
      <c r="AS51" s="704">
        <f xml:space="preserve"> COMMUS_Model!AS$1012</f>
        <v>0</v>
      </c>
    </row>
    <row r="52" spans="1:45" ht="15" customHeight="1" x14ac:dyDescent="0.3">
      <c r="E52" s="88" t="str">
        <f>"Check: " &amp;E51</f>
        <v>Check: Government revenues incl Gecamines</v>
      </c>
      <c r="F52" s="708">
        <f xml:space="preserve"> SUM(Q52:AV52)</f>
        <v>0</v>
      </c>
      <c r="G52" s="88" t="s">
        <v>509</v>
      </c>
      <c r="K52" s="708">
        <f t="shared" ref="K52:AS52" si="1" xml:space="preserve"> IF( ABS( SUM(K39:K48) +K50 -K51) &gt; CHK_TOL, 1, 0)</f>
        <v>0</v>
      </c>
      <c r="L52" s="708">
        <f t="shared" si="1"/>
        <v>0</v>
      </c>
      <c r="M52" s="708">
        <f t="shared" si="1"/>
        <v>0</v>
      </c>
      <c r="N52" s="708">
        <f t="shared" si="1"/>
        <v>0</v>
      </c>
      <c r="O52" s="708">
        <f t="shared" si="1"/>
        <v>0</v>
      </c>
      <c r="P52" s="708">
        <f t="shared" si="1"/>
        <v>0</v>
      </c>
      <c r="Q52" s="708">
        <f t="shared" si="1"/>
        <v>0</v>
      </c>
      <c r="R52" s="708">
        <f t="shared" si="1"/>
        <v>0</v>
      </c>
      <c r="S52" s="708">
        <f t="shared" si="1"/>
        <v>0</v>
      </c>
      <c r="T52" s="708">
        <f t="shared" si="1"/>
        <v>0</v>
      </c>
      <c r="U52" s="708">
        <f t="shared" si="1"/>
        <v>0</v>
      </c>
      <c r="V52" s="708">
        <f t="shared" si="1"/>
        <v>0</v>
      </c>
      <c r="W52" s="708">
        <f t="shared" si="1"/>
        <v>0</v>
      </c>
      <c r="X52" s="708">
        <f t="shared" si="1"/>
        <v>0</v>
      </c>
      <c r="Y52" s="708">
        <f t="shared" si="1"/>
        <v>0</v>
      </c>
      <c r="Z52" s="708">
        <f t="shared" si="1"/>
        <v>0</v>
      </c>
      <c r="AA52" s="708">
        <f t="shared" si="1"/>
        <v>0</v>
      </c>
      <c r="AB52" s="708">
        <f t="shared" si="1"/>
        <v>0</v>
      </c>
      <c r="AC52" s="708">
        <f t="shared" si="1"/>
        <v>0</v>
      </c>
      <c r="AD52" s="708">
        <f t="shared" si="1"/>
        <v>0</v>
      </c>
      <c r="AE52" s="708">
        <f t="shared" si="1"/>
        <v>0</v>
      </c>
      <c r="AF52" s="708">
        <f t="shared" si="1"/>
        <v>0</v>
      </c>
      <c r="AG52" s="708">
        <f t="shared" si="1"/>
        <v>0</v>
      </c>
      <c r="AH52" s="708">
        <f t="shared" si="1"/>
        <v>0</v>
      </c>
      <c r="AI52" s="708">
        <f t="shared" si="1"/>
        <v>0</v>
      </c>
      <c r="AJ52" s="708">
        <f t="shared" si="1"/>
        <v>0</v>
      </c>
      <c r="AK52" s="708">
        <f t="shared" si="1"/>
        <v>0</v>
      </c>
      <c r="AL52" s="708">
        <f t="shared" si="1"/>
        <v>0</v>
      </c>
      <c r="AM52" s="708">
        <f t="shared" si="1"/>
        <v>0</v>
      </c>
      <c r="AN52" s="708">
        <f t="shared" si="1"/>
        <v>0</v>
      </c>
      <c r="AO52" s="708">
        <f t="shared" si="1"/>
        <v>0</v>
      </c>
      <c r="AP52" s="708">
        <f t="shared" si="1"/>
        <v>0</v>
      </c>
      <c r="AQ52" s="708">
        <f t="shared" si="1"/>
        <v>0</v>
      </c>
      <c r="AR52" s="708">
        <f t="shared" si="1"/>
        <v>0</v>
      </c>
      <c r="AS52" s="708">
        <f t="shared" si="1"/>
        <v>0</v>
      </c>
    </row>
    <row r="53" spans="1:45" ht="15" customHeight="1" x14ac:dyDescent="0.3">
      <c r="AL53" s="448"/>
      <c r="AM53" s="448"/>
      <c r="AN53" s="448"/>
      <c r="AO53" s="448"/>
      <c r="AP53" s="448"/>
      <c r="AQ53" s="448"/>
      <c r="AR53" s="448"/>
      <c r="AS53" s="448"/>
    </row>
    <row r="54" spans="1:45" ht="15" customHeight="1" x14ac:dyDescent="0.3">
      <c r="B54" s="446" t="s">
        <v>670</v>
      </c>
      <c r="AL54" s="448"/>
      <c r="AM54" s="448"/>
      <c r="AN54" s="448"/>
      <c r="AO54" s="448"/>
      <c r="AP54" s="448"/>
      <c r="AQ54" s="448"/>
      <c r="AR54" s="448"/>
      <c r="AS54" s="448"/>
    </row>
    <row r="55" spans="1:45" ht="15" customHeight="1" x14ac:dyDescent="0.3">
      <c r="E55" s="704" t="str">
        <f xml:space="preserve"> COMMUS_Model!E$812</f>
        <v>Cashflow after tax</v>
      </c>
      <c r="F55" s="704">
        <f xml:space="preserve"> COMMUS_Model!F$812</f>
        <v>0</v>
      </c>
      <c r="G55" s="704" t="str">
        <f xml:space="preserve"> COMMUS_Model!G$812</f>
        <v>$ mn</v>
      </c>
      <c r="H55" s="704">
        <f xml:space="preserve"> COMMUS_Model!H$812</f>
        <v>0</v>
      </c>
      <c r="I55" s="704">
        <f xml:space="preserve"> COMMUS_Model!I$812</f>
        <v>3017.3005337171094</v>
      </c>
      <c r="J55" s="704">
        <f xml:space="preserve"> COMMUS_Model!J$812</f>
        <v>0</v>
      </c>
      <c r="K55" s="704">
        <f xml:space="preserve"> COMMUS_Model!K$812</f>
        <v>0</v>
      </c>
      <c r="L55" s="704">
        <f xml:space="preserve"> COMMUS_Model!L$812</f>
        <v>0</v>
      </c>
      <c r="M55" s="704">
        <f xml:space="preserve"> COMMUS_Model!M$812</f>
        <v>0</v>
      </c>
      <c r="N55" s="704">
        <f xml:space="preserve"> COMMUS_Model!N$812</f>
        <v>0</v>
      </c>
      <c r="O55" s="704">
        <f xml:space="preserve"> COMMUS_Model!O$812</f>
        <v>0</v>
      </c>
      <c r="P55" s="704">
        <f xml:space="preserve"> COMMUS_Model!P$812</f>
        <v>0</v>
      </c>
      <c r="Q55" s="704">
        <f xml:space="preserve"> COMMUS_Model!Q$812</f>
        <v>0</v>
      </c>
      <c r="R55" s="704">
        <f xml:space="preserve"> COMMUS_Model!R$812</f>
        <v>0</v>
      </c>
      <c r="S55" s="704">
        <f xml:space="preserve"> COMMUS_Model!S$812</f>
        <v>0</v>
      </c>
      <c r="T55" s="704">
        <f xml:space="preserve"> COMMUS_Model!T$812</f>
        <v>0</v>
      </c>
      <c r="U55" s="704">
        <f xml:space="preserve"> COMMUS_Model!U$812</f>
        <v>0</v>
      </c>
      <c r="V55" s="704">
        <f xml:space="preserve"> COMMUS_Model!V$812</f>
        <v>-236.34949621499999</v>
      </c>
      <c r="W55" s="704">
        <f xml:space="preserve"> COMMUS_Model!W$812</f>
        <v>41.437652865999951</v>
      </c>
      <c r="X55" s="704">
        <f xml:space="preserve"> COMMUS_Model!X$812</f>
        <v>12.239987308939646</v>
      </c>
      <c r="Y55" s="704">
        <f xml:space="preserve"> COMMUS_Model!Y$812</f>
        <v>270.25840738987051</v>
      </c>
      <c r="Z55" s="704">
        <f xml:space="preserve"> COMMUS_Model!Z$812</f>
        <v>523.78999130766522</v>
      </c>
      <c r="AA55" s="704">
        <f xml:space="preserve"> COMMUS_Model!AA$812</f>
        <v>255.59455582602084</v>
      </c>
      <c r="AB55" s="704">
        <f xml:space="preserve"> COMMUS_Model!AB$812</f>
        <v>289.41158699931054</v>
      </c>
      <c r="AC55" s="704">
        <f xml:space="preserve"> COMMUS_Model!AC$812</f>
        <v>80.144790395657765</v>
      </c>
      <c r="AD55" s="704">
        <f xml:space="preserve"> COMMUS_Model!AD$812</f>
        <v>307.96172245477442</v>
      </c>
      <c r="AE55" s="704">
        <f xml:space="preserve"> COMMUS_Model!AE$812</f>
        <v>293.96395222666001</v>
      </c>
      <c r="AF55" s="704">
        <f xml:space="preserve"> COMMUS_Model!AF$812</f>
        <v>285.38294518749819</v>
      </c>
      <c r="AG55" s="704">
        <f xml:space="preserve"> COMMUS_Model!AG$812</f>
        <v>273.07076192880447</v>
      </c>
      <c r="AH55" s="704">
        <f xml:space="preserve"> COMMUS_Model!AH$812</f>
        <v>261.64757300035421</v>
      </c>
      <c r="AI55" s="704">
        <f xml:space="preserve"> COMMUS_Model!AI$812</f>
        <v>151.83858618490524</v>
      </c>
      <c r="AJ55" s="704">
        <f xml:space="preserve"> COMMUS_Model!AJ$812</f>
        <v>186.82584009357686</v>
      </c>
      <c r="AK55" s="704">
        <f xml:space="preserve"> COMMUS_Model!AK$812</f>
        <v>20.08167676207114</v>
      </c>
      <c r="AL55" s="704">
        <f xml:space="preserve"> COMMUS_Model!AL$812</f>
        <v>0</v>
      </c>
      <c r="AM55" s="704">
        <f xml:space="preserve"> COMMUS_Model!AM$812</f>
        <v>0</v>
      </c>
      <c r="AN55" s="704">
        <f xml:space="preserve"> COMMUS_Model!AN$812</f>
        <v>0</v>
      </c>
      <c r="AO55" s="704">
        <f xml:space="preserve"> COMMUS_Model!AO$812</f>
        <v>0</v>
      </c>
      <c r="AP55" s="704">
        <f xml:space="preserve"> COMMUS_Model!AP$812</f>
        <v>0</v>
      </c>
      <c r="AQ55" s="704">
        <f xml:space="preserve"> COMMUS_Model!AQ$812</f>
        <v>0</v>
      </c>
      <c r="AR55" s="704">
        <f xml:space="preserve"> COMMUS_Model!AR$812</f>
        <v>0</v>
      </c>
      <c r="AS55" s="704">
        <f xml:space="preserve"> COMMUS_Model!AS$812</f>
        <v>0</v>
      </c>
    </row>
    <row r="56" spans="1:45" ht="15" customHeight="1" x14ac:dyDescent="0.3">
      <c r="AL56" s="448"/>
      <c r="AM56" s="448"/>
      <c r="AN56" s="448"/>
      <c r="AO56" s="448"/>
      <c r="AP56" s="448"/>
      <c r="AQ56" s="448"/>
      <c r="AR56" s="448"/>
      <c r="AS56" s="448"/>
    </row>
    <row r="57" spans="1:45" ht="15" customHeight="1" x14ac:dyDescent="0.3">
      <c r="B57" s="446" t="s">
        <v>671</v>
      </c>
      <c r="AL57" s="448"/>
      <c r="AM57" s="448"/>
      <c r="AN57" s="448"/>
      <c r="AO57" s="448"/>
      <c r="AP57" s="448"/>
      <c r="AQ57" s="448"/>
      <c r="AR57" s="448"/>
      <c r="AS57" s="448"/>
    </row>
    <row r="58" spans="1:45" ht="15" customHeight="1" x14ac:dyDescent="0.3">
      <c r="E58" s="597" t="str">
        <f xml:space="preserve"> COMMUS_Model!E$925</f>
        <v>Net debt cashflows: borrower</v>
      </c>
      <c r="F58" s="597">
        <f xml:space="preserve"> COMMUS_Model!F$925</f>
        <v>0</v>
      </c>
      <c r="G58" s="597" t="str">
        <f xml:space="preserve"> COMMUS_Model!G$925</f>
        <v>$ mn</v>
      </c>
      <c r="H58" s="597">
        <f xml:space="preserve"> COMMUS_Model!H$925</f>
        <v>0</v>
      </c>
      <c r="I58" s="597">
        <f xml:space="preserve"> COMMUS_Model!I$925</f>
        <v>-39.11193999999999</v>
      </c>
      <c r="J58" s="597">
        <f xml:space="preserve"> COMMUS_Model!J$925</f>
        <v>0</v>
      </c>
      <c r="K58" s="597">
        <f xml:space="preserve"> COMMUS_Model!K$925</f>
        <v>0</v>
      </c>
      <c r="L58" s="597">
        <f xml:space="preserve"> COMMUS_Model!L$925</f>
        <v>0</v>
      </c>
      <c r="M58" s="597">
        <f xml:space="preserve"> COMMUS_Model!M$925</f>
        <v>0</v>
      </c>
      <c r="N58" s="597">
        <f xml:space="preserve"> COMMUS_Model!N$925</f>
        <v>0</v>
      </c>
      <c r="O58" s="597">
        <f xml:space="preserve"> COMMUS_Model!O$925</f>
        <v>0</v>
      </c>
      <c r="P58" s="597">
        <f xml:space="preserve"> COMMUS_Model!P$925</f>
        <v>0</v>
      </c>
      <c r="Q58" s="597">
        <f xml:space="preserve"> COMMUS_Model!Q$925</f>
        <v>0</v>
      </c>
      <c r="R58" s="597">
        <f xml:space="preserve"> COMMUS_Model!R$925</f>
        <v>0</v>
      </c>
      <c r="S58" s="597">
        <f xml:space="preserve"> COMMUS_Model!S$925</f>
        <v>0</v>
      </c>
      <c r="T58" s="597">
        <f xml:space="preserve"> COMMUS_Model!T$925</f>
        <v>0</v>
      </c>
      <c r="U58" s="597">
        <f xml:space="preserve"> COMMUS_Model!U$925</f>
        <v>0</v>
      </c>
      <c r="V58" s="597">
        <f xml:space="preserve"> COMMUS_Model!V$925</f>
        <v>99</v>
      </c>
      <c r="W58" s="597">
        <f xml:space="preserve"> COMMUS_Model!W$925</f>
        <v>301</v>
      </c>
      <c r="X58" s="597">
        <f xml:space="preserve"> COMMUS_Model!X$925</f>
        <v>-64.721999999999994</v>
      </c>
      <c r="Y58" s="597">
        <f xml:space="preserve"> COMMUS_Model!Y$925</f>
        <v>-112.85872000000001</v>
      </c>
      <c r="Z58" s="597">
        <f xml:space="preserve"> COMMUS_Model!Z$925</f>
        <v>-178.12072000000001</v>
      </c>
      <c r="AA58" s="597">
        <f xml:space="preserve"> COMMUS_Model!AA$925</f>
        <v>-17.8035</v>
      </c>
      <c r="AB58" s="597">
        <f xml:space="preserve"> COMMUS_Model!AB$925</f>
        <v>-17.242799999999999</v>
      </c>
      <c r="AC58" s="597">
        <f xml:space="preserve"> COMMUS_Model!AC$925</f>
        <v>-16.682099999999998</v>
      </c>
      <c r="AD58" s="597">
        <f xml:space="preserve"> COMMUS_Model!AD$925</f>
        <v>-16.121400000000001</v>
      </c>
      <c r="AE58" s="597">
        <f xml:space="preserve"> COMMUS_Model!AE$925</f>
        <v>-15.560700000000001</v>
      </c>
      <c r="AF58" s="597">
        <f xml:space="preserve"> COMMUS_Model!AF$925</f>
        <v>0</v>
      </c>
      <c r="AG58" s="597">
        <f xml:space="preserve"> COMMUS_Model!AG$925</f>
        <v>0</v>
      </c>
      <c r="AH58" s="597">
        <f xml:space="preserve"> COMMUS_Model!AH$925</f>
        <v>0</v>
      </c>
      <c r="AI58" s="597">
        <f xml:space="preserve"> COMMUS_Model!AI$925</f>
        <v>0</v>
      </c>
      <c r="AJ58" s="597">
        <f xml:space="preserve"> COMMUS_Model!AJ$925</f>
        <v>0</v>
      </c>
      <c r="AK58" s="597">
        <f xml:space="preserve"> COMMUS_Model!AK$925</f>
        <v>0</v>
      </c>
      <c r="AL58" s="597">
        <f xml:space="preserve"> COMMUS_Model!AL$925</f>
        <v>0</v>
      </c>
      <c r="AM58" s="597">
        <f xml:space="preserve"> COMMUS_Model!AM$925</f>
        <v>0</v>
      </c>
      <c r="AN58" s="597">
        <f xml:space="preserve"> COMMUS_Model!AN$925</f>
        <v>0</v>
      </c>
      <c r="AO58" s="597">
        <f xml:space="preserve"> COMMUS_Model!AO$925</f>
        <v>0</v>
      </c>
      <c r="AP58" s="597">
        <f xml:space="preserve"> COMMUS_Model!AP$925</f>
        <v>0</v>
      </c>
      <c r="AQ58" s="597">
        <f xml:space="preserve"> COMMUS_Model!AQ$925</f>
        <v>0</v>
      </c>
      <c r="AR58" s="597">
        <f xml:space="preserve"> COMMUS_Model!AR$925</f>
        <v>0</v>
      </c>
      <c r="AS58" s="597">
        <f xml:space="preserve"> COMMUS_Model!AS$925</f>
        <v>0</v>
      </c>
    </row>
    <row r="59" spans="1:45" ht="15" customHeight="1" x14ac:dyDescent="0.3">
      <c r="E59" s="597" t="str">
        <f xml:space="preserve"> COMMUS_Model!E$938</f>
        <v>Cashflow after debt</v>
      </c>
      <c r="F59" s="597">
        <f xml:space="preserve"> COMMUS_Model!F$938</f>
        <v>0</v>
      </c>
      <c r="G59" s="597" t="str">
        <f xml:space="preserve"> COMMUS_Model!G$938</f>
        <v>$ mn</v>
      </c>
      <c r="H59" s="597">
        <f xml:space="preserve"> COMMUS_Model!H$938</f>
        <v>0</v>
      </c>
      <c r="I59" s="597">
        <f xml:space="preserve"> COMMUS_Model!I$938</f>
        <v>2978.1885937171096</v>
      </c>
      <c r="J59" s="597">
        <f xml:space="preserve"> COMMUS_Model!J$938</f>
        <v>0</v>
      </c>
      <c r="K59" s="597">
        <f xml:space="preserve"> COMMUS_Model!K$938</f>
        <v>0</v>
      </c>
      <c r="L59" s="597">
        <f xml:space="preserve"> COMMUS_Model!L$938</f>
        <v>0</v>
      </c>
      <c r="M59" s="597">
        <f xml:space="preserve"> COMMUS_Model!M$938</f>
        <v>0</v>
      </c>
      <c r="N59" s="597">
        <f xml:space="preserve"> COMMUS_Model!N$938</f>
        <v>0</v>
      </c>
      <c r="O59" s="597">
        <f xml:space="preserve"> COMMUS_Model!O$938</f>
        <v>0</v>
      </c>
      <c r="P59" s="597">
        <f xml:space="preserve"> COMMUS_Model!P$938</f>
        <v>0</v>
      </c>
      <c r="Q59" s="597">
        <f xml:space="preserve"> COMMUS_Model!Q$938</f>
        <v>0</v>
      </c>
      <c r="R59" s="597">
        <f xml:space="preserve"> COMMUS_Model!R$938</f>
        <v>0</v>
      </c>
      <c r="S59" s="597">
        <f xml:space="preserve"> COMMUS_Model!S$938</f>
        <v>0</v>
      </c>
      <c r="T59" s="597">
        <f xml:space="preserve"> COMMUS_Model!T$938</f>
        <v>0</v>
      </c>
      <c r="U59" s="597">
        <f xml:space="preserve"> COMMUS_Model!U$938</f>
        <v>0</v>
      </c>
      <c r="V59" s="597">
        <f xml:space="preserve"> COMMUS_Model!V$938</f>
        <v>-137.34949621499999</v>
      </c>
      <c r="W59" s="597">
        <f xml:space="preserve"> COMMUS_Model!W$938</f>
        <v>342.43765286599995</v>
      </c>
      <c r="X59" s="597">
        <f xml:space="preserve"> COMMUS_Model!X$938</f>
        <v>-52.482012691060348</v>
      </c>
      <c r="Y59" s="597">
        <f xml:space="preserve"> COMMUS_Model!Y$938</f>
        <v>157.39968738987051</v>
      </c>
      <c r="Z59" s="597">
        <f xml:space="preserve"> COMMUS_Model!Z$938</f>
        <v>345.66927130766521</v>
      </c>
      <c r="AA59" s="597">
        <f xml:space="preserve"> COMMUS_Model!AA$938</f>
        <v>237.79105582602085</v>
      </c>
      <c r="AB59" s="597">
        <f xml:space="preserve"> COMMUS_Model!AB$938</f>
        <v>272.16878699931056</v>
      </c>
      <c r="AC59" s="597">
        <f xml:space="preserve"> COMMUS_Model!AC$938</f>
        <v>63.462690395657766</v>
      </c>
      <c r="AD59" s="597">
        <f xml:space="preserve"> COMMUS_Model!AD$938</f>
        <v>291.84032245477442</v>
      </c>
      <c r="AE59" s="597">
        <f xml:space="preserve"> COMMUS_Model!AE$938</f>
        <v>278.40325222666002</v>
      </c>
      <c r="AF59" s="597">
        <f xml:space="preserve"> COMMUS_Model!AF$938</f>
        <v>285.38294518749819</v>
      </c>
      <c r="AG59" s="597">
        <f xml:space="preserve"> COMMUS_Model!AG$938</f>
        <v>273.07076192880447</v>
      </c>
      <c r="AH59" s="597">
        <f xml:space="preserve"> COMMUS_Model!AH$938</f>
        <v>261.64757300035421</v>
      </c>
      <c r="AI59" s="597">
        <f xml:space="preserve"> COMMUS_Model!AI$938</f>
        <v>151.83858618490524</v>
      </c>
      <c r="AJ59" s="597">
        <f xml:space="preserve"> COMMUS_Model!AJ$938</f>
        <v>186.82584009357686</v>
      </c>
      <c r="AK59" s="597">
        <f xml:space="preserve"> COMMUS_Model!AK$938</f>
        <v>20.08167676207114</v>
      </c>
      <c r="AL59" s="597">
        <f xml:space="preserve"> COMMUS_Model!AL$938</f>
        <v>0</v>
      </c>
      <c r="AM59" s="597">
        <f xml:space="preserve"> COMMUS_Model!AM$938</f>
        <v>0</v>
      </c>
      <c r="AN59" s="597">
        <f xml:space="preserve"> COMMUS_Model!AN$938</f>
        <v>0</v>
      </c>
      <c r="AO59" s="597">
        <f xml:space="preserve"> COMMUS_Model!AO$938</f>
        <v>0</v>
      </c>
      <c r="AP59" s="597">
        <f xml:space="preserve"> COMMUS_Model!AP$938</f>
        <v>0</v>
      </c>
      <c r="AQ59" s="597">
        <f xml:space="preserve"> COMMUS_Model!AQ$938</f>
        <v>0</v>
      </c>
      <c r="AR59" s="597">
        <f xml:space="preserve"> COMMUS_Model!AR$938</f>
        <v>0</v>
      </c>
      <c r="AS59" s="597">
        <f xml:space="preserve"> COMMUS_Model!AS$938</f>
        <v>0</v>
      </c>
    </row>
    <row r="60" spans="1:45" ht="15" customHeight="1" x14ac:dyDescent="0.3">
      <c r="A60" s="506"/>
      <c r="B60" s="506"/>
      <c r="C60" s="507"/>
      <c r="D60" s="88"/>
      <c r="E60" s="88" t="str">
        <f>"Check: " &amp; E59</f>
        <v>Check: Cashflow after debt</v>
      </c>
      <c r="F60" s="708">
        <f xml:space="preserve"> SUM(Q60:AV60)</f>
        <v>0</v>
      </c>
      <c r="G60" s="88" t="s">
        <v>509</v>
      </c>
      <c r="H60" s="88"/>
      <c r="I60" s="424"/>
      <c r="J60" s="88"/>
      <c r="K60" s="708">
        <f t="shared" ref="K60:O60" si="2" xml:space="preserve"> IF(ABS(K55 + K58 - K59) &gt; CHK_TOL, 1, 0)</f>
        <v>0</v>
      </c>
      <c r="L60" s="708">
        <f t="shared" si="2"/>
        <v>0</v>
      </c>
      <c r="M60" s="708">
        <f t="shared" si="2"/>
        <v>0</v>
      </c>
      <c r="N60" s="708">
        <f t="shared" si="2"/>
        <v>0</v>
      </c>
      <c r="O60" s="708">
        <f t="shared" si="2"/>
        <v>0</v>
      </c>
      <c r="P60" s="708">
        <f t="shared" ref="P60:AP60" si="3" xml:space="preserve"> IF(ABS(P55 + P58 - P59) &gt; CHK_TOL, 1, 0)</f>
        <v>0</v>
      </c>
      <c r="Q60" s="708">
        <f t="shared" si="3"/>
        <v>0</v>
      </c>
      <c r="R60" s="708">
        <f t="shared" si="3"/>
        <v>0</v>
      </c>
      <c r="S60" s="708">
        <f t="shared" si="3"/>
        <v>0</v>
      </c>
      <c r="T60" s="708">
        <f t="shared" si="3"/>
        <v>0</v>
      </c>
      <c r="U60" s="708">
        <f t="shared" si="3"/>
        <v>0</v>
      </c>
      <c r="V60" s="708">
        <f t="shared" si="3"/>
        <v>0</v>
      </c>
      <c r="W60" s="708">
        <f t="shared" si="3"/>
        <v>0</v>
      </c>
      <c r="X60" s="708">
        <f t="shared" si="3"/>
        <v>0</v>
      </c>
      <c r="Y60" s="708">
        <f t="shared" si="3"/>
        <v>0</v>
      </c>
      <c r="Z60" s="708">
        <f t="shared" si="3"/>
        <v>0</v>
      </c>
      <c r="AA60" s="708">
        <f t="shared" si="3"/>
        <v>0</v>
      </c>
      <c r="AB60" s="708">
        <f t="shared" si="3"/>
        <v>0</v>
      </c>
      <c r="AC60" s="708">
        <f t="shared" si="3"/>
        <v>0</v>
      </c>
      <c r="AD60" s="708">
        <f xml:space="preserve"> IF(ABS(AD55 + AD58 - AD59) &gt; CHK_TOL, 1, 0)</f>
        <v>0</v>
      </c>
      <c r="AE60" s="708">
        <f t="shared" si="3"/>
        <v>0</v>
      </c>
      <c r="AF60" s="708">
        <f t="shared" si="3"/>
        <v>0</v>
      </c>
      <c r="AG60" s="708">
        <f t="shared" si="3"/>
        <v>0</v>
      </c>
      <c r="AH60" s="708">
        <f t="shared" si="3"/>
        <v>0</v>
      </c>
      <c r="AI60" s="708">
        <f t="shared" si="3"/>
        <v>0</v>
      </c>
      <c r="AJ60" s="708">
        <f t="shared" si="3"/>
        <v>0</v>
      </c>
      <c r="AK60" s="708">
        <f t="shared" si="3"/>
        <v>0</v>
      </c>
      <c r="AL60" s="708">
        <f t="shared" si="3"/>
        <v>0</v>
      </c>
      <c r="AM60" s="708">
        <f t="shared" si="3"/>
        <v>0</v>
      </c>
      <c r="AN60" s="708">
        <f t="shared" si="3"/>
        <v>0</v>
      </c>
      <c r="AO60" s="708">
        <f t="shared" si="3"/>
        <v>0</v>
      </c>
      <c r="AP60" s="708">
        <f t="shared" si="3"/>
        <v>0</v>
      </c>
      <c r="AQ60" s="708">
        <f t="shared" ref="AQ60:AS60" si="4" xml:space="preserve"> IF(ABS(AQ55 + AQ58 - AQ59) &gt; CHK_TOL, 1, 0)</f>
        <v>0</v>
      </c>
      <c r="AR60" s="708">
        <f t="shared" si="4"/>
        <v>0</v>
      </c>
      <c r="AS60" s="708">
        <f t="shared" si="4"/>
        <v>0</v>
      </c>
    </row>
    <row r="61" spans="1:45" ht="15" customHeight="1" x14ac:dyDescent="0.3">
      <c r="AL61" s="448"/>
      <c r="AM61" s="448"/>
      <c r="AN61" s="448"/>
      <c r="AO61" s="448"/>
      <c r="AP61" s="448"/>
      <c r="AQ61" s="448"/>
      <c r="AR61" s="448"/>
      <c r="AS61" s="448"/>
    </row>
    <row r="62" spans="1:45" ht="15" customHeight="1" x14ac:dyDescent="0.3">
      <c r="B62" s="446" t="s">
        <v>672</v>
      </c>
      <c r="AL62" s="448"/>
      <c r="AM62" s="448"/>
      <c r="AN62" s="448"/>
      <c r="AO62" s="448"/>
      <c r="AP62" s="448"/>
      <c r="AQ62" s="448"/>
      <c r="AR62" s="448"/>
      <c r="AS62" s="448"/>
    </row>
    <row r="63" spans="1:45" ht="15" customHeight="1" x14ac:dyDescent="0.3">
      <c r="E63" s="704" t="str">
        <f xml:space="preserve"> COMMUS_Model!E$971</f>
        <v>Gecamines share of cashflows after repaying loan</v>
      </c>
      <c r="F63" s="704">
        <f xml:space="preserve"> COMMUS_Model!F$971</f>
        <v>0</v>
      </c>
      <c r="G63" s="704" t="str">
        <f xml:space="preserve"> COMMUS_Model!G$971</f>
        <v>$ mn</v>
      </c>
      <c r="H63" s="704">
        <f xml:space="preserve"> COMMUS_Model!H$971</f>
        <v>0</v>
      </c>
      <c r="I63" s="704">
        <f xml:space="preserve"> COMMUS_Model!I$971</f>
        <v>921.83851310159503</v>
      </c>
      <c r="J63" s="704">
        <f xml:space="preserve"> COMMUS_Model!J$971</f>
        <v>0</v>
      </c>
      <c r="K63" s="704">
        <f xml:space="preserve"> COMMUS_Model!K$971</f>
        <v>0</v>
      </c>
      <c r="L63" s="704">
        <f xml:space="preserve"> COMMUS_Model!L$971</f>
        <v>0</v>
      </c>
      <c r="M63" s="704">
        <f xml:space="preserve"> COMMUS_Model!M$971</f>
        <v>0</v>
      </c>
      <c r="N63" s="704">
        <f xml:space="preserve"> COMMUS_Model!N$971</f>
        <v>0</v>
      </c>
      <c r="O63" s="704">
        <f xml:space="preserve"> COMMUS_Model!O$971</f>
        <v>0</v>
      </c>
      <c r="P63" s="704">
        <f xml:space="preserve"> COMMUS_Model!P$971</f>
        <v>0</v>
      </c>
      <c r="Q63" s="704">
        <f xml:space="preserve"> COMMUS_Model!Q$971</f>
        <v>0</v>
      </c>
      <c r="R63" s="704">
        <f xml:space="preserve"> COMMUS_Model!R$971</f>
        <v>0</v>
      </c>
      <c r="S63" s="704">
        <f xml:space="preserve"> COMMUS_Model!S$971</f>
        <v>0</v>
      </c>
      <c r="T63" s="704">
        <f xml:space="preserve"> COMMUS_Model!T$971</f>
        <v>0</v>
      </c>
      <c r="U63" s="704">
        <f xml:space="preserve"> COMMUS_Model!U$971</f>
        <v>0</v>
      </c>
      <c r="V63" s="704">
        <f xml:space="preserve"> COMMUS_Model!V$971</f>
        <v>0</v>
      </c>
      <c r="W63" s="704">
        <f xml:space="preserve"> COMMUS_Model!W$971</f>
        <v>55.314913606598815</v>
      </c>
      <c r="X63" s="704">
        <f xml:space="preserve"> COMMUS_Model!X$971</f>
        <v>0</v>
      </c>
      <c r="Y63" s="704">
        <f xml:space="preserve"> COMMUS_Model!Y$971</f>
        <v>28.804743620437343</v>
      </c>
      <c r="Z63" s="704">
        <f xml:space="preserve"> COMMUS_Model!Z$971</f>
        <v>96.787395966146264</v>
      </c>
      <c r="AA63" s="704">
        <f xml:space="preserve"> COMMUS_Model!AA$971</f>
        <v>66.581495631285847</v>
      </c>
      <c r="AB63" s="704">
        <f xml:space="preserve"> COMMUS_Model!AB$971</f>
        <v>76.207260359806966</v>
      </c>
      <c r="AC63" s="704">
        <f xml:space="preserve"> COMMUS_Model!AC$971</f>
        <v>20.942687830567063</v>
      </c>
      <c r="AD63" s="704">
        <f xml:space="preserve"> COMMUS_Model!AD$971</f>
        <v>96.307306410075569</v>
      </c>
      <c r="AE63" s="704">
        <f xml:space="preserve"> COMMUS_Model!AE$971</f>
        <v>91.873073234797815</v>
      </c>
      <c r="AF63" s="704">
        <f xml:space="preserve"> COMMUS_Model!AF$971</f>
        <v>94.176371911874412</v>
      </c>
      <c r="AG63" s="704">
        <f xml:space="preserve"> COMMUS_Model!AG$971</f>
        <v>90.113351436505482</v>
      </c>
      <c r="AH63" s="704">
        <f xml:space="preserve"> COMMUS_Model!AH$971</f>
        <v>86.3436990901169</v>
      </c>
      <c r="AI63" s="704">
        <f xml:space="preserve"> COMMUS_Model!AI$971</f>
        <v>50.106733441018733</v>
      </c>
      <c r="AJ63" s="704">
        <f xml:space="preserve"> COMMUS_Model!AJ$971</f>
        <v>61.652527230880366</v>
      </c>
      <c r="AK63" s="704">
        <f xml:space="preserve"> COMMUS_Model!AK$971</f>
        <v>6.6269533314834765</v>
      </c>
      <c r="AL63" s="704">
        <f xml:space="preserve"> COMMUS_Model!AL$971</f>
        <v>0</v>
      </c>
      <c r="AM63" s="704">
        <f xml:space="preserve"> COMMUS_Model!AM$971</f>
        <v>0</v>
      </c>
      <c r="AN63" s="704">
        <f xml:space="preserve"> COMMUS_Model!AN$971</f>
        <v>0</v>
      </c>
      <c r="AO63" s="704">
        <f xml:space="preserve"> COMMUS_Model!AO$971</f>
        <v>0</v>
      </c>
      <c r="AP63" s="704">
        <f xml:space="preserve"> COMMUS_Model!AP$971</f>
        <v>0</v>
      </c>
      <c r="AQ63" s="704">
        <f xml:space="preserve"> COMMUS_Model!AQ$971</f>
        <v>0</v>
      </c>
      <c r="AR63" s="704">
        <f xml:space="preserve"> COMMUS_Model!AR$971</f>
        <v>0</v>
      </c>
      <c r="AS63" s="704">
        <f xml:space="preserve"> COMMUS_Model!AS$971</f>
        <v>0</v>
      </c>
    </row>
    <row r="64" spans="1:45" ht="15" customHeight="1" x14ac:dyDescent="0.3">
      <c r="E64" s="704" t="str">
        <f xml:space="preserve"> COMMUS_Model!E$979</f>
        <v>Zijin net cashflows</v>
      </c>
      <c r="F64" s="704">
        <f xml:space="preserve"> COMMUS_Model!F$979</f>
        <v>0</v>
      </c>
      <c r="G64" s="704" t="str">
        <f xml:space="preserve"> COMMUS_Model!G$979</f>
        <v>$ mn</v>
      </c>
      <c r="H64" s="704">
        <f xml:space="preserve"> COMMUS_Model!H$979</f>
        <v>0</v>
      </c>
      <c r="I64" s="704">
        <f xml:space="preserve"> COMMUS_Model!I$979</f>
        <v>2056.3500806155139</v>
      </c>
      <c r="J64" s="704">
        <f xml:space="preserve"> COMMUS_Model!J$979</f>
        <v>0</v>
      </c>
      <c r="K64" s="704">
        <f xml:space="preserve"> COMMUS_Model!K$979</f>
        <v>0</v>
      </c>
      <c r="L64" s="704">
        <f xml:space="preserve"> COMMUS_Model!L$979</f>
        <v>0</v>
      </c>
      <c r="M64" s="704">
        <f xml:space="preserve"> COMMUS_Model!M$979</f>
        <v>0</v>
      </c>
      <c r="N64" s="704">
        <f xml:space="preserve"> COMMUS_Model!N$979</f>
        <v>0</v>
      </c>
      <c r="O64" s="704">
        <f xml:space="preserve"> COMMUS_Model!O$979</f>
        <v>0</v>
      </c>
      <c r="P64" s="704">
        <f xml:space="preserve"> COMMUS_Model!P$979</f>
        <v>0</v>
      </c>
      <c r="Q64" s="704">
        <f xml:space="preserve"> COMMUS_Model!Q$979</f>
        <v>0</v>
      </c>
      <c r="R64" s="704">
        <f xml:space="preserve"> COMMUS_Model!R$979</f>
        <v>0</v>
      </c>
      <c r="S64" s="704">
        <f xml:space="preserve"> COMMUS_Model!S$979</f>
        <v>0</v>
      </c>
      <c r="T64" s="704">
        <f xml:space="preserve"> COMMUS_Model!T$979</f>
        <v>0</v>
      </c>
      <c r="U64" s="704">
        <f xml:space="preserve"> COMMUS_Model!U$979</f>
        <v>0</v>
      </c>
      <c r="V64" s="704">
        <f xml:space="preserve"> COMMUS_Model!V$979</f>
        <v>-137.34949621499999</v>
      </c>
      <c r="W64" s="704">
        <f xml:space="preserve"> COMMUS_Model!W$979</f>
        <v>287.12273925940116</v>
      </c>
      <c r="X64" s="704">
        <f xml:space="preserve"> COMMUS_Model!X$979</f>
        <v>-52.482012691060348</v>
      </c>
      <c r="Y64" s="704">
        <f xml:space="preserve"> COMMUS_Model!Y$979</f>
        <v>128.59494376943317</v>
      </c>
      <c r="Z64" s="704">
        <f xml:space="preserve"> COMMUS_Model!Z$979</f>
        <v>248.88187534151893</v>
      </c>
      <c r="AA64" s="704">
        <f xml:space="preserve"> COMMUS_Model!AA$979</f>
        <v>171.20956019473499</v>
      </c>
      <c r="AB64" s="704">
        <f xml:space="preserve"> COMMUS_Model!AB$979</f>
        <v>195.96152663950357</v>
      </c>
      <c r="AC64" s="704">
        <f xml:space="preserve"> COMMUS_Model!AC$979</f>
        <v>42.520002565090707</v>
      </c>
      <c r="AD64" s="704">
        <f xml:space="preserve"> COMMUS_Model!AD$979</f>
        <v>195.53301604469885</v>
      </c>
      <c r="AE64" s="704">
        <f xml:space="preserve"> COMMUS_Model!AE$979</f>
        <v>186.53017899186221</v>
      </c>
      <c r="AF64" s="704">
        <f xml:space="preserve"> COMMUS_Model!AF$979</f>
        <v>191.20657327562378</v>
      </c>
      <c r="AG64" s="704">
        <f xml:space="preserve"> COMMUS_Model!AG$979</f>
        <v>182.957410492299</v>
      </c>
      <c r="AH64" s="704">
        <f xml:space="preserve"> COMMUS_Model!AH$979</f>
        <v>175.30387391023731</v>
      </c>
      <c r="AI64" s="704">
        <f xml:space="preserve"> COMMUS_Model!AI$979</f>
        <v>101.73185274388651</v>
      </c>
      <c r="AJ64" s="704">
        <f xml:space="preserve"> COMMUS_Model!AJ$979</f>
        <v>125.17331286269649</v>
      </c>
      <c r="AK64" s="704">
        <f xml:space="preserve"> COMMUS_Model!AK$979</f>
        <v>13.454723430587663</v>
      </c>
      <c r="AL64" s="704">
        <f xml:space="preserve"> COMMUS_Model!AL$979</f>
        <v>0</v>
      </c>
      <c r="AM64" s="704">
        <f xml:space="preserve"> COMMUS_Model!AM$979</f>
        <v>0</v>
      </c>
      <c r="AN64" s="704">
        <f xml:space="preserve"> COMMUS_Model!AN$979</f>
        <v>0</v>
      </c>
      <c r="AO64" s="704">
        <f xml:space="preserve"> COMMUS_Model!AO$979</f>
        <v>0</v>
      </c>
      <c r="AP64" s="704">
        <f xml:space="preserve"> COMMUS_Model!AP$979</f>
        <v>0</v>
      </c>
      <c r="AQ64" s="704">
        <f xml:space="preserve"> COMMUS_Model!AQ$979</f>
        <v>0</v>
      </c>
      <c r="AR64" s="704">
        <f xml:space="preserve"> COMMUS_Model!AR$979</f>
        <v>0</v>
      </c>
      <c r="AS64" s="704">
        <f xml:space="preserve"> COMMUS_Model!AS$979</f>
        <v>0</v>
      </c>
    </row>
    <row r="65" spans="1:45" ht="15" customHeight="1" x14ac:dyDescent="0.3">
      <c r="A65" s="506"/>
      <c r="B65" s="506"/>
      <c r="C65" s="507"/>
      <c r="D65" s="88"/>
      <c r="E65" s="88" t="str">
        <f>"Check: " &amp; E64</f>
        <v>Check: Zijin net cashflows</v>
      </c>
      <c r="F65" s="708">
        <f xml:space="preserve"> SUM(Q65:AV65)</f>
        <v>0</v>
      </c>
      <c r="G65" s="88" t="s">
        <v>509</v>
      </c>
      <c r="H65" s="88"/>
      <c r="I65" s="424"/>
      <c r="J65" s="88"/>
      <c r="K65" s="708">
        <f t="shared" ref="K65:O65" si="5" xml:space="preserve"> IF(ABS(K59 - K63 - K64) &gt; CHK_TOL, 1, 0)</f>
        <v>0</v>
      </c>
      <c r="L65" s="708">
        <f t="shared" si="5"/>
        <v>0</v>
      </c>
      <c r="M65" s="708">
        <f t="shared" si="5"/>
        <v>0</v>
      </c>
      <c r="N65" s="708">
        <f t="shared" si="5"/>
        <v>0</v>
      </c>
      <c r="O65" s="708">
        <f t="shared" si="5"/>
        <v>0</v>
      </c>
      <c r="P65" s="708">
        <f t="shared" ref="P65:AP65" si="6" xml:space="preserve"> IF(ABS(P59 - P63 - P64) &gt; CHK_TOL, 1, 0)</f>
        <v>0</v>
      </c>
      <c r="Q65" s="708">
        <f t="shared" si="6"/>
        <v>0</v>
      </c>
      <c r="R65" s="708">
        <f t="shared" si="6"/>
        <v>0</v>
      </c>
      <c r="S65" s="708">
        <f t="shared" si="6"/>
        <v>0</v>
      </c>
      <c r="T65" s="708">
        <f t="shared" si="6"/>
        <v>0</v>
      </c>
      <c r="U65" s="708">
        <f t="shared" si="6"/>
        <v>0</v>
      </c>
      <c r="V65" s="708">
        <f t="shared" si="6"/>
        <v>0</v>
      </c>
      <c r="W65" s="708">
        <f t="shared" si="6"/>
        <v>0</v>
      </c>
      <c r="X65" s="708">
        <f t="shared" si="6"/>
        <v>0</v>
      </c>
      <c r="Y65" s="708">
        <f t="shared" si="6"/>
        <v>0</v>
      </c>
      <c r="Z65" s="708">
        <f t="shared" si="6"/>
        <v>0</v>
      </c>
      <c r="AA65" s="708">
        <f t="shared" si="6"/>
        <v>0</v>
      </c>
      <c r="AB65" s="708">
        <f t="shared" si="6"/>
        <v>0</v>
      </c>
      <c r="AC65" s="708">
        <f t="shared" si="6"/>
        <v>0</v>
      </c>
      <c r="AD65" s="708">
        <f t="shared" si="6"/>
        <v>0</v>
      </c>
      <c r="AE65" s="708">
        <f t="shared" si="6"/>
        <v>0</v>
      </c>
      <c r="AF65" s="708">
        <f t="shared" si="6"/>
        <v>0</v>
      </c>
      <c r="AG65" s="708">
        <f t="shared" si="6"/>
        <v>0</v>
      </c>
      <c r="AH65" s="708">
        <f t="shared" si="6"/>
        <v>0</v>
      </c>
      <c r="AI65" s="708">
        <f t="shared" si="6"/>
        <v>0</v>
      </c>
      <c r="AJ65" s="708">
        <f t="shared" si="6"/>
        <v>0</v>
      </c>
      <c r="AK65" s="708">
        <f t="shared" si="6"/>
        <v>0</v>
      </c>
      <c r="AL65" s="708">
        <f t="shared" si="6"/>
        <v>0</v>
      </c>
      <c r="AM65" s="708">
        <f t="shared" si="6"/>
        <v>0</v>
      </c>
      <c r="AN65" s="708">
        <f t="shared" si="6"/>
        <v>0</v>
      </c>
      <c r="AO65" s="708">
        <f t="shared" si="6"/>
        <v>0</v>
      </c>
      <c r="AP65" s="708">
        <f t="shared" si="6"/>
        <v>0</v>
      </c>
      <c r="AQ65" s="708">
        <f t="shared" ref="AQ65:AS65" si="7" xml:space="preserve"> IF(ABS(AQ59 - AQ63 - AQ64) &gt; CHK_TOL, 1, 0)</f>
        <v>0</v>
      </c>
      <c r="AR65" s="708">
        <f t="shared" si="7"/>
        <v>0</v>
      </c>
      <c r="AS65" s="708">
        <f t="shared" si="7"/>
        <v>0</v>
      </c>
    </row>
    <row r="66" spans="1:45" ht="15" customHeight="1" x14ac:dyDescent="0.3">
      <c r="AL66" s="448"/>
      <c r="AM66" s="448"/>
      <c r="AN66" s="448"/>
      <c r="AO66" s="448"/>
      <c r="AP66" s="448"/>
      <c r="AQ66" s="448"/>
      <c r="AR66" s="448"/>
      <c r="AS66" s="448"/>
    </row>
    <row r="67" spans="1:45" ht="15" customHeight="1" x14ac:dyDescent="0.3">
      <c r="B67" s="446" t="s">
        <v>673</v>
      </c>
      <c r="AL67" s="448"/>
      <c r="AM67" s="448"/>
      <c r="AN67" s="448"/>
      <c r="AO67" s="448"/>
      <c r="AP67" s="448"/>
      <c r="AQ67" s="448"/>
      <c r="AR67" s="448"/>
      <c r="AS67" s="448"/>
    </row>
    <row r="68" spans="1:45" ht="15" customHeight="1" x14ac:dyDescent="0.3">
      <c r="E68" s="704" t="str">
        <f xml:space="preserve"> COMMUS_Model!E$979</f>
        <v>Zijin net cashflows</v>
      </c>
      <c r="F68" s="704">
        <f xml:space="preserve"> COMMUS_Model!F$979</f>
        <v>0</v>
      </c>
      <c r="G68" s="704" t="str">
        <f xml:space="preserve"> COMMUS_Model!G$979</f>
        <v>$ mn</v>
      </c>
      <c r="H68" s="704">
        <f xml:space="preserve"> COMMUS_Model!H$979</f>
        <v>0</v>
      </c>
      <c r="I68" s="704">
        <f xml:space="preserve"> COMMUS_Model!I$979</f>
        <v>2056.3500806155139</v>
      </c>
      <c r="J68" s="704">
        <f xml:space="preserve"> COMMUS_Model!J$979</f>
        <v>0</v>
      </c>
      <c r="K68" s="704">
        <f xml:space="preserve"> COMMUS_Model!K$979</f>
        <v>0</v>
      </c>
      <c r="L68" s="704">
        <f xml:space="preserve"> COMMUS_Model!L$979</f>
        <v>0</v>
      </c>
      <c r="M68" s="704">
        <f xml:space="preserve"> COMMUS_Model!M$979</f>
        <v>0</v>
      </c>
      <c r="N68" s="704">
        <f xml:space="preserve"> COMMUS_Model!N$979</f>
        <v>0</v>
      </c>
      <c r="O68" s="704">
        <f xml:space="preserve"> COMMUS_Model!O$979</f>
        <v>0</v>
      </c>
      <c r="P68" s="704">
        <f xml:space="preserve"> COMMUS_Model!P$979</f>
        <v>0</v>
      </c>
      <c r="Q68" s="704">
        <f xml:space="preserve"> COMMUS_Model!Q$979</f>
        <v>0</v>
      </c>
      <c r="R68" s="704">
        <f xml:space="preserve"> COMMUS_Model!R$979</f>
        <v>0</v>
      </c>
      <c r="S68" s="704">
        <f xml:space="preserve"> COMMUS_Model!S$979</f>
        <v>0</v>
      </c>
      <c r="T68" s="704">
        <f xml:space="preserve"> COMMUS_Model!T$979</f>
        <v>0</v>
      </c>
      <c r="U68" s="704">
        <f xml:space="preserve"> COMMUS_Model!U$979</f>
        <v>0</v>
      </c>
      <c r="V68" s="704">
        <f xml:space="preserve"> COMMUS_Model!V$979</f>
        <v>-137.34949621499999</v>
      </c>
      <c r="W68" s="704">
        <f xml:space="preserve"> COMMUS_Model!W$979</f>
        <v>287.12273925940116</v>
      </c>
      <c r="X68" s="704">
        <f xml:space="preserve"> COMMUS_Model!X$979</f>
        <v>-52.482012691060348</v>
      </c>
      <c r="Y68" s="704">
        <f xml:space="preserve"> COMMUS_Model!Y$979</f>
        <v>128.59494376943317</v>
      </c>
      <c r="Z68" s="704">
        <f xml:space="preserve"> COMMUS_Model!Z$979</f>
        <v>248.88187534151893</v>
      </c>
      <c r="AA68" s="704">
        <f xml:space="preserve"> COMMUS_Model!AA$979</f>
        <v>171.20956019473499</v>
      </c>
      <c r="AB68" s="704">
        <f xml:space="preserve"> COMMUS_Model!AB$979</f>
        <v>195.96152663950357</v>
      </c>
      <c r="AC68" s="704">
        <f xml:space="preserve"> COMMUS_Model!AC$979</f>
        <v>42.520002565090707</v>
      </c>
      <c r="AD68" s="704">
        <f xml:space="preserve"> COMMUS_Model!AD$979</f>
        <v>195.53301604469885</v>
      </c>
      <c r="AE68" s="704">
        <f xml:space="preserve"> COMMUS_Model!AE$979</f>
        <v>186.53017899186221</v>
      </c>
      <c r="AF68" s="704">
        <f xml:space="preserve"> COMMUS_Model!AF$979</f>
        <v>191.20657327562378</v>
      </c>
      <c r="AG68" s="704">
        <f xml:space="preserve"> COMMUS_Model!AG$979</f>
        <v>182.957410492299</v>
      </c>
      <c r="AH68" s="704">
        <f xml:space="preserve"> COMMUS_Model!AH$979</f>
        <v>175.30387391023731</v>
      </c>
      <c r="AI68" s="704">
        <f xml:space="preserve"> COMMUS_Model!AI$979</f>
        <v>101.73185274388651</v>
      </c>
      <c r="AJ68" s="704">
        <f xml:space="preserve"> COMMUS_Model!AJ$979</f>
        <v>125.17331286269649</v>
      </c>
      <c r="AK68" s="704">
        <f xml:space="preserve"> COMMUS_Model!AK$979</f>
        <v>13.454723430587663</v>
      </c>
      <c r="AL68" s="704">
        <f xml:space="preserve"> COMMUS_Model!AL$979</f>
        <v>0</v>
      </c>
      <c r="AM68" s="704">
        <f xml:space="preserve"> COMMUS_Model!AM$979</f>
        <v>0</v>
      </c>
      <c r="AN68" s="704">
        <f xml:space="preserve"> COMMUS_Model!AN$979</f>
        <v>0</v>
      </c>
      <c r="AO68" s="704">
        <f xml:space="preserve"> COMMUS_Model!AO$979</f>
        <v>0</v>
      </c>
      <c r="AP68" s="704">
        <f xml:space="preserve"> COMMUS_Model!AP$979</f>
        <v>0</v>
      </c>
      <c r="AQ68" s="704">
        <f xml:space="preserve"> COMMUS_Model!AQ$979</f>
        <v>0</v>
      </c>
      <c r="AR68" s="704">
        <f xml:space="preserve"> COMMUS_Model!AR$979</f>
        <v>0</v>
      </c>
      <c r="AS68" s="704">
        <f xml:space="preserve"> COMMUS_Model!AS$979</f>
        <v>0</v>
      </c>
    </row>
    <row r="69" spans="1:45" ht="15" customHeight="1" x14ac:dyDescent="0.3">
      <c r="A69" s="112"/>
      <c r="B69" s="112"/>
      <c r="C69" s="113"/>
      <c r="D69" s="42"/>
      <c r="E69" s="104" t="str">
        <f xml:space="preserve"> COMMUS_Model!E$983</f>
        <v>Dividend withholding tax</v>
      </c>
      <c r="F69" s="104">
        <f xml:space="preserve"> COMMUS_Model!F$983</f>
        <v>0</v>
      </c>
      <c r="G69" s="104" t="str">
        <f xml:space="preserve"> COMMUS_Model!G$983</f>
        <v>$ mn</v>
      </c>
      <c r="H69" s="104">
        <f xml:space="preserve"> COMMUS_Model!H$983</f>
        <v>0</v>
      </c>
      <c r="I69" s="104">
        <f xml:space="preserve"> COMMUS_Model!I$983</f>
        <v>224.61815895215742</v>
      </c>
      <c r="J69" s="104">
        <f xml:space="preserve"> COMMUS_Model!J$983</f>
        <v>0</v>
      </c>
      <c r="K69" s="104">
        <f xml:space="preserve"> COMMUS_Model!K$983</f>
        <v>0</v>
      </c>
      <c r="L69" s="104">
        <f xml:space="preserve"> COMMUS_Model!L$983</f>
        <v>0</v>
      </c>
      <c r="M69" s="104">
        <f xml:space="preserve"> COMMUS_Model!M$983</f>
        <v>0</v>
      </c>
      <c r="N69" s="104">
        <f xml:space="preserve"> COMMUS_Model!N$983</f>
        <v>0</v>
      </c>
      <c r="O69" s="104">
        <f xml:space="preserve"> COMMUS_Model!O$983</f>
        <v>0</v>
      </c>
      <c r="P69" s="104">
        <f xml:space="preserve"> COMMUS_Model!P$983</f>
        <v>0</v>
      </c>
      <c r="Q69" s="104">
        <f xml:space="preserve"> COMMUS_Model!Q$983</f>
        <v>0</v>
      </c>
      <c r="R69" s="104">
        <f xml:space="preserve"> COMMUS_Model!R$983</f>
        <v>0</v>
      </c>
      <c r="S69" s="104">
        <f xml:space="preserve"> COMMUS_Model!S$983</f>
        <v>0</v>
      </c>
      <c r="T69" s="104">
        <f xml:space="preserve"> COMMUS_Model!T$983</f>
        <v>0</v>
      </c>
      <c r="U69" s="104">
        <f xml:space="preserve"> COMMUS_Model!U$983</f>
        <v>0</v>
      </c>
      <c r="V69" s="104">
        <f xml:space="preserve"> COMMUS_Model!V$983</f>
        <v>0</v>
      </c>
      <c r="W69" s="104">
        <f xml:space="preserve"> COMMUS_Model!W$983</f>
        <v>28.712273925940117</v>
      </c>
      <c r="X69" s="104">
        <f xml:space="preserve"> COMMUS_Model!X$983</f>
        <v>0</v>
      </c>
      <c r="Y69" s="104">
        <f xml:space="preserve"> COMMUS_Model!Y$983</f>
        <v>12.859494376943317</v>
      </c>
      <c r="Z69" s="104">
        <f xml:space="preserve"> COMMUS_Model!Z$983</f>
        <v>24.888187534151896</v>
      </c>
      <c r="AA69" s="104">
        <f xml:space="preserve"> COMMUS_Model!AA$983</f>
        <v>17.1209560194735</v>
      </c>
      <c r="AB69" s="104">
        <f xml:space="preserve"> COMMUS_Model!AB$983</f>
        <v>19.59615266395036</v>
      </c>
      <c r="AC69" s="104">
        <f xml:space="preserve"> COMMUS_Model!AC$983</f>
        <v>4.2520002565090707</v>
      </c>
      <c r="AD69" s="104">
        <f xml:space="preserve"> COMMUS_Model!AD$983</f>
        <v>19.553301604469887</v>
      </c>
      <c r="AE69" s="104">
        <f xml:space="preserve"> COMMUS_Model!AE$983</f>
        <v>18.653017899186221</v>
      </c>
      <c r="AF69" s="104">
        <f xml:space="preserve"> COMMUS_Model!AF$983</f>
        <v>19.12065732756238</v>
      </c>
      <c r="AG69" s="104">
        <f xml:space="preserve"> COMMUS_Model!AG$983</f>
        <v>18.2957410492299</v>
      </c>
      <c r="AH69" s="104">
        <f xml:space="preserve"> COMMUS_Model!AH$983</f>
        <v>17.530387391023734</v>
      </c>
      <c r="AI69" s="104">
        <f xml:space="preserve"> COMMUS_Model!AI$983</f>
        <v>10.173185274388651</v>
      </c>
      <c r="AJ69" s="104">
        <f xml:space="preserve"> COMMUS_Model!AJ$983</f>
        <v>12.51733128626965</v>
      </c>
      <c r="AK69" s="104">
        <f xml:space="preserve"> COMMUS_Model!AK$983</f>
        <v>1.3454723430587663</v>
      </c>
      <c r="AL69" s="104">
        <f xml:space="preserve"> COMMUS_Model!AL$983</f>
        <v>0</v>
      </c>
      <c r="AM69" s="104">
        <f xml:space="preserve"> COMMUS_Model!AM$983</f>
        <v>0</v>
      </c>
      <c r="AN69" s="104">
        <f xml:space="preserve"> COMMUS_Model!AN$983</f>
        <v>0</v>
      </c>
      <c r="AO69" s="104">
        <f xml:space="preserve"> COMMUS_Model!AO$983</f>
        <v>0</v>
      </c>
      <c r="AP69" s="104">
        <f xml:space="preserve"> COMMUS_Model!AP$983</f>
        <v>0</v>
      </c>
      <c r="AQ69" s="104">
        <f xml:space="preserve"> COMMUS_Model!AQ$983</f>
        <v>0</v>
      </c>
      <c r="AR69" s="104">
        <f xml:space="preserve"> COMMUS_Model!AR$983</f>
        <v>0</v>
      </c>
      <c r="AS69" s="104">
        <f xml:space="preserve"> COMMUS_Model!AS$983</f>
        <v>0</v>
      </c>
    </row>
    <row r="70" spans="1:45" ht="15" customHeight="1" x14ac:dyDescent="0.3">
      <c r="E70" s="704" t="str">
        <f xml:space="preserve"> COMMUS_Model!E$987</f>
        <v>Zijin final cashflows</v>
      </c>
      <c r="F70" s="704">
        <f xml:space="preserve"> COMMUS_Model!F$987</f>
        <v>0</v>
      </c>
      <c r="G70" s="704" t="str">
        <f xml:space="preserve"> COMMUS_Model!G$987</f>
        <v>$ mn</v>
      </c>
      <c r="H70" s="704">
        <f xml:space="preserve"> COMMUS_Model!H$987</f>
        <v>0</v>
      </c>
      <c r="I70" s="704">
        <f xml:space="preserve"> COMMUS_Model!I$987</f>
        <v>1831.7319216633568</v>
      </c>
      <c r="J70" s="704">
        <f xml:space="preserve"> COMMUS_Model!J$987</f>
        <v>0</v>
      </c>
      <c r="K70" s="704">
        <f xml:space="preserve"> COMMUS_Model!K$987</f>
        <v>0</v>
      </c>
      <c r="L70" s="704">
        <f xml:space="preserve"> COMMUS_Model!L$987</f>
        <v>0</v>
      </c>
      <c r="M70" s="704">
        <f xml:space="preserve"> COMMUS_Model!M$987</f>
        <v>0</v>
      </c>
      <c r="N70" s="704">
        <f xml:space="preserve"> COMMUS_Model!N$987</f>
        <v>0</v>
      </c>
      <c r="O70" s="704">
        <f xml:space="preserve"> COMMUS_Model!O$987</f>
        <v>0</v>
      </c>
      <c r="P70" s="704">
        <f xml:space="preserve"> COMMUS_Model!P$987</f>
        <v>0</v>
      </c>
      <c r="Q70" s="704">
        <f xml:space="preserve"> COMMUS_Model!Q$987</f>
        <v>0</v>
      </c>
      <c r="R70" s="704">
        <f xml:space="preserve"> COMMUS_Model!R$987</f>
        <v>0</v>
      </c>
      <c r="S70" s="704">
        <f xml:space="preserve"> COMMUS_Model!S$987</f>
        <v>0</v>
      </c>
      <c r="T70" s="704">
        <f xml:space="preserve"> COMMUS_Model!T$987</f>
        <v>0</v>
      </c>
      <c r="U70" s="704">
        <f xml:space="preserve"> COMMUS_Model!U$987</f>
        <v>0</v>
      </c>
      <c r="V70" s="704">
        <f xml:space="preserve"> COMMUS_Model!V$987</f>
        <v>-137.34949621499999</v>
      </c>
      <c r="W70" s="704">
        <f xml:space="preserve"> COMMUS_Model!W$987</f>
        <v>258.41046533346105</v>
      </c>
      <c r="X70" s="704">
        <f xml:space="preserve"> COMMUS_Model!X$987</f>
        <v>-52.482012691060348</v>
      </c>
      <c r="Y70" s="704">
        <f xml:space="preserve"> COMMUS_Model!Y$987</f>
        <v>115.73544939248985</v>
      </c>
      <c r="Z70" s="704">
        <f xml:space="preserve"> COMMUS_Model!Z$987</f>
        <v>223.99368780736705</v>
      </c>
      <c r="AA70" s="704">
        <f xml:space="preserve"> COMMUS_Model!AA$987</f>
        <v>154.08860417526148</v>
      </c>
      <c r="AB70" s="704">
        <f xml:space="preserve"> COMMUS_Model!AB$987</f>
        <v>176.36537397555321</v>
      </c>
      <c r="AC70" s="704">
        <f xml:space="preserve"> COMMUS_Model!AC$987</f>
        <v>38.268002308581636</v>
      </c>
      <c r="AD70" s="704">
        <f xml:space="preserve"> COMMUS_Model!AD$987</f>
        <v>175.97971444022897</v>
      </c>
      <c r="AE70" s="704">
        <f xml:space="preserve"> COMMUS_Model!AE$987</f>
        <v>167.877161092676</v>
      </c>
      <c r="AF70" s="704">
        <f xml:space="preserve"> COMMUS_Model!AF$987</f>
        <v>172.0859159480614</v>
      </c>
      <c r="AG70" s="704">
        <f xml:space="preserve"> COMMUS_Model!AG$987</f>
        <v>164.66166944306912</v>
      </c>
      <c r="AH70" s="704">
        <f xml:space="preserve"> COMMUS_Model!AH$987</f>
        <v>157.77348651921358</v>
      </c>
      <c r="AI70" s="704">
        <f xml:space="preserve"> COMMUS_Model!AI$987</f>
        <v>91.558667469497863</v>
      </c>
      <c r="AJ70" s="704">
        <f xml:space="preserve"> COMMUS_Model!AJ$987</f>
        <v>112.65598157642684</v>
      </c>
      <c r="AK70" s="704">
        <f xml:space="preserve"> COMMUS_Model!AK$987</f>
        <v>12.109251087528897</v>
      </c>
      <c r="AL70" s="704">
        <f xml:space="preserve"> COMMUS_Model!AL$987</f>
        <v>0</v>
      </c>
      <c r="AM70" s="704">
        <f xml:space="preserve"> COMMUS_Model!AM$987</f>
        <v>0</v>
      </c>
      <c r="AN70" s="704">
        <f xml:space="preserve"> COMMUS_Model!AN$987</f>
        <v>0</v>
      </c>
      <c r="AO70" s="704">
        <f xml:space="preserve"> COMMUS_Model!AO$987</f>
        <v>0</v>
      </c>
      <c r="AP70" s="704">
        <f xml:space="preserve"> COMMUS_Model!AP$987</f>
        <v>0</v>
      </c>
      <c r="AQ70" s="704">
        <f xml:space="preserve"> COMMUS_Model!AQ$987</f>
        <v>0</v>
      </c>
      <c r="AR70" s="704">
        <f xml:space="preserve"> COMMUS_Model!AR$987</f>
        <v>0</v>
      </c>
      <c r="AS70" s="704">
        <f xml:space="preserve"> COMMUS_Model!AS$987</f>
        <v>0</v>
      </c>
    </row>
    <row r="71" spans="1:45" ht="15" customHeight="1" x14ac:dyDescent="0.3">
      <c r="A71" s="506"/>
      <c r="B71" s="506"/>
      <c r="C71" s="507"/>
      <c r="D71" s="88"/>
      <c r="E71" s="88" t="str">
        <f>"Check: " &amp; E70</f>
        <v>Check: Zijin final cashflows</v>
      </c>
      <c r="F71" s="708">
        <f xml:space="preserve"> SUM(Q71:AV71)</f>
        <v>0</v>
      </c>
      <c r="G71" s="88" t="s">
        <v>509</v>
      </c>
      <c r="H71" s="88"/>
      <c r="I71" s="424"/>
      <c r="J71" s="88"/>
      <c r="K71" s="708">
        <f t="shared" ref="K71:O71" si="8" xml:space="preserve"> IF(ABS(K68 - K69 - K70) &gt; CHK_TOL, 1, 0)</f>
        <v>0</v>
      </c>
      <c r="L71" s="708">
        <f t="shared" si="8"/>
        <v>0</v>
      </c>
      <c r="M71" s="708">
        <f t="shared" si="8"/>
        <v>0</v>
      </c>
      <c r="N71" s="708">
        <f t="shared" si="8"/>
        <v>0</v>
      </c>
      <c r="O71" s="708">
        <f t="shared" si="8"/>
        <v>0</v>
      </c>
      <c r="P71" s="708">
        <f t="shared" ref="P71:AP71" si="9" xml:space="preserve"> IF(ABS(P68 - P69 - P70) &gt; CHK_TOL, 1, 0)</f>
        <v>0</v>
      </c>
      <c r="Q71" s="708">
        <f t="shared" si="9"/>
        <v>0</v>
      </c>
      <c r="R71" s="708">
        <f t="shared" si="9"/>
        <v>0</v>
      </c>
      <c r="S71" s="708">
        <f t="shared" si="9"/>
        <v>0</v>
      </c>
      <c r="T71" s="708">
        <f t="shared" si="9"/>
        <v>0</v>
      </c>
      <c r="U71" s="708">
        <f t="shared" si="9"/>
        <v>0</v>
      </c>
      <c r="V71" s="708">
        <f t="shared" si="9"/>
        <v>0</v>
      </c>
      <c r="W71" s="708">
        <f t="shared" si="9"/>
        <v>0</v>
      </c>
      <c r="X71" s="708">
        <f t="shared" si="9"/>
        <v>0</v>
      </c>
      <c r="Y71" s="708">
        <f t="shared" si="9"/>
        <v>0</v>
      </c>
      <c r="Z71" s="708">
        <f t="shared" si="9"/>
        <v>0</v>
      </c>
      <c r="AA71" s="708">
        <f t="shared" si="9"/>
        <v>0</v>
      </c>
      <c r="AB71" s="708">
        <f t="shared" si="9"/>
        <v>0</v>
      </c>
      <c r="AC71" s="708">
        <f t="shared" si="9"/>
        <v>0</v>
      </c>
      <c r="AD71" s="708">
        <f t="shared" si="9"/>
        <v>0</v>
      </c>
      <c r="AE71" s="708">
        <f t="shared" si="9"/>
        <v>0</v>
      </c>
      <c r="AF71" s="708">
        <f t="shared" si="9"/>
        <v>0</v>
      </c>
      <c r="AG71" s="708">
        <f t="shared" si="9"/>
        <v>0</v>
      </c>
      <c r="AH71" s="708">
        <f t="shared" si="9"/>
        <v>0</v>
      </c>
      <c r="AI71" s="708">
        <f t="shared" si="9"/>
        <v>0</v>
      </c>
      <c r="AJ71" s="708">
        <f t="shared" si="9"/>
        <v>0</v>
      </c>
      <c r="AK71" s="708">
        <f t="shared" si="9"/>
        <v>0</v>
      </c>
      <c r="AL71" s="708">
        <f t="shared" si="9"/>
        <v>0</v>
      </c>
      <c r="AM71" s="708">
        <f t="shared" si="9"/>
        <v>0</v>
      </c>
      <c r="AN71" s="708">
        <f t="shared" si="9"/>
        <v>0</v>
      </c>
      <c r="AO71" s="708">
        <f t="shared" si="9"/>
        <v>0</v>
      </c>
      <c r="AP71" s="708">
        <f t="shared" si="9"/>
        <v>0</v>
      </c>
      <c r="AQ71" s="708">
        <f t="shared" ref="AQ71:AS71" si="10" xml:space="preserve"> IF(ABS(AQ68 - AQ69 - AQ70) &gt; CHK_TOL, 1, 0)</f>
        <v>0</v>
      </c>
      <c r="AR71" s="708">
        <f t="shared" si="10"/>
        <v>0</v>
      </c>
      <c r="AS71" s="708">
        <f t="shared" si="10"/>
        <v>0</v>
      </c>
    </row>
    <row r="72" spans="1:45" ht="15" customHeight="1" x14ac:dyDescent="0.3">
      <c r="AL72" s="448"/>
      <c r="AM72" s="448"/>
      <c r="AN72" s="448"/>
      <c r="AO72" s="448"/>
      <c r="AP72" s="448"/>
      <c r="AQ72" s="448"/>
      <c r="AR72" s="448"/>
      <c r="AS72" s="448"/>
    </row>
    <row r="73" spans="1:45" ht="15" customHeight="1" x14ac:dyDescent="0.3">
      <c r="B73" s="446" t="s">
        <v>661</v>
      </c>
      <c r="AL73" s="448"/>
      <c r="AM73" s="448"/>
      <c r="AN73" s="448"/>
      <c r="AO73" s="448"/>
      <c r="AP73" s="448"/>
      <c r="AQ73" s="448"/>
      <c r="AR73" s="448"/>
      <c r="AS73" s="448"/>
    </row>
    <row r="74" spans="1:45" ht="15" customHeight="1" x14ac:dyDescent="0.3">
      <c r="E74" s="594" t="str">
        <f xml:space="preserve"> COMMUS_Model!E$1129</f>
        <v>Project cashflow before tax</v>
      </c>
      <c r="F74" s="594">
        <f xml:space="preserve"> COMMUS_Model!F$1129</f>
        <v>0</v>
      </c>
      <c r="G74" s="594" t="str">
        <f xml:space="preserve"> COMMUS_Model!G$1129</f>
        <v>$ mn</v>
      </c>
      <c r="H74" s="594">
        <f xml:space="preserve"> COMMUS_Model!H$1129</f>
        <v>0</v>
      </c>
      <c r="I74" s="594">
        <f xml:space="preserve"> COMMUS_Model!I$1129</f>
        <v>4808.508951492714</v>
      </c>
      <c r="J74" s="594">
        <f xml:space="preserve"> COMMUS_Model!J$1129</f>
        <v>0</v>
      </c>
      <c r="K74" s="594">
        <f xml:space="preserve"> COMMUS_Model!K$1129</f>
        <v>0</v>
      </c>
      <c r="L74" s="594">
        <f xml:space="preserve"> COMMUS_Model!L$1129</f>
        <v>0</v>
      </c>
      <c r="M74" s="594">
        <f xml:space="preserve"> COMMUS_Model!M$1129</f>
        <v>0</v>
      </c>
      <c r="N74" s="594">
        <f xml:space="preserve"> COMMUS_Model!N$1129</f>
        <v>0</v>
      </c>
      <c r="O74" s="594">
        <f xml:space="preserve"> COMMUS_Model!O$1129</f>
        <v>0</v>
      </c>
      <c r="P74" s="594">
        <f xml:space="preserve"> COMMUS_Model!P$1129</f>
        <v>0</v>
      </c>
      <c r="Q74" s="594">
        <f xml:space="preserve"> COMMUS_Model!Q$1129</f>
        <v>0</v>
      </c>
      <c r="R74" s="594">
        <f xml:space="preserve"> COMMUS_Model!R$1129</f>
        <v>0</v>
      </c>
      <c r="S74" s="594">
        <f xml:space="preserve"> COMMUS_Model!S$1129</f>
        <v>0</v>
      </c>
      <c r="T74" s="594">
        <f xml:space="preserve"> COMMUS_Model!T$1129</f>
        <v>0</v>
      </c>
      <c r="U74" s="594">
        <f xml:space="preserve"> COMMUS_Model!U$1129</f>
        <v>0</v>
      </c>
      <c r="V74" s="594">
        <f xml:space="preserve"> COMMUS_Model!V$1129</f>
        <v>-232.89503624999998</v>
      </c>
      <c r="W74" s="594">
        <f xml:space="preserve"> COMMUS_Model!W$1129</f>
        <v>52.580098239999941</v>
      </c>
      <c r="X74" s="594">
        <f xml:space="preserve"> COMMUS_Model!X$1129</f>
        <v>63.087776474752047</v>
      </c>
      <c r="Y74" s="594">
        <f xml:space="preserve"> COMMUS_Model!Y$1129</f>
        <v>388.84749866688009</v>
      </c>
      <c r="Z74" s="594">
        <f xml:space="preserve"> COMMUS_Model!Z$1129</f>
        <v>800.04438643676804</v>
      </c>
      <c r="AA74" s="594">
        <f xml:space="preserve"> COMMUS_Model!AA$1129</f>
        <v>421.34059002276399</v>
      </c>
      <c r="AB74" s="594">
        <f xml:space="preserve"> COMMUS_Model!AB$1129</f>
        <v>460.80850247959802</v>
      </c>
      <c r="AC74" s="594">
        <f xml:space="preserve"> COMMUS_Model!AC$1129</f>
        <v>119.74197863860209</v>
      </c>
      <c r="AD74" s="594">
        <f xml:space="preserve"> COMMUS_Model!AD$1129</f>
        <v>450.63587435566512</v>
      </c>
      <c r="AE74" s="594">
        <f xml:space="preserve"> COMMUS_Model!AE$1129</f>
        <v>440.02251691904888</v>
      </c>
      <c r="AF74" s="594">
        <f xml:space="preserve"> COMMUS_Model!AF$1129</f>
        <v>428.26095951799471</v>
      </c>
      <c r="AG74" s="594">
        <f xml:space="preserve"> COMMUS_Model!AG$1129</f>
        <v>415.62936777673497</v>
      </c>
      <c r="AH74" s="594">
        <f xml:space="preserve"> COMMUS_Model!AH$1129</f>
        <v>405.50658903947829</v>
      </c>
      <c r="AI74" s="594">
        <f xml:space="preserve"> COMMUS_Model!AI$1129</f>
        <v>249.63817234298438</v>
      </c>
      <c r="AJ74" s="594">
        <f xml:space="preserve"> COMMUS_Model!AJ$1129</f>
        <v>301.82207419652491</v>
      </c>
      <c r="AK74" s="594">
        <f xml:space="preserve"> COMMUS_Model!AK$1129</f>
        <v>43.437602634918335</v>
      </c>
      <c r="AL74" s="594">
        <f xml:space="preserve"> COMMUS_Model!AL$1129</f>
        <v>0</v>
      </c>
      <c r="AM74" s="594">
        <f xml:space="preserve"> COMMUS_Model!AM$1129</f>
        <v>0</v>
      </c>
      <c r="AN74" s="594">
        <f xml:space="preserve"> COMMUS_Model!AN$1129</f>
        <v>0</v>
      </c>
      <c r="AO74" s="594">
        <f xml:space="preserve"> COMMUS_Model!AO$1129</f>
        <v>0</v>
      </c>
      <c r="AP74" s="594">
        <f xml:space="preserve"> COMMUS_Model!AP$1129</f>
        <v>0</v>
      </c>
      <c r="AQ74" s="594">
        <f xml:space="preserve"> COMMUS_Model!AQ$1129</f>
        <v>0</v>
      </c>
      <c r="AR74" s="594">
        <f xml:space="preserve"> COMMUS_Model!AR$1129</f>
        <v>0</v>
      </c>
      <c r="AS74" s="594">
        <f xml:space="preserve"> COMMUS_Model!AS$1129</f>
        <v>0</v>
      </c>
    </row>
    <row r="75" spans="1:45" ht="15" customHeight="1" x14ac:dyDescent="0.3">
      <c r="E75" s="597" t="str">
        <f xml:space="preserve"> COMMUS_Model!E$1130</f>
        <v>Government revenues excl Gecamines participation</v>
      </c>
      <c r="F75" s="597">
        <f xml:space="preserve"> COMMUS_Model!F$1130</f>
        <v>0</v>
      </c>
      <c r="G75" s="597" t="str">
        <f xml:space="preserve"> COMMUS_Model!G$1130</f>
        <v>$ mn</v>
      </c>
      <c r="H75" s="597">
        <f xml:space="preserve"> COMMUS_Model!H$1130</f>
        <v>0</v>
      </c>
      <c r="I75" s="597">
        <f xml:space="preserve"> COMMUS_Model!I$1130</f>
        <v>2765.6905268255668</v>
      </c>
      <c r="J75" s="597">
        <f xml:space="preserve"> COMMUS_Model!J$1130</f>
        <v>0</v>
      </c>
      <c r="K75" s="597">
        <f xml:space="preserve"> COMMUS_Model!K$1130</f>
        <v>0</v>
      </c>
      <c r="L75" s="597">
        <f xml:space="preserve"> COMMUS_Model!L$1130</f>
        <v>0</v>
      </c>
      <c r="M75" s="597">
        <f xml:space="preserve"> COMMUS_Model!M$1130</f>
        <v>0</v>
      </c>
      <c r="N75" s="597">
        <f xml:space="preserve"> COMMUS_Model!N$1130</f>
        <v>0</v>
      </c>
      <c r="O75" s="597">
        <f xml:space="preserve"> COMMUS_Model!O$1130</f>
        <v>0</v>
      </c>
      <c r="P75" s="597">
        <f xml:space="preserve"> COMMUS_Model!P$1130</f>
        <v>0</v>
      </c>
      <c r="Q75" s="597">
        <f xml:space="preserve"> COMMUS_Model!Q$1130</f>
        <v>0</v>
      </c>
      <c r="R75" s="597">
        <f xml:space="preserve"> COMMUS_Model!R$1130</f>
        <v>0</v>
      </c>
      <c r="S75" s="597">
        <f xml:space="preserve"> COMMUS_Model!S$1130</f>
        <v>0</v>
      </c>
      <c r="T75" s="597">
        <f xml:space="preserve"> COMMUS_Model!T$1130</f>
        <v>0</v>
      </c>
      <c r="U75" s="597">
        <f xml:space="preserve"> COMMUS_Model!U$1130</f>
        <v>0</v>
      </c>
      <c r="V75" s="597">
        <f xml:space="preserve"> COMMUS_Model!V$1130</f>
        <v>20.419127879785002</v>
      </c>
      <c r="W75" s="597">
        <f xml:space="preserve"> COMMUS_Model!W$1130</f>
        <v>73.716234112410632</v>
      </c>
      <c r="X75" s="597">
        <f xml:space="preserve"> COMMUS_Model!X$1130</f>
        <v>110.64490124848584</v>
      </c>
      <c r="Y75" s="597">
        <f xml:space="preserve"> COMMUS_Model!Y$1130</f>
        <v>148.34620549351393</v>
      </c>
      <c r="Z75" s="597">
        <f xml:space="preserve"> COMMUS_Model!Z$1130</f>
        <v>330.22490284750336</v>
      </c>
      <c r="AA75" s="597">
        <f xml:space="preserve"> COMMUS_Model!AA$1130</f>
        <v>276.84151441910132</v>
      </c>
      <c r="AB75" s="597">
        <f xml:space="preserve"> COMMUS_Model!AB$1130</f>
        <v>243.53541986864383</v>
      </c>
      <c r="AC75" s="597">
        <f xml:space="preserve"> COMMUS_Model!AC$1130</f>
        <v>95.544701892986964</v>
      </c>
      <c r="AD75" s="597">
        <f xml:space="preserve"> COMMUS_Model!AD$1130</f>
        <v>211.54265958695359</v>
      </c>
      <c r="AE75" s="597">
        <f xml:space="preserve"> COMMUS_Model!AE$1130</f>
        <v>215.23622162282058</v>
      </c>
      <c r="AF75" s="597">
        <f xml:space="preserve"> COMMUS_Model!AF$1130</f>
        <v>213.59325744836227</v>
      </c>
      <c r="AG75" s="597">
        <f xml:space="preserve"> COMMUS_Model!AG$1130</f>
        <v>213.56641208967943</v>
      </c>
      <c r="AH75" s="597">
        <f xml:space="preserve"> COMMUS_Model!AH$1130</f>
        <v>215.2390177556521</v>
      </c>
      <c r="AI75" s="597">
        <f xml:space="preserve"> COMMUS_Model!AI$1130</f>
        <v>163.57340365229086</v>
      </c>
      <c r="AJ75" s="597">
        <f xml:space="preserve"> COMMUS_Model!AJ$1130</f>
        <v>178.94949100444214</v>
      </c>
      <c r="AK75" s="597">
        <f xml:space="preserve"> COMMUS_Model!AK$1130</f>
        <v>54.717055902935016</v>
      </c>
      <c r="AL75" s="597">
        <f xml:space="preserve"> COMMUS_Model!AL$1130</f>
        <v>0</v>
      </c>
      <c r="AM75" s="597">
        <f xml:space="preserve"> COMMUS_Model!AM$1130</f>
        <v>0</v>
      </c>
      <c r="AN75" s="597">
        <f xml:space="preserve"> COMMUS_Model!AN$1130</f>
        <v>0</v>
      </c>
      <c r="AO75" s="597">
        <f xml:space="preserve"> COMMUS_Model!AO$1130</f>
        <v>0</v>
      </c>
      <c r="AP75" s="597">
        <f xml:space="preserve"> COMMUS_Model!AP$1130</f>
        <v>0</v>
      </c>
      <c r="AQ75" s="597">
        <f xml:space="preserve"> COMMUS_Model!AQ$1130</f>
        <v>0</v>
      </c>
      <c r="AR75" s="597">
        <f xml:space="preserve"> COMMUS_Model!AR$1130</f>
        <v>0</v>
      </c>
      <c r="AS75" s="597">
        <f xml:space="preserve"> COMMUS_Model!AS$1130</f>
        <v>0</v>
      </c>
    </row>
    <row r="76" spans="1:45" ht="15" customHeight="1" x14ac:dyDescent="0.3">
      <c r="E76" s="704" t="str">
        <f xml:space="preserve"> COMMUS_Model!E$1131</f>
        <v>Gecamines share of cashflows after repaying loan</v>
      </c>
      <c r="F76" s="704">
        <f xml:space="preserve"> COMMUS_Model!F$1131</f>
        <v>0</v>
      </c>
      <c r="G76" s="704" t="str">
        <f xml:space="preserve"> COMMUS_Model!G$1131</f>
        <v>$ mn</v>
      </c>
      <c r="H76" s="704">
        <f xml:space="preserve"> COMMUS_Model!H$1131</f>
        <v>0</v>
      </c>
      <c r="I76" s="704">
        <f xml:space="preserve"> COMMUS_Model!I$1131</f>
        <v>921.83851310159503</v>
      </c>
      <c r="J76" s="704">
        <f xml:space="preserve"> COMMUS_Model!J$1131</f>
        <v>0</v>
      </c>
      <c r="K76" s="704">
        <f xml:space="preserve"> COMMUS_Model!K$1131</f>
        <v>0</v>
      </c>
      <c r="L76" s="704">
        <f xml:space="preserve"> COMMUS_Model!L$1131</f>
        <v>0</v>
      </c>
      <c r="M76" s="704">
        <f xml:space="preserve"> COMMUS_Model!M$1131</f>
        <v>0</v>
      </c>
      <c r="N76" s="704">
        <f xml:space="preserve"> COMMUS_Model!N$1131</f>
        <v>0</v>
      </c>
      <c r="O76" s="704">
        <f xml:space="preserve"> COMMUS_Model!O$1131</f>
        <v>0</v>
      </c>
      <c r="P76" s="704">
        <f xml:space="preserve"> COMMUS_Model!P$1131</f>
        <v>0</v>
      </c>
      <c r="Q76" s="704">
        <f xml:space="preserve"> COMMUS_Model!Q$1131</f>
        <v>0</v>
      </c>
      <c r="R76" s="704">
        <f xml:space="preserve"> COMMUS_Model!R$1131</f>
        <v>0</v>
      </c>
      <c r="S76" s="704">
        <f xml:space="preserve"> COMMUS_Model!S$1131</f>
        <v>0</v>
      </c>
      <c r="T76" s="704">
        <f xml:space="preserve"> COMMUS_Model!T$1131</f>
        <v>0</v>
      </c>
      <c r="U76" s="704">
        <f xml:space="preserve"> COMMUS_Model!U$1131</f>
        <v>0</v>
      </c>
      <c r="V76" s="704">
        <f xml:space="preserve"> COMMUS_Model!V$1131</f>
        <v>0</v>
      </c>
      <c r="W76" s="704">
        <f xml:space="preserve"> COMMUS_Model!W$1131</f>
        <v>55.314913606598815</v>
      </c>
      <c r="X76" s="704">
        <f xml:space="preserve"> COMMUS_Model!X$1131</f>
        <v>0</v>
      </c>
      <c r="Y76" s="704">
        <f xml:space="preserve"> COMMUS_Model!Y$1131</f>
        <v>28.804743620437343</v>
      </c>
      <c r="Z76" s="704">
        <f xml:space="preserve"> COMMUS_Model!Z$1131</f>
        <v>96.787395966146264</v>
      </c>
      <c r="AA76" s="704">
        <f xml:space="preserve"> COMMUS_Model!AA$1131</f>
        <v>66.581495631285847</v>
      </c>
      <c r="AB76" s="704">
        <f xml:space="preserve"> COMMUS_Model!AB$1131</f>
        <v>76.207260359806966</v>
      </c>
      <c r="AC76" s="704">
        <f xml:space="preserve"> COMMUS_Model!AC$1131</f>
        <v>20.942687830567063</v>
      </c>
      <c r="AD76" s="704">
        <f xml:space="preserve"> COMMUS_Model!AD$1131</f>
        <v>96.307306410075569</v>
      </c>
      <c r="AE76" s="704">
        <f xml:space="preserve"> COMMUS_Model!AE$1131</f>
        <v>91.873073234797815</v>
      </c>
      <c r="AF76" s="704">
        <f xml:space="preserve"> COMMUS_Model!AF$1131</f>
        <v>94.176371911874412</v>
      </c>
      <c r="AG76" s="704">
        <f xml:space="preserve"> COMMUS_Model!AG$1131</f>
        <v>90.113351436505482</v>
      </c>
      <c r="AH76" s="704">
        <f xml:space="preserve"> COMMUS_Model!AH$1131</f>
        <v>86.3436990901169</v>
      </c>
      <c r="AI76" s="704">
        <f xml:space="preserve"> COMMUS_Model!AI$1131</f>
        <v>50.106733441018733</v>
      </c>
      <c r="AJ76" s="704">
        <f xml:space="preserve"> COMMUS_Model!AJ$1131</f>
        <v>61.652527230880366</v>
      </c>
      <c r="AK76" s="704">
        <f xml:space="preserve"> COMMUS_Model!AK$1131</f>
        <v>6.6269533314834765</v>
      </c>
      <c r="AL76" s="704">
        <f xml:space="preserve"> COMMUS_Model!AL$1131</f>
        <v>0</v>
      </c>
      <c r="AM76" s="704">
        <f xml:space="preserve"> COMMUS_Model!AM$1131</f>
        <v>0</v>
      </c>
      <c r="AN76" s="704">
        <f xml:space="preserve"> COMMUS_Model!AN$1131</f>
        <v>0</v>
      </c>
      <c r="AO76" s="704">
        <f xml:space="preserve"> COMMUS_Model!AO$1131</f>
        <v>0</v>
      </c>
      <c r="AP76" s="704">
        <f xml:space="preserve"> COMMUS_Model!AP$1131</f>
        <v>0</v>
      </c>
      <c r="AQ76" s="704">
        <f xml:space="preserve"> COMMUS_Model!AQ$1131</f>
        <v>0</v>
      </c>
      <c r="AR76" s="704">
        <f xml:space="preserve"> COMMUS_Model!AR$1131</f>
        <v>0</v>
      </c>
      <c r="AS76" s="704">
        <f xml:space="preserve"> COMMUS_Model!AS$1131</f>
        <v>0</v>
      </c>
    </row>
    <row r="77" spans="1:45" ht="15" customHeight="1" x14ac:dyDescent="0.3">
      <c r="E77" s="704" t="str">
        <f xml:space="preserve"> COMMUS_Model!E$1132</f>
        <v>Government revenues incl Gecamines</v>
      </c>
      <c r="F77" s="704">
        <f xml:space="preserve"> COMMUS_Model!F$1132</f>
        <v>0</v>
      </c>
      <c r="G77" s="704" t="str">
        <f xml:space="preserve"> COMMUS_Model!G$1132</f>
        <v>$ mn</v>
      </c>
      <c r="H77" s="704">
        <f xml:space="preserve"> COMMUS_Model!H$1132</f>
        <v>0</v>
      </c>
      <c r="I77" s="704">
        <f xml:space="preserve"> COMMUS_Model!I$1132</f>
        <v>3687.5290399271621</v>
      </c>
      <c r="J77" s="704">
        <f xml:space="preserve"> COMMUS_Model!J$1132</f>
        <v>0</v>
      </c>
      <c r="K77" s="704">
        <f xml:space="preserve"> COMMUS_Model!K$1132</f>
        <v>0</v>
      </c>
      <c r="L77" s="704">
        <f xml:space="preserve"> COMMUS_Model!L$1132</f>
        <v>0</v>
      </c>
      <c r="M77" s="704">
        <f xml:space="preserve"> COMMUS_Model!M$1132</f>
        <v>0</v>
      </c>
      <c r="N77" s="704">
        <f xml:space="preserve"> COMMUS_Model!N$1132</f>
        <v>0</v>
      </c>
      <c r="O77" s="704">
        <f xml:space="preserve"> COMMUS_Model!O$1132</f>
        <v>0</v>
      </c>
      <c r="P77" s="704">
        <f xml:space="preserve"> COMMUS_Model!P$1132</f>
        <v>0</v>
      </c>
      <c r="Q77" s="704">
        <f xml:space="preserve"> COMMUS_Model!Q$1132</f>
        <v>0</v>
      </c>
      <c r="R77" s="704">
        <f xml:space="preserve"> COMMUS_Model!R$1132</f>
        <v>0</v>
      </c>
      <c r="S77" s="704">
        <f xml:space="preserve"> COMMUS_Model!S$1132</f>
        <v>0</v>
      </c>
      <c r="T77" s="704">
        <f xml:space="preserve"> COMMUS_Model!T$1132</f>
        <v>0</v>
      </c>
      <c r="U77" s="704">
        <f xml:space="preserve"> COMMUS_Model!U$1132</f>
        <v>0</v>
      </c>
      <c r="V77" s="704">
        <f xml:space="preserve"> COMMUS_Model!V$1132</f>
        <v>20.419127879785002</v>
      </c>
      <c r="W77" s="704">
        <f xml:space="preserve"> COMMUS_Model!W$1132</f>
        <v>129.03114771900945</v>
      </c>
      <c r="X77" s="704">
        <f xml:space="preserve"> COMMUS_Model!X$1132</f>
        <v>110.64490124848584</v>
      </c>
      <c r="Y77" s="704">
        <f xml:space="preserve"> COMMUS_Model!Y$1132</f>
        <v>177.15094911395127</v>
      </c>
      <c r="Z77" s="704">
        <f xml:space="preserve"> COMMUS_Model!Z$1132</f>
        <v>427.01229881364964</v>
      </c>
      <c r="AA77" s="704">
        <f xml:space="preserve"> COMMUS_Model!AA$1132</f>
        <v>343.42301005038718</v>
      </c>
      <c r="AB77" s="704">
        <f xml:space="preserve"> COMMUS_Model!AB$1132</f>
        <v>319.74268022845081</v>
      </c>
      <c r="AC77" s="704">
        <f xml:space="preserve"> COMMUS_Model!AC$1132</f>
        <v>116.48738972355403</v>
      </c>
      <c r="AD77" s="704">
        <f xml:space="preserve"> COMMUS_Model!AD$1132</f>
        <v>307.84996599702913</v>
      </c>
      <c r="AE77" s="704">
        <f xml:space="preserve"> COMMUS_Model!AE$1132</f>
        <v>307.10929485761841</v>
      </c>
      <c r="AF77" s="704">
        <f xml:space="preserve"> COMMUS_Model!AF$1132</f>
        <v>307.76962936023665</v>
      </c>
      <c r="AG77" s="704">
        <f xml:space="preserve"> COMMUS_Model!AG$1132</f>
        <v>303.6797635261849</v>
      </c>
      <c r="AH77" s="704">
        <f xml:space="preserve"> COMMUS_Model!AH$1132</f>
        <v>301.58271684576903</v>
      </c>
      <c r="AI77" s="704">
        <f xml:space="preserve"> COMMUS_Model!AI$1132</f>
        <v>213.68013709330961</v>
      </c>
      <c r="AJ77" s="704">
        <f xml:space="preserve"> COMMUS_Model!AJ$1132</f>
        <v>240.6020182353225</v>
      </c>
      <c r="AK77" s="704">
        <f xml:space="preserve"> COMMUS_Model!AK$1132</f>
        <v>61.344009234418493</v>
      </c>
      <c r="AL77" s="704">
        <f xml:space="preserve"> COMMUS_Model!AL$1132</f>
        <v>0</v>
      </c>
      <c r="AM77" s="704">
        <f xml:space="preserve"> COMMUS_Model!AM$1132</f>
        <v>0</v>
      </c>
      <c r="AN77" s="704">
        <f xml:space="preserve"> COMMUS_Model!AN$1132</f>
        <v>0</v>
      </c>
      <c r="AO77" s="704">
        <f xml:space="preserve"> COMMUS_Model!AO$1132</f>
        <v>0</v>
      </c>
      <c r="AP77" s="704">
        <f xml:space="preserve"> COMMUS_Model!AP$1132</f>
        <v>0</v>
      </c>
      <c r="AQ77" s="704">
        <f xml:space="preserve"> COMMUS_Model!AQ$1132</f>
        <v>0</v>
      </c>
      <c r="AR77" s="704">
        <f xml:space="preserve"> COMMUS_Model!AR$1132</f>
        <v>0</v>
      </c>
      <c r="AS77" s="704">
        <f xml:space="preserve"> COMMUS_Model!AS$1132</f>
        <v>0</v>
      </c>
    </row>
    <row r="78" spans="1:45" ht="15" customHeight="1" x14ac:dyDescent="0.3">
      <c r="E78" s="704" t="str">
        <f xml:space="preserve"> COMMUS_Model!E$1133</f>
        <v>Zijin final cashflows</v>
      </c>
      <c r="F78" s="704">
        <f xml:space="preserve"> COMMUS_Model!F$1133</f>
        <v>0</v>
      </c>
      <c r="G78" s="704" t="str">
        <f xml:space="preserve"> COMMUS_Model!G$1133</f>
        <v>$ mn</v>
      </c>
      <c r="H78" s="704">
        <f xml:space="preserve"> COMMUS_Model!H$1133</f>
        <v>0</v>
      </c>
      <c r="I78" s="704">
        <f xml:space="preserve"> COMMUS_Model!I$1133</f>
        <v>1831.7319216633568</v>
      </c>
      <c r="J78" s="704">
        <f xml:space="preserve"> COMMUS_Model!J$1133</f>
        <v>0</v>
      </c>
      <c r="K78" s="704">
        <f xml:space="preserve"> COMMUS_Model!K$1133</f>
        <v>0</v>
      </c>
      <c r="L78" s="704">
        <f xml:space="preserve"> COMMUS_Model!L$1133</f>
        <v>0</v>
      </c>
      <c r="M78" s="704">
        <f xml:space="preserve"> COMMUS_Model!M$1133</f>
        <v>0</v>
      </c>
      <c r="N78" s="704">
        <f xml:space="preserve"> COMMUS_Model!N$1133</f>
        <v>0</v>
      </c>
      <c r="O78" s="704">
        <f xml:space="preserve"> COMMUS_Model!O$1133</f>
        <v>0</v>
      </c>
      <c r="P78" s="704">
        <f xml:space="preserve"> COMMUS_Model!P$1133</f>
        <v>0</v>
      </c>
      <c r="Q78" s="704">
        <f xml:space="preserve"> COMMUS_Model!Q$1133</f>
        <v>0</v>
      </c>
      <c r="R78" s="704">
        <f xml:space="preserve"> COMMUS_Model!R$1133</f>
        <v>0</v>
      </c>
      <c r="S78" s="704">
        <f xml:space="preserve"> COMMUS_Model!S$1133</f>
        <v>0</v>
      </c>
      <c r="T78" s="704">
        <f xml:space="preserve"> COMMUS_Model!T$1133</f>
        <v>0</v>
      </c>
      <c r="U78" s="704">
        <f xml:space="preserve"> COMMUS_Model!U$1133</f>
        <v>0</v>
      </c>
      <c r="V78" s="704">
        <f xml:space="preserve"> COMMUS_Model!V$1133</f>
        <v>-137.34949621499999</v>
      </c>
      <c r="W78" s="704">
        <f xml:space="preserve"> COMMUS_Model!W$1133</f>
        <v>258.41046533346105</v>
      </c>
      <c r="X78" s="704">
        <f xml:space="preserve"> COMMUS_Model!X$1133</f>
        <v>-52.482012691060348</v>
      </c>
      <c r="Y78" s="704">
        <f xml:space="preserve"> COMMUS_Model!Y$1133</f>
        <v>115.73544939248985</v>
      </c>
      <c r="Z78" s="704">
        <f xml:space="preserve"> COMMUS_Model!Z$1133</f>
        <v>223.99368780736705</v>
      </c>
      <c r="AA78" s="704">
        <f xml:space="preserve"> COMMUS_Model!AA$1133</f>
        <v>154.08860417526148</v>
      </c>
      <c r="AB78" s="704">
        <f xml:space="preserve"> COMMUS_Model!AB$1133</f>
        <v>176.36537397555321</v>
      </c>
      <c r="AC78" s="704">
        <f xml:space="preserve"> COMMUS_Model!AC$1133</f>
        <v>38.268002308581636</v>
      </c>
      <c r="AD78" s="704">
        <f xml:space="preserve"> COMMUS_Model!AD$1133</f>
        <v>175.97971444022897</v>
      </c>
      <c r="AE78" s="704">
        <f xml:space="preserve"> COMMUS_Model!AE$1133</f>
        <v>167.877161092676</v>
      </c>
      <c r="AF78" s="704">
        <f xml:space="preserve"> COMMUS_Model!AF$1133</f>
        <v>172.0859159480614</v>
      </c>
      <c r="AG78" s="704">
        <f xml:space="preserve"> COMMUS_Model!AG$1133</f>
        <v>164.66166944306912</v>
      </c>
      <c r="AH78" s="704">
        <f xml:space="preserve"> COMMUS_Model!AH$1133</f>
        <v>157.77348651921358</v>
      </c>
      <c r="AI78" s="704">
        <f xml:space="preserve"> COMMUS_Model!AI$1133</f>
        <v>91.558667469497863</v>
      </c>
      <c r="AJ78" s="704">
        <f xml:space="preserve"> COMMUS_Model!AJ$1133</f>
        <v>112.65598157642684</v>
      </c>
      <c r="AK78" s="704">
        <f xml:space="preserve"> COMMUS_Model!AK$1133</f>
        <v>12.109251087528897</v>
      </c>
      <c r="AL78" s="704">
        <f xml:space="preserve"> COMMUS_Model!AL$1133</f>
        <v>0</v>
      </c>
      <c r="AM78" s="704">
        <f xml:space="preserve"> COMMUS_Model!AM$1133</f>
        <v>0</v>
      </c>
      <c r="AN78" s="704">
        <f xml:space="preserve"> COMMUS_Model!AN$1133</f>
        <v>0</v>
      </c>
      <c r="AO78" s="704">
        <f xml:space="preserve"> COMMUS_Model!AO$1133</f>
        <v>0</v>
      </c>
      <c r="AP78" s="704">
        <f xml:space="preserve"> COMMUS_Model!AP$1133</f>
        <v>0</v>
      </c>
      <c r="AQ78" s="704">
        <f xml:space="preserve"> COMMUS_Model!AQ$1133</f>
        <v>0</v>
      </c>
      <c r="AR78" s="704">
        <f xml:space="preserve"> COMMUS_Model!AR$1133</f>
        <v>0</v>
      </c>
      <c r="AS78" s="704">
        <f xml:space="preserve"> COMMUS_Model!AS$1133</f>
        <v>0</v>
      </c>
    </row>
    <row r="79" spans="1:45" ht="15" customHeight="1" x14ac:dyDescent="0.3">
      <c r="E79" s="597" t="str">
        <f xml:space="preserve"> COMMUS_Model!E$1134</f>
        <v>Net debt cashflows: 3rd party lenders</v>
      </c>
      <c r="F79" s="597">
        <f xml:space="preserve"> COMMUS_Model!F$1134</f>
        <v>0</v>
      </c>
      <c r="G79" s="597" t="str">
        <f xml:space="preserve"> COMMUS_Model!G$1134</f>
        <v>$ mn</v>
      </c>
      <c r="H79" s="597">
        <f xml:space="preserve"> COMMUS_Model!H$1134</f>
        <v>0</v>
      </c>
      <c r="I79" s="597">
        <f xml:space="preserve"> COMMUS_Model!I$1134</f>
        <v>39.11193999999999</v>
      </c>
      <c r="J79" s="597">
        <f xml:space="preserve"> COMMUS_Model!J$1134</f>
        <v>0</v>
      </c>
      <c r="K79" s="597">
        <f xml:space="preserve"> COMMUS_Model!K$1134</f>
        <v>0</v>
      </c>
      <c r="L79" s="597">
        <f xml:space="preserve"> COMMUS_Model!L$1134</f>
        <v>0</v>
      </c>
      <c r="M79" s="597">
        <f xml:space="preserve"> COMMUS_Model!M$1134</f>
        <v>0</v>
      </c>
      <c r="N79" s="597">
        <f xml:space="preserve"> COMMUS_Model!N$1134</f>
        <v>0</v>
      </c>
      <c r="O79" s="597">
        <f xml:space="preserve"> COMMUS_Model!O$1134</f>
        <v>0</v>
      </c>
      <c r="P79" s="597">
        <f xml:space="preserve"> COMMUS_Model!P$1134</f>
        <v>0</v>
      </c>
      <c r="Q79" s="597">
        <f xml:space="preserve"> COMMUS_Model!Q$1134</f>
        <v>0</v>
      </c>
      <c r="R79" s="597">
        <f xml:space="preserve"> COMMUS_Model!R$1134</f>
        <v>0</v>
      </c>
      <c r="S79" s="597">
        <f xml:space="preserve"> COMMUS_Model!S$1134</f>
        <v>0</v>
      </c>
      <c r="T79" s="597">
        <f xml:space="preserve"> COMMUS_Model!T$1134</f>
        <v>0</v>
      </c>
      <c r="U79" s="597">
        <f xml:space="preserve"> COMMUS_Model!U$1134</f>
        <v>0</v>
      </c>
      <c r="V79" s="597">
        <f xml:space="preserve"> COMMUS_Model!V$1134</f>
        <v>-99</v>
      </c>
      <c r="W79" s="597">
        <f xml:space="preserve"> COMMUS_Model!W$1134</f>
        <v>-301</v>
      </c>
      <c r="X79" s="597">
        <f xml:space="preserve"> COMMUS_Model!X$1134</f>
        <v>64.721999999999994</v>
      </c>
      <c r="Y79" s="597">
        <f xml:space="preserve"> COMMUS_Model!Y$1134</f>
        <v>112.85872000000001</v>
      </c>
      <c r="Z79" s="597">
        <f xml:space="preserve"> COMMUS_Model!Z$1134</f>
        <v>178.12072000000001</v>
      </c>
      <c r="AA79" s="597">
        <f xml:space="preserve"> COMMUS_Model!AA$1134</f>
        <v>17.8035</v>
      </c>
      <c r="AB79" s="597">
        <f xml:space="preserve"> COMMUS_Model!AB$1134</f>
        <v>17.242799999999999</v>
      </c>
      <c r="AC79" s="597">
        <f xml:space="preserve"> COMMUS_Model!AC$1134</f>
        <v>16.682099999999998</v>
      </c>
      <c r="AD79" s="597">
        <f xml:space="preserve"> COMMUS_Model!AD$1134</f>
        <v>16.121400000000001</v>
      </c>
      <c r="AE79" s="597">
        <f xml:space="preserve"> COMMUS_Model!AE$1134</f>
        <v>15.560700000000001</v>
      </c>
      <c r="AF79" s="597">
        <f xml:space="preserve"> COMMUS_Model!AF$1134</f>
        <v>0</v>
      </c>
      <c r="AG79" s="597">
        <f xml:space="preserve"> COMMUS_Model!AG$1134</f>
        <v>0</v>
      </c>
      <c r="AH79" s="597">
        <f xml:space="preserve"> COMMUS_Model!AH$1134</f>
        <v>0</v>
      </c>
      <c r="AI79" s="597">
        <f xml:space="preserve"> COMMUS_Model!AI$1134</f>
        <v>0</v>
      </c>
      <c r="AJ79" s="597">
        <f xml:space="preserve"> COMMUS_Model!AJ$1134</f>
        <v>0</v>
      </c>
      <c r="AK79" s="597">
        <f xml:space="preserve"> COMMUS_Model!AK$1134</f>
        <v>0</v>
      </c>
      <c r="AL79" s="597">
        <f xml:space="preserve"> COMMUS_Model!AL$1134</f>
        <v>0</v>
      </c>
      <c r="AM79" s="597">
        <f xml:space="preserve"> COMMUS_Model!AM$1134</f>
        <v>0</v>
      </c>
      <c r="AN79" s="597">
        <f xml:space="preserve"> COMMUS_Model!AN$1134</f>
        <v>0</v>
      </c>
      <c r="AO79" s="597">
        <f xml:space="preserve"> COMMUS_Model!AO$1134</f>
        <v>0</v>
      </c>
      <c r="AP79" s="597">
        <f xml:space="preserve"> COMMUS_Model!AP$1134</f>
        <v>0</v>
      </c>
      <c r="AQ79" s="597">
        <f xml:space="preserve"> COMMUS_Model!AQ$1134</f>
        <v>0</v>
      </c>
      <c r="AR79" s="597">
        <f xml:space="preserve"> COMMUS_Model!AR$1134</f>
        <v>0</v>
      </c>
      <c r="AS79" s="597">
        <f xml:space="preserve"> COMMUS_Model!AS$1134</f>
        <v>0</v>
      </c>
    </row>
    <row r="80" spans="1:45" ht="15" customHeight="1" x14ac:dyDescent="0.3">
      <c r="AL80" s="448"/>
      <c r="AM80" s="448"/>
      <c r="AN80" s="448"/>
      <c r="AO80" s="448"/>
      <c r="AP80" s="448"/>
      <c r="AQ80" s="448"/>
      <c r="AR80" s="448"/>
      <c r="AS80" s="448"/>
    </row>
    <row r="81" spans="1:45" ht="15" customHeight="1" x14ac:dyDescent="0.3">
      <c r="A81" s="474" t="s">
        <v>524</v>
      </c>
      <c r="B81" s="475"/>
      <c r="C81" s="476"/>
      <c r="D81" s="477"/>
      <c r="E81" s="475"/>
      <c r="F81" s="475"/>
      <c r="G81" s="475"/>
      <c r="H81" s="475"/>
      <c r="I81" s="478"/>
      <c r="J81" s="478"/>
      <c r="K81" s="478"/>
      <c r="L81" s="478"/>
      <c r="M81" s="478"/>
      <c r="N81" s="478"/>
      <c r="O81" s="478"/>
      <c r="P81" s="478"/>
      <c r="Q81" s="478"/>
      <c r="R81" s="478"/>
      <c r="S81" s="478"/>
      <c r="T81" s="478"/>
      <c r="U81" s="478"/>
      <c r="V81" s="478"/>
      <c r="W81" s="478"/>
      <c r="X81" s="478"/>
      <c r="Y81" s="478"/>
      <c r="Z81" s="478"/>
      <c r="AA81" s="478"/>
      <c r="AB81" s="478"/>
      <c r="AC81" s="478"/>
      <c r="AD81" s="478"/>
      <c r="AE81" s="478"/>
      <c r="AF81" s="478"/>
      <c r="AG81" s="478"/>
      <c r="AH81" s="478"/>
      <c r="AI81" s="478"/>
      <c r="AJ81" s="478"/>
      <c r="AK81" s="478"/>
      <c r="AL81" s="478"/>
      <c r="AM81" s="478"/>
      <c r="AN81" s="478"/>
      <c r="AO81" s="478"/>
      <c r="AP81" s="478"/>
      <c r="AQ81" s="478"/>
      <c r="AR81" s="478"/>
      <c r="AS81" s="478"/>
    </row>
    <row r="82" spans="1:45" ht="15" customHeight="1" x14ac:dyDescent="0.3">
      <c r="A82" s="479"/>
      <c r="B82" s="480"/>
      <c r="C82" s="481"/>
      <c r="D82" s="482"/>
      <c r="E82" s="482"/>
      <c r="F82" s="482"/>
      <c r="G82" s="482"/>
      <c r="H82" s="482"/>
      <c r="I82" s="483"/>
      <c r="J82" s="482"/>
      <c r="K82" s="463"/>
      <c r="L82" s="482"/>
      <c r="M82" s="482"/>
      <c r="N82" s="482"/>
      <c r="O82" s="482"/>
      <c r="P82" s="482"/>
      <c r="Q82" s="482"/>
      <c r="R82" s="482"/>
      <c r="S82" s="482"/>
      <c r="T82" s="482"/>
      <c r="U82" s="482"/>
      <c r="V82" s="482"/>
      <c r="W82" s="482"/>
      <c r="X82" s="482"/>
      <c r="Y82" s="482"/>
      <c r="Z82" s="482"/>
      <c r="AA82" s="482"/>
      <c r="AB82" s="482"/>
      <c r="AC82" s="482"/>
      <c r="AD82" s="482"/>
      <c r="AE82" s="482"/>
      <c r="AF82" s="482"/>
      <c r="AG82" s="482"/>
      <c r="AH82" s="482"/>
      <c r="AI82" s="482"/>
      <c r="AJ82" s="482"/>
      <c r="AK82" s="482"/>
    </row>
    <row r="83" spans="1:45" ht="15" customHeight="1" x14ac:dyDescent="0.3">
      <c r="A83" s="479"/>
      <c r="B83" s="480"/>
      <c r="C83" s="481"/>
      <c r="D83" s="482"/>
      <c r="E83" s="484"/>
      <c r="F83" s="484"/>
      <c r="G83" s="484"/>
      <c r="H83" s="484"/>
      <c r="I83" s="710"/>
      <c r="J83" s="482"/>
      <c r="K83" s="463"/>
      <c r="L83" s="482"/>
      <c r="M83" s="482"/>
      <c r="N83" s="482"/>
      <c r="O83" s="482"/>
      <c r="P83" s="482"/>
      <c r="Q83" s="482"/>
      <c r="R83" s="482"/>
      <c r="S83" s="482"/>
      <c r="T83" s="482"/>
      <c r="U83" s="482"/>
      <c r="V83" s="482"/>
      <c r="W83" s="482"/>
      <c r="X83" s="482"/>
      <c r="Y83" s="482"/>
      <c r="Z83" s="482"/>
      <c r="AA83" s="482"/>
      <c r="AB83" s="482"/>
      <c r="AC83" s="482"/>
      <c r="AD83" s="482"/>
      <c r="AE83" s="482"/>
      <c r="AF83" s="482"/>
      <c r="AG83" s="482"/>
      <c r="AH83" s="482"/>
      <c r="AI83" s="482"/>
      <c r="AJ83" s="482"/>
      <c r="AK83" s="482"/>
    </row>
    <row r="84" spans="1:45" ht="15" customHeight="1" x14ac:dyDescent="0.3">
      <c r="E84" s="711" t="str">
        <f xml:space="preserve"> E$36</f>
        <v>Check: Project cashflow before tax</v>
      </c>
      <c r="F84" s="708">
        <f xml:space="preserve"> F$36</f>
        <v>0</v>
      </c>
      <c r="G84" s="711" t="str">
        <f xml:space="preserve"> G$36</f>
        <v>check</v>
      </c>
    </row>
    <row r="85" spans="1:45" ht="15" customHeight="1" x14ac:dyDescent="0.3">
      <c r="E85" s="711" t="str">
        <f xml:space="preserve"> E$52</f>
        <v>Check: Government revenues incl Gecamines</v>
      </c>
      <c r="F85" s="708">
        <f xml:space="preserve"> F$52</f>
        <v>0</v>
      </c>
      <c r="G85" s="711" t="str">
        <f xml:space="preserve"> G$52</f>
        <v>check</v>
      </c>
    </row>
    <row r="86" spans="1:45" ht="15" customHeight="1" x14ac:dyDescent="0.3">
      <c r="E86" s="711" t="str">
        <f xml:space="preserve"> E$60</f>
        <v>Check: Cashflow after debt</v>
      </c>
      <c r="F86" s="708">
        <f xml:space="preserve"> F$60</f>
        <v>0</v>
      </c>
      <c r="G86" s="711" t="str">
        <f xml:space="preserve"> G$60</f>
        <v>check</v>
      </c>
    </row>
    <row r="87" spans="1:45" ht="15" customHeight="1" x14ac:dyDescent="0.3">
      <c r="E87" s="711" t="str">
        <f xml:space="preserve"> E$65</f>
        <v>Check: Zijin net cashflows</v>
      </c>
      <c r="F87" s="708">
        <f xml:space="preserve"> F$65</f>
        <v>0</v>
      </c>
      <c r="G87" s="711" t="str">
        <f xml:space="preserve"> G$65</f>
        <v>check</v>
      </c>
    </row>
    <row r="88" spans="1:45" ht="15" customHeight="1" x14ac:dyDescent="0.3">
      <c r="E88" s="711" t="str">
        <f xml:space="preserve"> E$71</f>
        <v>Check: Zijin final cashflows</v>
      </c>
      <c r="F88" s="708">
        <f xml:space="preserve"> F$71</f>
        <v>0</v>
      </c>
      <c r="G88" s="711" t="str">
        <f xml:space="preserve"> G$71</f>
        <v>check</v>
      </c>
    </row>
    <row r="89" spans="1:45" ht="15" customHeight="1" x14ac:dyDescent="0.3">
      <c r="A89" s="479"/>
      <c r="B89" s="480"/>
      <c r="C89" s="481"/>
      <c r="D89" s="482"/>
      <c r="E89" s="484"/>
      <c r="F89" s="484"/>
      <c r="G89" s="484"/>
      <c r="H89" s="484"/>
      <c r="I89" s="710"/>
      <c r="J89" s="482"/>
      <c r="K89" s="463"/>
      <c r="L89" s="482"/>
      <c r="M89" s="482"/>
      <c r="N89" s="482"/>
      <c r="O89" s="482"/>
      <c r="P89" s="482"/>
      <c r="Q89" s="482"/>
      <c r="R89" s="482"/>
      <c r="S89" s="482"/>
      <c r="T89" s="482"/>
      <c r="U89" s="482"/>
      <c r="V89" s="482"/>
      <c r="W89" s="482"/>
      <c r="X89" s="482"/>
      <c r="Y89" s="482"/>
      <c r="Z89" s="482"/>
      <c r="AA89" s="482"/>
      <c r="AB89" s="482"/>
      <c r="AC89" s="482"/>
      <c r="AD89" s="482"/>
      <c r="AE89" s="482"/>
      <c r="AF89" s="482"/>
      <c r="AG89" s="482"/>
      <c r="AH89" s="482"/>
      <c r="AI89" s="482"/>
      <c r="AJ89" s="482"/>
      <c r="AK89" s="482"/>
    </row>
    <row r="90" spans="1:45" ht="15" customHeight="1" x14ac:dyDescent="0.3">
      <c r="A90" s="714"/>
      <c r="B90" s="714"/>
      <c r="C90" s="715"/>
      <c r="D90" s="615"/>
      <c r="E90" s="487" t="str">
        <f ca="1">"SheetChecks: " &amp; $A$1</f>
        <v>SheetChecks: SummaryC_Flow</v>
      </c>
      <c r="F90" s="853">
        <f xml:space="preserve"> SUM(F83:F89)</f>
        <v>0</v>
      </c>
      <c r="G90" s="487" t="s">
        <v>525</v>
      </c>
      <c r="H90" s="615"/>
      <c r="I90" s="186"/>
      <c r="J90" s="615"/>
      <c r="K90" s="624"/>
      <c r="L90" s="615"/>
      <c r="M90" s="615"/>
      <c r="N90" s="615"/>
      <c r="O90" s="615"/>
      <c r="P90" s="615"/>
      <c r="Q90" s="615"/>
      <c r="R90" s="615"/>
      <c r="S90" s="615"/>
      <c r="T90" s="615"/>
      <c r="U90" s="615"/>
      <c r="V90" s="615"/>
      <c r="W90" s="615"/>
      <c r="X90" s="615"/>
      <c r="Y90" s="615"/>
      <c r="Z90" s="615"/>
      <c r="AA90" s="615"/>
      <c r="AB90" s="615"/>
      <c r="AC90" s="615"/>
      <c r="AD90" s="615"/>
      <c r="AE90" s="615"/>
      <c r="AF90" s="615"/>
      <c r="AG90" s="615"/>
      <c r="AH90" s="615"/>
      <c r="AI90" s="615"/>
      <c r="AJ90" s="615"/>
      <c r="AK90" s="615"/>
      <c r="AL90" s="143"/>
      <c r="AM90" s="143"/>
      <c r="AN90" s="143"/>
    </row>
    <row r="91" spans="1:45" ht="15" customHeight="1" x14ac:dyDescent="0.3">
      <c r="A91" s="712"/>
      <c r="B91" s="713"/>
      <c r="C91" s="621"/>
      <c r="D91" s="440"/>
      <c r="E91" s="440"/>
      <c r="F91" s="440"/>
      <c r="G91" s="440"/>
      <c r="H91" s="440"/>
      <c r="I91" s="483"/>
      <c r="J91" s="440"/>
      <c r="K91" s="462"/>
      <c r="L91" s="440"/>
      <c r="M91" s="440"/>
      <c r="N91" s="440"/>
      <c r="O91" s="440"/>
      <c r="P91" s="440"/>
      <c r="Q91" s="440"/>
      <c r="R91" s="440"/>
      <c r="S91" s="440"/>
      <c r="T91" s="440"/>
      <c r="U91" s="440"/>
      <c r="V91" s="440"/>
      <c r="W91" s="440"/>
      <c r="X91" s="440"/>
      <c r="Y91" s="440"/>
      <c r="Z91" s="440"/>
      <c r="AA91" s="440"/>
      <c r="AB91" s="440"/>
      <c r="AC91" s="440"/>
      <c r="AD91" s="440"/>
      <c r="AE91" s="440"/>
      <c r="AF91" s="440"/>
      <c r="AG91" s="440"/>
      <c r="AH91" s="440"/>
      <c r="AI91" s="440"/>
      <c r="AJ91" s="440"/>
      <c r="AK91" s="440"/>
    </row>
    <row r="92" spans="1:45" ht="15" customHeight="1" x14ac:dyDescent="0.3">
      <c r="A92" s="489" t="s">
        <v>490</v>
      </c>
      <c r="B92" s="489"/>
      <c r="C92" s="401"/>
      <c r="D92" s="490"/>
      <c r="E92" s="490"/>
      <c r="F92" s="490"/>
      <c r="G92" s="490"/>
      <c r="H92" s="490"/>
      <c r="I92" s="491"/>
      <c r="J92" s="490"/>
      <c r="K92" s="492"/>
      <c r="L92" s="490"/>
      <c r="M92" s="490"/>
      <c r="N92" s="490"/>
      <c r="O92" s="490"/>
      <c r="P92" s="490"/>
      <c r="Q92" s="490"/>
      <c r="R92" s="490"/>
      <c r="S92" s="490"/>
      <c r="T92" s="490"/>
      <c r="U92" s="490"/>
      <c r="V92" s="490"/>
      <c r="W92" s="490"/>
      <c r="X92" s="490"/>
      <c r="Y92" s="490"/>
      <c r="Z92" s="490"/>
      <c r="AA92" s="490"/>
      <c r="AB92" s="490"/>
      <c r="AC92" s="490"/>
      <c r="AD92" s="490"/>
      <c r="AE92" s="490"/>
      <c r="AF92" s="490"/>
      <c r="AG92" s="490"/>
      <c r="AH92" s="490"/>
      <c r="AI92" s="490"/>
      <c r="AJ92" s="490"/>
      <c r="AK92" s="490"/>
    </row>
  </sheetData>
  <conditionalFormatting sqref="F2">
    <cfRule type="cellIs" dxfId="156" priority="26" stopIfTrue="1" operator="equal">
      <formula>""</formula>
    </cfRule>
    <cfRule type="cellIs" dxfId="155" priority="25" stopIfTrue="1" operator="notEqual">
      <formula>0</formula>
    </cfRule>
  </conditionalFormatting>
  <conditionalFormatting sqref="F3">
    <cfRule type="cellIs" dxfId="154" priority="28" stopIfTrue="1" operator="equal">
      <formula>""</formula>
    </cfRule>
    <cfRule type="cellIs" dxfId="153" priority="27" stopIfTrue="1" operator="notEqual">
      <formula>0</formula>
    </cfRule>
  </conditionalFormatting>
  <conditionalFormatting sqref="F36">
    <cfRule type="cellIs" dxfId="152" priority="22" stopIfTrue="1" operator="equal">
      <formula>""</formula>
    </cfRule>
    <cfRule type="cellIs" dxfId="151" priority="21" stopIfTrue="1" operator="notEqual">
      <formula>0</formula>
    </cfRule>
  </conditionalFormatting>
  <conditionalFormatting sqref="F52">
    <cfRule type="cellIs" dxfId="150" priority="18" stopIfTrue="1" operator="equal">
      <formula>""</formula>
    </cfRule>
    <cfRule type="cellIs" dxfId="149" priority="17" stopIfTrue="1" operator="notEqual">
      <formula>0</formula>
    </cfRule>
  </conditionalFormatting>
  <conditionalFormatting sqref="F60">
    <cfRule type="cellIs" dxfId="148" priority="13" stopIfTrue="1" operator="notEqual">
      <formula>0</formula>
    </cfRule>
    <cfRule type="cellIs" dxfId="147" priority="14" stopIfTrue="1" operator="equal">
      <formula>""</formula>
    </cfRule>
  </conditionalFormatting>
  <conditionalFormatting sqref="F65">
    <cfRule type="cellIs" dxfId="146" priority="9" stopIfTrue="1" operator="notEqual">
      <formula>0</formula>
    </cfRule>
    <cfRule type="cellIs" dxfId="145" priority="10" stopIfTrue="1" operator="equal">
      <formula>""</formula>
    </cfRule>
  </conditionalFormatting>
  <conditionalFormatting sqref="F71">
    <cfRule type="cellIs" dxfId="144" priority="5" stopIfTrue="1" operator="notEqual">
      <formula>0</formula>
    </cfRule>
    <cfRule type="cellIs" dxfId="143" priority="6" stopIfTrue="1" operator="equal">
      <formula>""</formula>
    </cfRule>
  </conditionalFormatting>
  <conditionalFormatting sqref="F84:F88">
    <cfRule type="cellIs" dxfId="142" priority="3" stopIfTrue="1" operator="notEqual">
      <formula>0</formula>
    </cfRule>
    <cfRule type="cellIs" dxfId="141" priority="4" stopIfTrue="1" operator="equal">
      <formula>""</formula>
    </cfRule>
  </conditionalFormatting>
  <conditionalFormatting sqref="F90">
    <cfRule type="cellIs" dxfId="140" priority="2" stopIfTrue="1" operator="equal">
      <formula>""</formula>
    </cfRule>
    <cfRule type="cellIs" dxfId="139" priority="1" stopIfTrue="1" operator="notEqual">
      <formula>0</formula>
    </cfRule>
  </conditionalFormatting>
  <conditionalFormatting sqref="K3:AS3">
    <cfRule type="cellIs" dxfId="138" priority="29" stopIfTrue="1" operator="equal">
      <formula>#REF!</formula>
    </cfRule>
    <cfRule type="cellIs" dxfId="137" priority="30" stopIfTrue="1" operator="equal">
      <formula>#REF!</formula>
    </cfRule>
    <cfRule type="cellIs" dxfId="136" priority="31" operator="equal">
      <formula>#REF!</formula>
    </cfRule>
    <cfRule type="cellIs" dxfId="135" priority="32" operator="equal">
      <formula>#REF!</formula>
    </cfRule>
    <cfRule type="cellIs" dxfId="134" priority="33" stopIfTrue="1" operator="equal">
      <formula>#REF!</formula>
    </cfRule>
    <cfRule type="cellIs" dxfId="133" priority="34" stopIfTrue="1" operator="equal">
      <formula>#REF!</formula>
    </cfRule>
  </conditionalFormatting>
  <conditionalFormatting sqref="K36:AS36">
    <cfRule type="cellIs" dxfId="132" priority="23" stopIfTrue="1" operator="notEqual">
      <formula>0</formula>
    </cfRule>
    <cfRule type="cellIs" dxfId="131" priority="24" stopIfTrue="1" operator="equal">
      <formula>""</formula>
    </cfRule>
  </conditionalFormatting>
  <conditionalFormatting sqref="K52:AS52">
    <cfRule type="cellIs" dxfId="130" priority="19" stopIfTrue="1" operator="notEqual">
      <formula>0</formula>
    </cfRule>
    <cfRule type="cellIs" dxfId="129" priority="20" stopIfTrue="1" operator="equal">
      <formula>""</formula>
    </cfRule>
  </conditionalFormatting>
  <conditionalFormatting sqref="K60:AS60">
    <cfRule type="cellIs" dxfId="128" priority="16" stopIfTrue="1" operator="equal">
      <formula>""</formula>
    </cfRule>
    <cfRule type="cellIs" dxfId="127" priority="15" stopIfTrue="1" operator="notEqual">
      <formula>0</formula>
    </cfRule>
  </conditionalFormatting>
  <conditionalFormatting sqref="K65:AS65">
    <cfRule type="cellIs" dxfId="126" priority="12" stopIfTrue="1" operator="equal">
      <formula>""</formula>
    </cfRule>
    <cfRule type="cellIs" dxfId="125" priority="11" stopIfTrue="1" operator="notEqual">
      <formula>0</formula>
    </cfRule>
  </conditionalFormatting>
  <conditionalFormatting sqref="K71:AS71">
    <cfRule type="cellIs" dxfId="124" priority="8" stopIfTrue="1" operator="equal">
      <formula>""</formula>
    </cfRule>
    <cfRule type="cellIs" dxfId="123" priority="7" stopIfTrue="1" operator="notEqual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F4CF4C-DD06-4342-B799-2538AD64A726}">
  <sheetPr codeName="Sheet4"/>
  <dimension ref="A1:BD153"/>
  <sheetViews>
    <sheetView zoomScale="50" zoomScaleNormal="50" workbookViewId="0">
      <pane xSplit="10" ySplit="4" topLeftCell="K5" activePane="bottomRight" state="frozen"/>
      <selection pane="topRight" activeCell="K1" sqref="K1"/>
      <selection pane="bottomLeft" activeCell="A5" sqref="A5"/>
      <selection pane="bottomRight" activeCell="A182" sqref="A182"/>
    </sheetView>
  </sheetViews>
  <sheetFormatPr defaultColWidth="0" defaultRowHeight="15" customHeight="1" x14ac:dyDescent="0.3"/>
  <cols>
    <col min="1" max="2" width="1.33203125" style="446" customWidth="1"/>
    <col min="3" max="3" width="1.33203125" style="447" customWidth="1"/>
    <col min="4" max="4" width="1.33203125" style="448" customWidth="1"/>
    <col min="5" max="5" width="50.6640625" style="448" customWidth="1"/>
    <col min="6" max="6" width="12.6640625" style="448" customWidth="1"/>
    <col min="7" max="7" width="20.6640625" style="448" customWidth="1"/>
    <col min="8" max="8" width="25.109375" style="5" customWidth="1"/>
    <col min="9" max="9" width="12.6640625" style="448" customWidth="1" collapsed="1"/>
    <col min="10" max="10" width="1.6640625" style="450" customWidth="1"/>
    <col min="11" max="37" width="10.6640625" style="448" customWidth="1"/>
    <col min="38" max="45" width="10.6640625" customWidth="1"/>
    <col min="46" max="47" width="10.6640625" hidden="1" customWidth="1"/>
    <col min="48" max="56" width="11.6640625" hidden="1" customWidth="1"/>
    <col min="57" max="16384" width="14.44140625" hidden="1"/>
  </cols>
  <sheetData>
    <row r="1" spans="1:45" ht="26.25" customHeight="1" x14ac:dyDescent="0.3">
      <c r="A1" s="445" t="str">
        <f ca="1" xml:space="preserve"> RIGHT(CELL("filename", $A$3), LEN(CELL("filename", $A$3)) - SEARCH("]", CELL("filename", $A$3)))</f>
        <v>Charts</v>
      </c>
      <c r="F1" s="449"/>
    </row>
    <row r="2" spans="1:45" ht="15" customHeight="1" x14ac:dyDescent="0.3">
      <c r="F2" s="883">
        <f xml:space="preserve"> Track!F$80</f>
        <v>0</v>
      </c>
      <c r="G2" s="7" t="s">
        <v>0</v>
      </c>
      <c r="K2" s="47">
        <f>'T&amp;E'!K$9</f>
        <v>2006</v>
      </c>
      <c r="L2" s="47">
        <f>'T&amp;E'!L$9</f>
        <v>2007</v>
      </c>
      <c r="M2" s="47">
        <f>'T&amp;E'!M$9</f>
        <v>2008</v>
      </c>
      <c r="N2" s="47">
        <f>'T&amp;E'!N$9</f>
        <v>2009</v>
      </c>
      <c r="O2" s="47">
        <f>'T&amp;E'!O$9</f>
        <v>2010</v>
      </c>
      <c r="P2" s="47">
        <f>'T&amp;E'!P$9</f>
        <v>2011</v>
      </c>
      <c r="Q2" s="47">
        <f>'T&amp;E'!Q$9</f>
        <v>2012</v>
      </c>
      <c r="R2" s="47">
        <f>'T&amp;E'!R$9</f>
        <v>2013</v>
      </c>
      <c r="S2" s="47">
        <f>'T&amp;E'!S$9</f>
        <v>2014</v>
      </c>
      <c r="T2" s="47">
        <f>'T&amp;E'!T$9</f>
        <v>2015</v>
      </c>
      <c r="U2" s="47">
        <f>'T&amp;E'!U$9</f>
        <v>2016</v>
      </c>
      <c r="V2" s="47">
        <f>'T&amp;E'!V$9</f>
        <v>2017</v>
      </c>
      <c r="W2" s="47">
        <f>'T&amp;E'!W$9</f>
        <v>2018</v>
      </c>
      <c r="X2" s="47">
        <f>'T&amp;E'!X$9</f>
        <v>2019</v>
      </c>
      <c r="Y2" s="47">
        <f>'T&amp;E'!Y$9</f>
        <v>2020</v>
      </c>
      <c r="Z2" s="47">
        <f>'T&amp;E'!Z$9</f>
        <v>2021</v>
      </c>
      <c r="AA2" s="47">
        <f>'T&amp;E'!AA$9</f>
        <v>2022</v>
      </c>
      <c r="AB2" s="47">
        <f>'T&amp;E'!AB$9</f>
        <v>2023</v>
      </c>
      <c r="AC2" s="47">
        <f>'T&amp;E'!AC$9</f>
        <v>2024</v>
      </c>
      <c r="AD2" s="47">
        <f>'T&amp;E'!AD$9</f>
        <v>2025</v>
      </c>
      <c r="AE2" s="47">
        <f>'T&amp;E'!AE$9</f>
        <v>2026</v>
      </c>
      <c r="AF2" s="47">
        <f>'T&amp;E'!AF$9</f>
        <v>2027</v>
      </c>
      <c r="AG2" s="47">
        <f>'T&amp;E'!AG$9</f>
        <v>2028</v>
      </c>
      <c r="AH2" s="47">
        <f>'T&amp;E'!AH$9</f>
        <v>2029</v>
      </c>
      <c r="AI2" s="47">
        <f>'T&amp;E'!AI$9</f>
        <v>2030</v>
      </c>
      <c r="AJ2" s="47">
        <f>'T&amp;E'!AJ$9</f>
        <v>2031</v>
      </c>
      <c r="AK2" s="47">
        <f>'T&amp;E'!AK$9</f>
        <v>2032</v>
      </c>
      <c r="AL2" s="47">
        <f>'T&amp;E'!AL$9</f>
        <v>2033</v>
      </c>
      <c r="AM2" s="47">
        <f>'T&amp;E'!AM$9</f>
        <v>2034</v>
      </c>
      <c r="AN2" s="47">
        <f>'T&amp;E'!AN$9</f>
        <v>2035</v>
      </c>
      <c r="AO2" s="47">
        <f>'T&amp;E'!AO$9</f>
        <v>2036</v>
      </c>
      <c r="AP2" s="47">
        <f>'T&amp;E'!AP$9</f>
        <v>2037</v>
      </c>
      <c r="AQ2" s="47">
        <f>'T&amp;E'!AQ$9</f>
        <v>2038</v>
      </c>
      <c r="AR2" s="47">
        <f>'T&amp;E'!AR$9</f>
        <v>2039</v>
      </c>
      <c r="AS2" s="47">
        <f>'T&amp;E'!AS$9</f>
        <v>2040</v>
      </c>
    </row>
    <row r="3" spans="1:45" ht="15" customHeight="1" x14ac:dyDescent="0.3">
      <c r="F3" s="881">
        <f xml:space="preserve"> Track!F$3</f>
        <v>0</v>
      </c>
      <c r="G3" s="9" t="s">
        <v>1</v>
      </c>
      <c r="K3" s="49" t="s">
        <v>2</v>
      </c>
      <c r="L3" s="49" t="s">
        <v>2</v>
      </c>
      <c r="M3" s="49" t="s">
        <v>2</v>
      </c>
      <c r="N3" s="49" t="s">
        <v>2</v>
      </c>
      <c r="O3" s="49" t="s">
        <v>2</v>
      </c>
      <c r="P3" s="49" t="s">
        <v>2</v>
      </c>
      <c r="Q3" s="49" t="s">
        <v>2</v>
      </c>
      <c r="R3" s="49" t="s">
        <v>2</v>
      </c>
      <c r="S3" s="49" t="s">
        <v>2</v>
      </c>
      <c r="T3" s="49" t="s">
        <v>2</v>
      </c>
      <c r="U3" s="49" t="s">
        <v>2</v>
      </c>
      <c r="V3" s="49" t="s">
        <v>2</v>
      </c>
      <c r="W3" s="49" t="s">
        <v>2</v>
      </c>
      <c r="X3" s="49" t="s">
        <v>2</v>
      </c>
      <c r="Y3" s="49" t="s">
        <v>2</v>
      </c>
      <c r="Z3" s="49" t="s">
        <v>2</v>
      </c>
      <c r="AA3" s="49" t="s">
        <v>2</v>
      </c>
      <c r="AB3" s="49" t="s">
        <v>2</v>
      </c>
      <c r="AC3" s="49" t="s">
        <v>2</v>
      </c>
      <c r="AD3" s="49" t="s">
        <v>3</v>
      </c>
      <c r="AE3" s="49" t="s">
        <v>3</v>
      </c>
      <c r="AF3" s="49" t="s">
        <v>3</v>
      </c>
      <c r="AG3" s="49" t="s">
        <v>3</v>
      </c>
      <c r="AH3" s="49" t="s">
        <v>3</v>
      </c>
      <c r="AI3" s="49" t="s">
        <v>3</v>
      </c>
      <c r="AJ3" s="49" t="s">
        <v>3</v>
      </c>
      <c r="AK3" s="49" t="s">
        <v>3</v>
      </c>
      <c r="AL3" s="49" t="s">
        <v>3</v>
      </c>
      <c r="AM3" s="49" t="s">
        <v>3</v>
      </c>
      <c r="AN3" s="49" t="s">
        <v>3</v>
      </c>
      <c r="AO3" s="49" t="s">
        <v>3</v>
      </c>
      <c r="AP3" s="49" t="s">
        <v>3</v>
      </c>
      <c r="AQ3" s="49" t="s">
        <v>3</v>
      </c>
      <c r="AR3" s="49" t="s">
        <v>3</v>
      </c>
      <c r="AS3" s="49" t="s">
        <v>3</v>
      </c>
    </row>
    <row r="4" spans="1:45" ht="15" customHeight="1" x14ac:dyDescent="0.3">
      <c r="F4" s="451" t="s">
        <v>4</v>
      </c>
      <c r="G4" s="446" t="s">
        <v>5</v>
      </c>
      <c r="H4" s="452" t="s">
        <v>6</v>
      </c>
      <c r="I4" s="13"/>
      <c r="K4" s="45">
        <f>'T&amp;E'!K$11</f>
        <v>1</v>
      </c>
      <c r="L4" s="45">
        <f>'T&amp;E'!L$11</f>
        <v>2</v>
      </c>
      <c r="M4" s="45">
        <f>'T&amp;E'!M$11</f>
        <v>3</v>
      </c>
      <c r="N4" s="45">
        <f>'T&amp;E'!N$11</f>
        <v>4</v>
      </c>
      <c r="O4" s="45">
        <f>'T&amp;E'!O$11</f>
        <v>5</v>
      </c>
      <c r="P4" s="45">
        <f>'T&amp;E'!P$11</f>
        <v>6</v>
      </c>
      <c r="Q4" s="45">
        <f>'T&amp;E'!Q$11</f>
        <v>7</v>
      </c>
      <c r="R4" s="45">
        <f>'T&amp;E'!R$11</f>
        <v>8</v>
      </c>
      <c r="S4" s="45">
        <f>'T&amp;E'!S$11</f>
        <v>9</v>
      </c>
      <c r="T4" s="45">
        <f>'T&amp;E'!T$11</f>
        <v>10</v>
      </c>
      <c r="U4" s="45">
        <f>'T&amp;E'!U$11</f>
        <v>11</v>
      </c>
      <c r="V4" s="45">
        <f>'T&amp;E'!V$11</f>
        <v>12</v>
      </c>
      <c r="W4" s="45">
        <f>'T&amp;E'!W$11</f>
        <v>13</v>
      </c>
      <c r="X4" s="45">
        <f>'T&amp;E'!X$11</f>
        <v>14</v>
      </c>
      <c r="Y4" s="45">
        <f>'T&amp;E'!Y$11</f>
        <v>15</v>
      </c>
      <c r="Z4" s="45">
        <f>'T&amp;E'!Z$11</f>
        <v>16</v>
      </c>
      <c r="AA4" s="45">
        <f>'T&amp;E'!AA$11</f>
        <v>17</v>
      </c>
      <c r="AB4" s="45">
        <f>'T&amp;E'!AB$11</f>
        <v>18</v>
      </c>
      <c r="AC4" s="45">
        <f>'T&amp;E'!AC$11</f>
        <v>19</v>
      </c>
      <c r="AD4" s="45">
        <f>'T&amp;E'!AD$11</f>
        <v>20</v>
      </c>
      <c r="AE4" s="45">
        <f>'T&amp;E'!AE$11</f>
        <v>21</v>
      </c>
      <c r="AF4" s="45">
        <f>'T&amp;E'!AF$11</f>
        <v>22</v>
      </c>
      <c r="AG4" s="45">
        <f>'T&amp;E'!AG$11</f>
        <v>23</v>
      </c>
      <c r="AH4" s="45">
        <f>'T&amp;E'!AH$11</f>
        <v>24</v>
      </c>
      <c r="AI4" s="45">
        <f>'T&amp;E'!AI$11</f>
        <v>25</v>
      </c>
      <c r="AJ4" s="45">
        <f>'T&amp;E'!AJ$11</f>
        <v>26</v>
      </c>
      <c r="AK4" s="45">
        <f>'T&amp;E'!AK$11</f>
        <v>27</v>
      </c>
      <c r="AL4" s="45">
        <f>'T&amp;E'!AL$11</f>
        <v>28</v>
      </c>
      <c r="AM4" s="45">
        <f>'T&amp;E'!AM$11</f>
        <v>29</v>
      </c>
      <c r="AN4" s="45">
        <f>'T&amp;E'!AN$11</f>
        <v>30</v>
      </c>
      <c r="AO4" s="45">
        <f>'T&amp;E'!AO$11</f>
        <v>31</v>
      </c>
      <c r="AP4" s="45">
        <f>'T&amp;E'!AP$11</f>
        <v>32</v>
      </c>
      <c r="AQ4" s="45">
        <f>'T&amp;E'!AQ$11</f>
        <v>33</v>
      </c>
      <c r="AR4" s="45">
        <f>'T&amp;E'!AR$11</f>
        <v>34</v>
      </c>
      <c r="AS4" s="45">
        <f>'T&amp;E'!AS$11</f>
        <v>35</v>
      </c>
    </row>
    <row r="5" spans="1:45" ht="15" customHeight="1" x14ac:dyDescent="0.3">
      <c r="F5" s="451"/>
      <c r="G5" s="446"/>
      <c r="H5" s="452"/>
      <c r="I5" s="13"/>
      <c r="J5" s="453"/>
      <c r="AL5" s="448"/>
      <c r="AM5" s="448"/>
      <c r="AN5" s="448"/>
      <c r="AO5" s="448"/>
      <c r="AP5" s="448"/>
      <c r="AQ5" s="448"/>
      <c r="AR5" s="448"/>
      <c r="AS5" s="448"/>
    </row>
    <row r="6" spans="1:45" ht="15" customHeight="1" collapsed="1" x14ac:dyDescent="0.3">
      <c r="A6" s="454" t="s">
        <v>289</v>
      </c>
      <c r="B6" s="455"/>
      <c r="C6" s="456"/>
      <c r="D6" s="457"/>
      <c r="E6" s="455"/>
      <c r="F6" s="455"/>
      <c r="G6" s="455"/>
      <c r="H6" s="455"/>
      <c r="I6" s="455"/>
      <c r="J6" s="458"/>
      <c r="K6" s="455"/>
      <c r="L6" s="455"/>
      <c r="M6" s="455"/>
      <c r="N6" s="455"/>
      <c r="O6" s="455"/>
      <c r="P6" s="455"/>
      <c r="Q6" s="455"/>
      <c r="R6" s="455"/>
      <c r="S6" s="455"/>
      <c r="T6" s="455"/>
      <c r="U6" s="455"/>
      <c r="V6" s="455"/>
      <c r="W6" s="455"/>
      <c r="X6" s="455"/>
      <c r="Y6" s="455"/>
      <c r="Z6" s="455"/>
      <c r="AA6" s="455"/>
      <c r="AB6" s="455"/>
      <c r="AC6" s="455"/>
      <c r="AD6" s="455"/>
      <c r="AE6" s="455"/>
      <c r="AF6" s="455"/>
      <c r="AG6" s="455"/>
      <c r="AH6" s="455"/>
      <c r="AI6" s="455"/>
      <c r="AJ6" s="455"/>
      <c r="AK6" s="455"/>
      <c r="AL6" s="455"/>
      <c r="AM6" s="455"/>
      <c r="AN6" s="455"/>
      <c r="AO6" s="455"/>
      <c r="AP6" s="455"/>
      <c r="AQ6" s="455"/>
      <c r="AR6" s="455"/>
      <c r="AS6" s="455"/>
    </row>
    <row r="7" spans="1:45" ht="15" customHeight="1" x14ac:dyDescent="0.3">
      <c r="D7" s="460"/>
      <c r="H7" s="448"/>
      <c r="J7" s="453"/>
    </row>
    <row r="8" spans="1:45" ht="15" customHeight="1" x14ac:dyDescent="0.3">
      <c r="E8" s="636" t="s">
        <v>684</v>
      </c>
      <c r="F8" s="88" t="s">
        <v>674</v>
      </c>
    </row>
    <row r="9" spans="1:45" ht="15" customHeight="1" x14ac:dyDescent="0.3">
      <c r="E9" s="636" t="s">
        <v>675</v>
      </c>
      <c r="F9" s="88" t="s">
        <v>676</v>
      </c>
    </row>
    <row r="10" spans="1:45" ht="15" customHeight="1" x14ac:dyDescent="0.3">
      <c r="E10" s="88"/>
      <c r="F10" s="88" t="s">
        <v>677</v>
      </c>
    </row>
    <row r="12" spans="1:45" ht="15" customHeight="1" x14ac:dyDescent="0.3">
      <c r="A12" s="731"/>
      <c r="B12" s="731"/>
      <c r="C12" s="732"/>
      <c r="D12" s="177"/>
      <c r="E12" s="177" t="str">
        <f xml:space="preserve"> 'T&amp;E'!E$9</f>
        <v>Model calendar year</v>
      </c>
      <c r="F12" s="177">
        <f xml:space="preserve"> 'T&amp;E'!F$9</f>
        <v>0</v>
      </c>
      <c r="G12" s="177" t="str">
        <f xml:space="preserve"> 'T&amp;E'!G$9</f>
        <v>year</v>
      </c>
      <c r="H12" s="177">
        <f xml:space="preserve"> 'T&amp;E'!H$9</f>
        <v>0</v>
      </c>
      <c r="I12" s="177">
        <f xml:space="preserve"> 'T&amp;E'!I$9</f>
        <v>0</v>
      </c>
      <c r="J12" s="177">
        <f xml:space="preserve"> 'T&amp;E'!J$9</f>
        <v>0</v>
      </c>
      <c r="K12" s="177">
        <f xml:space="preserve"> 'T&amp;E'!K$9</f>
        <v>2006</v>
      </c>
      <c r="L12" s="177">
        <f xml:space="preserve"> 'T&amp;E'!L$9</f>
        <v>2007</v>
      </c>
      <c r="M12" s="177">
        <f xml:space="preserve"> 'T&amp;E'!M$9</f>
        <v>2008</v>
      </c>
      <c r="N12" s="177">
        <f xml:space="preserve"> 'T&amp;E'!N$9</f>
        <v>2009</v>
      </c>
      <c r="O12" s="177">
        <f xml:space="preserve"> 'T&amp;E'!O$9</f>
        <v>2010</v>
      </c>
      <c r="P12" s="177">
        <f xml:space="preserve"> 'T&amp;E'!P$9</f>
        <v>2011</v>
      </c>
      <c r="Q12" s="177">
        <f xml:space="preserve"> 'T&amp;E'!Q$9</f>
        <v>2012</v>
      </c>
      <c r="R12" s="177">
        <f xml:space="preserve"> 'T&amp;E'!R$9</f>
        <v>2013</v>
      </c>
      <c r="S12" s="177">
        <f xml:space="preserve"> 'T&amp;E'!S$9</f>
        <v>2014</v>
      </c>
      <c r="T12" s="177">
        <f xml:space="preserve"> 'T&amp;E'!T$9</f>
        <v>2015</v>
      </c>
      <c r="U12" s="177">
        <f xml:space="preserve"> 'T&amp;E'!U$9</f>
        <v>2016</v>
      </c>
      <c r="V12" s="177">
        <f xml:space="preserve"> 'T&amp;E'!V$9</f>
        <v>2017</v>
      </c>
      <c r="W12" s="177">
        <f xml:space="preserve"> 'T&amp;E'!W$9</f>
        <v>2018</v>
      </c>
      <c r="X12" s="177">
        <f xml:space="preserve"> 'T&amp;E'!X$9</f>
        <v>2019</v>
      </c>
      <c r="Y12" s="177">
        <f xml:space="preserve"> 'T&amp;E'!Y$9</f>
        <v>2020</v>
      </c>
      <c r="Z12" s="177">
        <f xml:space="preserve"> 'T&amp;E'!Z$9</f>
        <v>2021</v>
      </c>
      <c r="AA12" s="177">
        <f xml:space="preserve"> 'T&amp;E'!AA$9</f>
        <v>2022</v>
      </c>
      <c r="AB12" s="177">
        <f xml:space="preserve"> 'T&amp;E'!AB$9</f>
        <v>2023</v>
      </c>
      <c r="AC12" s="177">
        <f xml:space="preserve"> 'T&amp;E'!AC$9</f>
        <v>2024</v>
      </c>
      <c r="AD12" s="177">
        <f xml:space="preserve"> 'T&amp;E'!AD$9</f>
        <v>2025</v>
      </c>
      <c r="AE12" s="177">
        <f xml:space="preserve"> 'T&amp;E'!AE$9</f>
        <v>2026</v>
      </c>
      <c r="AF12" s="177">
        <f xml:space="preserve"> 'T&amp;E'!AF$9</f>
        <v>2027</v>
      </c>
      <c r="AG12" s="177">
        <f xml:space="preserve"> 'T&amp;E'!AG$9</f>
        <v>2028</v>
      </c>
      <c r="AH12" s="177">
        <f xml:space="preserve"> 'T&amp;E'!AH$9</f>
        <v>2029</v>
      </c>
      <c r="AI12" s="177">
        <f xml:space="preserve"> 'T&amp;E'!AI$9</f>
        <v>2030</v>
      </c>
      <c r="AJ12" s="177">
        <f xml:space="preserve"> 'T&amp;E'!AJ$9</f>
        <v>2031</v>
      </c>
      <c r="AK12" s="177">
        <f xml:space="preserve"> 'T&amp;E'!AK$9</f>
        <v>2032</v>
      </c>
      <c r="AL12" s="177">
        <f xml:space="preserve"> 'T&amp;E'!AL$9</f>
        <v>2033</v>
      </c>
      <c r="AM12" s="177">
        <f xml:space="preserve"> 'T&amp;E'!AM$9</f>
        <v>2034</v>
      </c>
      <c r="AN12" s="177">
        <f xml:space="preserve"> 'T&amp;E'!AN$9</f>
        <v>2035</v>
      </c>
      <c r="AO12" s="177">
        <f xml:space="preserve"> 'T&amp;E'!AO$9</f>
        <v>2036</v>
      </c>
      <c r="AP12" s="177">
        <f xml:space="preserve"> 'T&amp;E'!AP$9</f>
        <v>2037</v>
      </c>
      <c r="AQ12" s="177">
        <f xml:space="preserve"> 'T&amp;E'!AQ$9</f>
        <v>2038</v>
      </c>
      <c r="AR12" s="177">
        <f xml:space="preserve"> 'T&amp;E'!AR$9</f>
        <v>2039</v>
      </c>
      <c r="AS12" s="177">
        <f xml:space="preserve"> 'T&amp;E'!AS$9</f>
        <v>2040</v>
      </c>
    </row>
    <row r="13" spans="1:45" ht="15" customHeight="1" x14ac:dyDescent="0.3">
      <c r="E13" s="597" t="str">
        <f xml:space="preserve"> COMMUS_Model!E$79</f>
        <v>Copper production incl Sens.</v>
      </c>
      <c r="F13" s="597">
        <f xml:space="preserve"> COMMUS_Model!F$79</f>
        <v>0</v>
      </c>
      <c r="G13" s="597" t="str">
        <f xml:space="preserve"> COMMUS_Model!G$79</f>
        <v>KT Cu</v>
      </c>
      <c r="H13" s="597">
        <f xml:space="preserve"> COMMUS_Model!H$79</f>
        <v>0</v>
      </c>
      <c r="I13" s="597">
        <f xml:space="preserve"> COMMUS_Model!I$79</f>
        <v>1750.6700000000008</v>
      </c>
      <c r="J13" s="597">
        <f xml:space="preserve"> COMMUS_Model!J$79</f>
        <v>0</v>
      </c>
      <c r="K13" s="597">
        <f xml:space="preserve"> COMMUS_Model!K$79</f>
        <v>0</v>
      </c>
      <c r="L13" s="597">
        <f xml:space="preserve"> COMMUS_Model!L$79</f>
        <v>0</v>
      </c>
      <c r="M13" s="597">
        <f xml:space="preserve"> COMMUS_Model!M$79</f>
        <v>0</v>
      </c>
      <c r="N13" s="597">
        <f xml:space="preserve"> COMMUS_Model!N$79</f>
        <v>0</v>
      </c>
      <c r="O13" s="597">
        <f xml:space="preserve"> COMMUS_Model!O$79</f>
        <v>0</v>
      </c>
      <c r="P13" s="597">
        <f xml:space="preserve"> COMMUS_Model!P$79</f>
        <v>0</v>
      </c>
      <c r="Q13" s="597">
        <f xml:space="preserve"> COMMUS_Model!Q$79</f>
        <v>0</v>
      </c>
      <c r="R13" s="597">
        <f xml:space="preserve"> COMMUS_Model!R$79</f>
        <v>0</v>
      </c>
      <c r="S13" s="597">
        <f xml:space="preserve"> COMMUS_Model!S$79</f>
        <v>0</v>
      </c>
      <c r="T13" s="597">
        <f xml:space="preserve"> COMMUS_Model!T$79</f>
        <v>0</v>
      </c>
      <c r="U13" s="597">
        <f xml:space="preserve"> COMMUS_Model!U$79</f>
        <v>0</v>
      </c>
      <c r="V13" s="597">
        <f xml:space="preserve"> COMMUS_Model!V$79</f>
        <v>39.692</v>
      </c>
      <c r="W13" s="597">
        <f xml:space="preserve"> COMMUS_Model!W$79</f>
        <v>111.964</v>
      </c>
      <c r="X13" s="597">
        <f xml:space="preserve"> COMMUS_Model!X$79</f>
        <v>131.25200000000001</v>
      </c>
      <c r="Y13" s="597">
        <f xml:space="preserve"> COMMUS_Model!Y$79</f>
        <v>131.24799999999999</v>
      </c>
      <c r="Z13" s="597">
        <f xml:space="preserve"> COMMUS_Model!Z$79</f>
        <v>215.79500000000002</v>
      </c>
      <c r="AA13" s="597">
        <f xml:space="preserve"> COMMUS_Model!AA$79</f>
        <v>147.09399999999999</v>
      </c>
      <c r="AB13" s="597">
        <f xml:space="preserve"> COMMUS_Model!AB$79</f>
        <v>124.084</v>
      </c>
      <c r="AC13" s="597">
        <f xml:space="preserve"> COMMUS_Model!AC$79</f>
        <v>79.510500000000008</v>
      </c>
      <c r="AD13" s="597">
        <f xml:space="preserve"> COMMUS_Model!AD$79</f>
        <v>110.2505</v>
      </c>
      <c r="AE13" s="597">
        <f xml:space="preserve"> COMMUS_Model!AE$79</f>
        <v>110.2505</v>
      </c>
      <c r="AF13" s="597">
        <f xml:space="preserve"> COMMUS_Model!AF$79</f>
        <v>110.2505</v>
      </c>
      <c r="AG13" s="597">
        <f xml:space="preserve"> COMMUS_Model!AG$79</f>
        <v>110.2505</v>
      </c>
      <c r="AH13" s="597">
        <f xml:space="preserve"> COMMUS_Model!AH$79</f>
        <v>110.2505</v>
      </c>
      <c r="AI13" s="597">
        <f xml:space="preserve"> COMMUS_Model!AI$79</f>
        <v>90.641000000000005</v>
      </c>
      <c r="AJ13" s="597">
        <f xml:space="preserve"> COMMUS_Model!AJ$79</f>
        <v>90.641000000000005</v>
      </c>
      <c r="AK13" s="597">
        <f xml:space="preserve"> COMMUS_Model!AK$79</f>
        <v>37.496000000000002</v>
      </c>
      <c r="AL13" s="597">
        <f xml:space="preserve"> COMMUS_Model!AL$79</f>
        <v>0</v>
      </c>
      <c r="AM13" s="597">
        <f xml:space="preserve"> COMMUS_Model!AM$79</f>
        <v>0</v>
      </c>
      <c r="AN13" s="597">
        <f xml:space="preserve"> COMMUS_Model!AN$79</f>
        <v>0</v>
      </c>
      <c r="AO13" s="597">
        <f xml:space="preserve"> COMMUS_Model!AO$79</f>
        <v>0</v>
      </c>
      <c r="AP13" s="597">
        <f xml:space="preserve"> COMMUS_Model!AP$79</f>
        <v>0</v>
      </c>
      <c r="AQ13" s="597">
        <f xml:space="preserve"> COMMUS_Model!AQ$79</f>
        <v>0</v>
      </c>
      <c r="AR13" s="597">
        <f xml:space="preserve"> COMMUS_Model!AR$79</f>
        <v>0</v>
      </c>
      <c r="AS13" s="597">
        <f xml:space="preserve"> COMMUS_Model!AS$79</f>
        <v>0</v>
      </c>
    </row>
    <row r="14" spans="1:45" ht="15" customHeight="1" x14ac:dyDescent="0.3">
      <c r="E14" s="597" t="str">
        <f xml:space="preserve"> COMMUS_Model!E$126</f>
        <v>Cobalt production incl Sens.</v>
      </c>
      <c r="F14" s="597">
        <f xml:space="preserve"> COMMUS_Model!F$126</f>
        <v>0</v>
      </c>
      <c r="G14" s="597" t="str">
        <f xml:space="preserve"> COMMUS_Model!G$126</f>
        <v>KT Co</v>
      </c>
      <c r="H14" s="597">
        <f xml:space="preserve"> COMMUS_Model!H$126</f>
        <v>0</v>
      </c>
      <c r="I14" s="597">
        <f xml:space="preserve"> COMMUS_Model!I$126</f>
        <v>21.822532857142861</v>
      </c>
      <c r="J14" s="597">
        <f xml:space="preserve"> COMMUS_Model!J$126</f>
        <v>0</v>
      </c>
      <c r="K14" s="597">
        <f xml:space="preserve"> COMMUS_Model!K$126</f>
        <v>0</v>
      </c>
      <c r="L14" s="597">
        <f xml:space="preserve"> COMMUS_Model!L$126</f>
        <v>0</v>
      </c>
      <c r="M14" s="597">
        <f xml:space="preserve"> COMMUS_Model!M$126</f>
        <v>0</v>
      </c>
      <c r="N14" s="597">
        <f xml:space="preserve"> COMMUS_Model!N$126</f>
        <v>0</v>
      </c>
      <c r="O14" s="597">
        <f xml:space="preserve"> COMMUS_Model!O$126</f>
        <v>0</v>
      </c>
      <c r="P14" s="597">
        <f xml:space="preserve"> COMMUS_Model!P$126</f>
        <v>0</v>
      </c>
      <c r="Q14" s="597">
        <f xml:space="preserve"> COMMUS_Model!Q$126</f>
        <v>0</v>
      </c>
      <c r="R14" s="597">
        <f xml:space="preserve"> COMMUS_Model!R$126</f>
        <v>0</v>
      </c>
      <c r="S14" s="597">
        <f xml:space="preserve"> COMMUS_Model!S$126</f>
        <v>0</v>
      </c>
      <c r="T14" s="597">
        <f xml:space="preserve"> COMMUS_Model!T$126</f>
        <v>0</v>
      </c>
      <c r="U14" s="597">
        <f xml:space="preserve"> COMMUS_Model!U$126</f>
        <v>0</v>
      </c>
      <c r="V14" s="597">
        <f xml:space="preserve"> COMMUS_Model!V$126</f>
        <v>0</v>
      </c>
      <c r="W14" s="597">
        <f xml:space="preserve"> COMMUS_Model!W$126</f>
        <v>0</v>
      </c>
      <c r="X14" s="597">
        <f xml:space="preserve"> COMMUS_Model!X$126</f>
        <v>0.70802999999999994</v>
      </c>
      <c r="Y14" s="597">
        <f xml:space="preserve"> COMMUS_Model!Y$126</f>
        <v>1.4230799999999999</v>
      </c>
      <c r="Z14" s="597">
        <f xml:space="preserve"> COMMUS_Model!Z$126</f>
        <v>1.6069300000000002</v>
      </c>
      <c r="AA14" s="597">
        <f xml:space="preserve"> COMMUS_Model!AA$126</f>
        <v>2.5061800000000001</v>
      </c>
      <c r="AB14" s="597">
        <f xml:space="preserve"> COMMUS_Model!AB$126</f>
        <v>2.306</v>
      </c>
      <c r="AC14" s="597">
        <f xml:space="preserve"> COMMUS_Model!AC$126</f>
        <v>0.77815000000000001</v>
      </c>
      <c r="AD14" s="597">
        <f xml:space="preserve"> COMMUS_Model!AD$126</f>
        <v>1.7336771428571429</v>
      </c>
      <c r="AE14" s="597">
        <f xml:space="preserve"> COMMUS_Model!AE$126</f>
        <v>1.7336771428571429</v>
      </c>
      <c r="AF14" s="597">
        <f xml:space="preserve"> COMMUS_Model!AF$126</f>
        <v>1.7336771428571429</v>
      </c>
      <c r="AG14" s="597">
        <f xml:space="preserve"> COMMUS_Model!AG$126</f>
        <v>1.7336771428571429</v>
      </c>
      <c r="AH14" s="597">
        <f xml:space="preserve"> COMMUS_Model!AH$126</f>
        <v>1.7336771428571429</v>
      </c>
      <c r="AI14" s="597">
        <f xml:space="preserve"> COMMUS_Model!AI$126</f>
        <v>1.7336771428571429</v>
      </c>
      <c r="AJ14" s="597">
        <f xml:space="preserve"> COMMUS_Model!AJ$126</f>
        <v>1.4799100000000001</v>
      </c>
      <c r="AK14" s="597">
        <f xml:space="preserve"> COMMUS_Model!AK$126</f>
        <v>0.61219000000000001</v>
      </c>
      <c r="AL14" s="597">
        <f xml:space="preserve"> COMMUS_Model!AL$126</f>
        <v>0</v>
      </c>
      <c r="AM14" s="597">
        <f xml:space="preserve"> COMMUS_Model!AM$126</f>
        <v>0</v>
      </c>
      <c r="AN14" s="597">
        <f xml:space="preserve"> COMMUS_Model!AN$126</f>
        <v>0</v>
      </c>
      <c r="AO14" s="597">
        <f xml:space="preserve"> COMMUS_Model!AO$126</f>
        <v>0</v>
      </c>
      <c r="AP14" s="597">
        <f xml:space="preserve"> COMMUS_Model!AP$126</f>
        <v>0</v>
      </c>
      <c r="AQ14" s="597">
        <f xml:space="preserve"> COMMUS_Model!AQ$126</f>
        <v>0</v>
      </c>
      <c r="AR14" s="597">
        <f xml:space="preserve"> COMMUS_Model!AR$126</f>
        <v>0</v>
      </c>
      <c r="AS14" s="597">
        <f xml:space="preserve"> COMMUS_Model!AS$126</f>
        <v>0</v>
      </c>
    </row>
    <row r="46" spans="1:45" ht="15" customHeight="1" collapsed="1" x14ac:dyDescent="0.3">
      <c r="A46" s="733" t="s">
        <v>678</v>
      </c>
      <c r="B46" s="734"/>
      <c r="C46" s="735"/>
      <c r="D46" s="734"/>
      <c r="E46" s="734"/>
      <c r="F46" s="734"/>
      <c r="G46" s="734"/>
      <c r="H46" s="734"/>
      <c r="I46" s="734"/>
      <c r="J46" s="734"/>
      <c r="K46" s="734"/>
      <c r="L46" s="734"/>
      <c r="M46" s="734"/>
      <c r="N46" s="734"/>
      <c r="O46" s="734"/>
      <c r="P46" s="734"/>
      <c r="Q46" s="734"/>
      <c r="R46" s="734"/>
      <c r="S46" s="734"/>
      <c r="T46" s="734"/>
      <c r="U46" s="734"/>
      <c r="V46" s="734"/>
      <c r="W46" s="734"/>
      <c r="X46" s="734"/>
      <c r="Y46" s="734"/>
      <c r="Z46" s="734"/>
      <c r="AA46" s="734"/>
      <c r="AB46" s="734"/>
      <c r="AC46" s="734"/>
      <c r="AD46" s="734"/>
      <c r="AE46" s="734"/>
      <c r="AF46" s="734"/>
      <c r="AG46" s="734"/>
      <c r="AH46" s="734"/>
      <c r="AI46" s="734"/>
      <c r="AJ46" s="734"/>
      <c r="AK46" s="734"/>
      <c r="AL46" s="734"/>
      <c r="AM46" s="734"/>
      <c r="AN46" s="734"/>
      <c r="AO46" s="734"/>
      <c r="AP46" s="734"/>
      <c r="AQ46" s="734"/>
      <c r="AR46" s="734"/>
      <c r="AS46" s="734"/>
    </row>
    <row r="48" spans="1:45" ht="15" customHeight="1" x14ac:dyDescent="0.3">
      <c r="E48" s="636" t="str">
        <f xml:space="preserve"> A46</f>
        <v>COPPER AND COBALT PRICES</v>
      </c>
      <c r="F48" s="88" t="s">
        <v>674</v>
      </c>
    </row>
    <row r="49" spans="1:45" ht="15" customHeight="1" x14ac:dyDescent="0.3">
      <c r="E49" s="636"/>
      <c r="F49" s="88" t="s">
        <v>676</v>
      </c>
    </row>
    <row r="50" spans="1:45" ht="15" customHeight="1" x14ac:dyDescent="0.3">
      <c r="E50" s="636" t="s">
        <v>679</v>
      </c>
      <c r="F50" s="88" t="s">
        <v>677</v>
      </c>
    </row>
    <row r="51" spans="1:45" ht="15" customHeight="1" x14ac:dyDescent="0.3">
      <c r="E51" s="636" t="s">
        <v>680</v>
      </c>
      <c r="F51" s="88" t="s">
        <v>681</v>
      </c>
    </row>
    <row r="53" spans="1:45" ht="15" customHeight="1" x14ac:dyDescent="0.3">
      <c r="A53" s="731"/>
      <c r="B53" s="731"/>
      <c r="C53" s="732"/>
      <c r="D53" s="177"/>
      <c r="E53" s="177" t="str">
        <f xml:space="preserve"> 'T&amp;E'!E$9</f>
        <v>Model calendar year</v>
      </c>
      <c r="F53" s="177">
        <f xml:space="preserve"> 'T&amp;E'!F$9</f>
        <v>0</v>
      </c>
      <c r="G53" s="177" t="str">
        <f xml:space="preserve"> 'T&amp;E'!G$9</f>
        <v>year</v>
      </c>
      <c r="H53" s="177">
        <f xml:space="preserve"> 'T&amp;E'!H$9</f>
        <v>0</v>
      </c>
      <c r="I53" s="177">
        <f xml:space="preserve"> 'T&amp;E'!I$9</f>
        <v>0</v>
      </c>
      <c r="J53" s="177">
        <f xml:space="preserve"> 'T&amp;E'!J$9</f>
        <v>0</v>
      </c>
      <c r="K53" s="177">
        <f xml:space="preserve"> 'T&amp;E'!K$9</f>
        <v>2006</v>
      </c>
      <c r="L53" s="177">
        <f xml:space="preserve"> 'T&amp;E'!L$9</f>
        <v>2007</v>
      </c>
      <c r="M53" s="177">
        <f xml:space="preserve"> 'T&amp;E'!M$9</f>
        <v>2008</v>
      </c>
      <c r="N53" s="177">
        <f xml:space="preserve"> 'T&amp;E'!N$9</f>
        <v>2009</v>
      </c>
      <c r="O53" s="177">
        <f xml:space="preserve"> 'T&amp;E'!O$9</f>
        <v>2010</v>
      </c>
      <c r="P53" s="177">
        <f xml:space="preserve"> 'T&amp;E'!P$9</f>
        <v>2011</v>
      </c>
      <c r="Q53" s="177">
        <f xml:space="preserve"> 'T&amp;E'!Q$9</f>
        <v>2012</v>
      </c>
      <c r="R53" s="177">
        <f xml:space="preserve"> 'T&amp;E'!R$9</f>
        <v>2013</v>
      </c>
      <c r="S53" s="177">
        <f xml:space="preserve"> 'T&amp;E'!S$9</f>
        <v>2014</v>
      </c>
      <c r="T53" s="177">
        <f xml:space="preserve"> 'T&amp;E'!T$9</f>
        <v>2015</v>
      </c>
      <c r="U53" s="177">
        <f xml:space="preserve"> 'T&amp;E'!U$9</f>
        <v>2016</v>
      </c>
      <c r="V53" s="177">
        <f xml:space="preserve"> 'T&amp;E'!V$9</f>
        <v>2017</v>
      </c>
      <c r="W53" s="177">
        <f xml:space="preserve"> 'T&amp;E'!W$9</f>
        <v>2018</v>
      </c>
      <c r="X53" s="177">
        <f xml:space="preserve"> 'T&amp;E'!X$9</f>
        <v>2019</v>
      </c>
      <c r="Y53" s="177">
        <f xml:space="preserve"> 'T&amp;E'!Y$9</f>
        <v>2020</v>
      </c>
      <c r="Z53" s="177">
        <f xml:space="preserve"> 'T&amp;E'!Z$9</f>
        <v>2021</v>
      </c>
      <c r="AA53" s="177">
        <f xml:space="preserve"> 'T&amp;E'!AA$9</f>
        <v>2022</v>
      </c>
      <c r="AB53" s="177">
        <f xml:space="preserve"> 'T&amp;E'!AB$9</f>
        <v>2023</v>
      </c>
      <c r="AC53" s="177">
        <f xml:space="preserve"> 'T&amp;E'!AC$9</f>
        <v>2024</v>
      </c>
      <c r="AD53" s="177">
        <f xml:space="preserve"> 'T&amp;E'!AD$9</f>
        <v>2025</v>
      </c>
      <c r="AE53" s="177">
        <f xml:space="preserve"> 'T&amp;E'!AE$9</f>
        <v>2026</v>
      </c>
      <c r="AF53" s="177">
        <f xml:space="preserve"> 'T&amp;E'!AF$9</f>
        <v>2027</v>
      </c>
      <c r="AG53" s="177">
        <f xml:space="preserve"> 'T&amp;E'!AG$9</f>
        <v>2028</v>
      </c>
      <c r="AH53" s="177">
        <f xml:space="preserve"> 'T&amp;E'!AH$9</f>
        <v>2029</v>
      </c>
      <c r="AI53" s="177">
        <f xml:space="preserve"> 'T&amp;E'!AI$9</f>
        <v>2030</v>
      </c>
      <c r="AJ53" s="177">
        <f xml:space="preserve"> 'T&amp;E'!AJ$9</f>
        <v>2031</v>
      </c>
      <c r="AK53" s="177">
        <f xml:space="preserve"> 'T&amp;E'!AK$9</f>
        <v>2032</v>
      </c>
      <c r="AL53" s="177">
        <f xml:space="preserve"> 'T&amp;E'!AL$9</f>
        <v>2033</v>
      </c>
      <c r="AM53" s="177">
        <f xml:space="preserve"> 'T&amp;E'!AM$9</f>
        <v>2034</v>
      </c>
      <c r="AN53" s="177">
        <f xml:space="preserve"> 'T&amp;E'!AN$9</f>
        <v>2035</v>
      </c>
      <c r="AO53" s="177">
        <f xml:space="preserve"> 'T&amp;E'!AO$9</f>
        <v>2036</v>
      </c>
      <c r="AP53" s="177">
        <f xml:space="preserve"> 'T&amp;E'!AP$9</f>
        <v>2037</v>
      </c>
      <c r="AQ53" s="177">
        <f xml:space="preserve"> 'T&amp;E'!AQ$9</f>
        <v>2038</v>
      </c>
      <c r="AR53" s="177">
        <f xml:space="preserve"> 'T&amp;E'!AR$9</f>
        <v>2039</v>
      </c>
      <c r="AS53" s="177">
        <f xml:space="preserve"> 'T&amp;E'!AS$9</f>
        <v>2040</v>
      </c>
    </row>
    <row r="54" spans="1:45" ht="15" customHeight="1" x14ac:dyDescent="0.3">
      <c r="E54" s="704" t="str">
        <f xml:space="preserve"> COMMUS_Model!E$186</f>
        <v>Copper realized price: SOM_Contract</v>
      </c>
      <c r="F54" s="704" t="str">
        <f xml:space="preserve"> COMMUS_Model!F$186</f>
        <v>SOM_Contract</v>
      </c>
      <c r="G54" s="704" t="str">
        <f xml:space="preserve"> COMMUS_Model!G$186</f>
        <v>$ / tonne</v>
      </c>
      <c r="H54" s="704">
        <f xml:space="preserve"> COMMUS_Model!H$186</f>
        <v>0</v>
      </c>
      <c r="I54" s="704">
        <f xml:space="preserve"> COMMUS_Model!I$186</f>
        <v>0</v>
      </c>
      <c r="J54" s="704">
        <f xml:space="preserve"> COMMUS_Model!J$186</f>
        <v>0</v>
      </c>
      <c r="K54" s="704">
        <f xml:space="preserve"> COMMUS_Model!K$186</f>
        <v>6387.4265919999998</v>
      </c>
      <c r="L54" s="704">
        <f xml:space="preserve"> COMMUS_Model!L$186</f>
        <v>6786.1034799999998</v>
      </c>
      <c r="M54" s="704">
        <f xml:space="preserve"> COMMUS_Model!M$186</f>
        <v>6618.6280719999995</v>
      </c>
      <c r="N54" s="704">
        <f xml:space="preserve"> COMMUS_Model!N$186</f>
        <v>4826.5023639999999</v>
      </c>
      <c r="O54" s="704">
        <f xml:space="preserve"> COMMUS_Model!O$186</f>
        <v>7191.2085520000001</v>
      </c>
      <c r="P54" s="704">
        <f xml:space="preserve"> COMMUS_Model!P$186</f>
        <v>8471.1601840000003</v>
      </c>
      <c r="Q54" s="704">
        <f xml:space="preserve"> COMMUS_Model!Q$186</f>
        <v>7610.0893000000005</v>
      </c>
      <c r="R54" s="704">
        <f xml:space="preserve"> COMMUS_Model!R$186</f>
        <v>6985.1650360000003</v>
      </c>
      <c r="S54" s="704">
        <f xml:space="preserve"> COMMUS_Model!S$186</f>
        <v>6518.9434119999996</v>
      </c>
      <c r="T54" s="704">
        <f xml:space="preserve"> COMMUS_Model!T$186</f>
        <v>5171.415172</v>
      </c>
      <c r="U54" s="704">
        <f xml:space="preserve"> COMMUS_Model!U$186</f>
        <v>4531.4254119999996</v>
      </c>
      <c r="V54" s="704">
        <f xml:space="preserve"> COMMUS_Model!V$186</f>
        <v>5828.2602399999996</v>
      </c>
      <c r="W54" s="704">
        <f xml:space="preserve"> COMMUS_Model!W$186</f>
        <v>6186.6788079999997</v>
      </c>
      <c r="X54" s="704">
        <f xml:space="preserve"> COMMUS_Model!X$186</f>
        <v>5669.1044200000006</v>
      </c>
      <c r="Y54" s="704">
        <f xml:space="preserve"> COMMUS_Model!Y$186</f>
        <v>5832.8597680000003</v>
      </c>
      <c r="Z54" s="704">
        <f xml:space="preserve"> COMMUS_Model!Z$186</f>
        <v>8963.1393639999987</v>
      </c>
      <c r="AA54" s="704">
        <f xml:space="preserve"> COMMUS_Model!AA$186</f>
        <v>8476.6013320000002</v>
      </c>
      <c r="AB54" s="704">
        <f xml:space="preserve"> COMMUS_Model!AB$186</f>
        <v>8139.798952000001</v>
      </c>
      <c r="AC54" s="704">
        <f xml:space="preserve"> COMMUS_Model!AC$186</f>
        <v>8199.5201080000006</v>
      </c>
      <c r="AD54" s="704">
        <f xml:space="preserve"> COMMUS_Model!AD$186</f>
        <v>8309.5840840000001</v>
      </c>
      <c r="AE54" s="704">
        <f xml:space="preserve"> COMMUS_Model!AE$186</f>
        <v>8324.586831999999</v>
      </c>
      <c r="AF54" s="704">
        <f xml:space="preserve"> COMMUS_Model!AF$186</f>
        <v>8316.0789999999997</v>
      </c>
      <c r="AG54" s="704">
        <f xml:space="preserve"> COMMUS_Model!AG$186</f>
        <v>8304.0025000000005</v>
      </c>
      <c r="AH54" s="704">
        <f xml:space="preserve"> COMMUS_Model!AH$186</f>
        <v>8316.8259999999991</v>
      </c>
      <c r="AI54" s="704">
        <f xml:space="preserve"> COMMUS_Model!AI$186</f>
        <v>8504.6035233292805</v>
      </c>
      <c r="AJ54" s="704">
        <f xml:space="preserve"> COMMUS_Model!AJ$186</f>
        <v>8681.0355937958666</v>
      </c>
      <c r="AK54" s="704">
        <f xml:space="preserve"> COMMUS_Model!AK$186</f>
        <v>8860.9963056717843</v>
      </c>
      <c r="AL54" s="704">
        <f xml:space="preserve"> COMMUS_Model!AL$186</f>
        <v>9044.55623178522</v>
      </c>
      <c r="AM54" s="704">
        <f xml:space="preserve"> COMMUS_Model!AM$186</f>
        <v>9231.7873564209222</v>
      </c>
      <c r="AN54" s="704">
        <f xml:space="preserve"> COMMUS_Model!AN$186</f>
        <v>9422.7631035493432</v>
      </c>
      <c r="AO54" s="704">
        <f xml:space="preserve"> COMMUS_Model!AO$186</f>
        <v>9617.5583656203307</v>
      </c>
      <c r="AP54" s="704">
        <f xml:space="preserve"> COMMUS_Model!AP$186</f>
        <v>9816.2495329327376</v>
      </c>
      <c r="AQ54" s="704">
        <f xml:space="preserve"> COMMUS_Model!AQ$186</f>
        <v>10018.914523591395</v>
      </c>
      <c r="AR54" s="704">
        <f xml:space="preserve"> COMMUS_Model!AR$186</f>
        <v>10225.632814063223</v>
      </c>
      <c r="AS54" s="704">
        <f xml:space="preserve"> COMMUS_Model!AS$186</f>
        <v>10436.485470344485</v>
      </c>
    </row>
    <row r="55" spans="1:45" ht="15" customHeight="1" x14ac:dyDescent="0.3">
      <c r="A55" s="394"/>
      <c r="B55" s="394"/>
      <c r="C55" s="395"/>
      <c r="D55" s="34"/>
      <c r="E55" s="104" t="str">
        <f xml:space="preserve"> COMMUS_Model!E$323</f>
        <v>Cobalt realized price: FS</v>
      </c>
      <c r="F55" s="104" t="str">
        <f xml:space="preserve"> COMMUS_Model!F$323</f>
        <v>FS</v>
      </c>
      <c r="G55" s="104" t="str">
        <f xml:space="preserve"> COMMUS_Model!G$323</f>
        <v>$ / tonne</v>
      </c>
      <c r="H55" s="104">
        <f xml:space="preserve"> COMMUS_Model!H$323</f>
        <v>0</v>
      </c>
      <c r="I55" s="104">
        <f xml:space="preserve"> COMMUS_Model!I$323</f>
        <v>0</v>
      </c>
      <c r="J55" s="104">
        <f xml:space="preserve"> COMMUS_Model!J$323</f>
        <v>0</v>
      </c>
      <c r="K55" s="104">
        <f xml:space="preserve"> COMMUS_Model!K$323</f>
        <v>0</v>
      </c>
      <c r="L55" s="104">
        <f xml:space="preserve"> COMMUS_Model!L$323</f>
        <v>0</v>
      </c>
      <c r="M55" s="104">
        <f xml:space="preserve"> COMMUS_Model!M$323</f>
        <v>0</v>
      </c>
      <c r="N55" s="104">
        <f xml:space="preserve"> COMMUS_Model!N$323</f>
        <v>0</v>
      </c>
      <c r="O55" s="104">
        <f xml:space="preserve"> COMMUS_Model!O$323</f>
        <v>0</v>
      </c>
      <c r="P55" s="104">
        <f xml:space="preserve"> COMMUS_Model!P$323</f>
        <v>0</v>
      </c>
      <c r="Q55" s="104">
        <f xml:space="preserve"> COMMUS_Model!Q$323</f>
        <v>0</v>
      </c>
      <c r="R55" s="104">
        <f xml:space="preserve"> COMMUS_Model!R$323</f>
        <v>0</v>
      </c>
      <c r="S55" s="104">
        <f xml:space="preserve"> COMMUS_Model!S$323</f>
        <v>0</v>
      </c>
      <c r="T55" s="104">
        <f xml:space="preserve"> COMMUS_Model!T$323</f>
        <v>0</v>
      </c>
      <c r="U55" s="104">
        <f xml:space="preserve"> COMMUS_Model!U$323</f>
        <v>0</v>
      </c>
      <c r="V55" s="104">
        <f xml:space="preserve"> COMMUS_Model!V$323</f>
        <v>27778.212</v>
      </c>
      <c r="W55" s="104">
        <f xml:space="preserve"> COMMUS_Model!W$323</f>
        <v>27778.212</v>
      </c>
      <c r="X55" s="104">
        <f xml:space="preserve"> COMMUS_Model!X$323</f>
        <v>24691.743999999999</v>
      </c>
      <c r="Y55" s="104">
        <f xml:space="preserve"> COMMUS_Model!Y$323</f>
        <v>23148.51</v>
      </c>
      <c r="Z55" s="104">
        <f xml:space="preserve"> COMMUS_Model!Z$323</f>
        <v>37037.615999999995</v>
      </c>
      <c r="AA55" s="104">
        <f xml:space="preserve"> COMMUS_Model!AA$323</f>
        <v>41667.317999999992</v>
      </c>
      <c r="AB55" s="104">
        <f xml:space="preserve"> COMMUS_Model!AB$323</f>
        <v>21960.215870915901</v>
      </c>
      <c r="AC55" s="104">
        <f xml:space="preserve"> COMMUS_Model!AC$323</f>
        <v>16436.525108406309</v>
      </c>
      <c r="AD55" s="104">
        <f xml:space="preserve"> COMMUS_Model!AD$323</f>
        <v>25938.833026931141</v>
      </c>
      <c r="AE55" s="104">
        <f xml:space="preserve"> COMMUS_Model!AE$323</f>
        <v>25938.833026931141</v>
      </c>
      <c r="AF55" s="104">
        <f xml:space="preserve"> COMMUS_Model!AF$323</f>
        <v>25938.833026931141</v>
      </c>
      <c r="AG55" s="104">
        <f xml:space="preserve"> COMMUS_Model!AG$323</f>
        <v>25938.833026931141</v>
      </c>
      <c r="AH55" s="104">
        <f xml:space="preserve"> COMMUS_Model!AH$323</f>
        <v>25938.833026931141</v>
      </c>
      <c r="AI55" s="104">
        <f xml:space="preserve"> COMMUS_Model!AI$323</f>
        <v>26543.42185053225</v>
      </c>
      <c r="AJ55" s="104">
        <f xml:space="preserve"> COMMUS_Model!AJ$323</f>
        <v>27111.481627004272</v>
      </c>
      <c r="AK55" s="104">
        <f xml:space="preserve"> COMMUS_Model!AK$323</f>
        <v>27690.902599005734</v>
      </c>
      <c r="AL55" s="104">
        <f xml:space="preserve"> COMMUS_Model!AL$323</f>
        <v>28281.911990447228</v>
      </c>
      <c r="AM55" s="104">
        <f xml:space="preserve"> COMMUS_Model!AM$323</f>
        <v>28884.741569717542</v>
      </c>
      <c r="AN55" s="104">
        <f xml:space="preserve"> COMMUS_Model!AN$323</f>
        <v>29499.627740573273</v>
      </c>
      <c r="AO55" s="104">
        <f xml:space="preserve"> COMMUS_Model!AO$323</f>
        <v>30126.811634846119</v>
      </c>
      <c r="AP55" s="104">
        <f xml:space="preserve"> COMMUS_Model!AP$323</f>
        <v>30766.539207004422</v>
      </c>
      <c r="AQ55" s="104">
        <f xml:space="preserve"> COMMUS_Model!AQ$323</f>
        <v>31419.061330605895</v>
      </c>
      <c r="AR55" s="104">
        <f xml:space="preserve"> COMMUS_Model!AR$323</f>
        <v>32084.633896679392</v>
      </c>
      <c r="AS55" s="104">
        <f xml:space="preserve"> COMMUS_Model!AS$323</f>
        <v>32763.517914074346</v>
      </c>
    </row>
    <row r="56" spans="1:45" ht="15" customHeight="1" x14ac:dyDescent="0.3">
      <c r="AL56" s="448"/>
      <c r="AM56" s="448"/>
      <c r="AN56" s="448"/>
    </row>
    <row r="57" spans="1:45" ht="15" customHeight="1" x14ac:dyDescent="0.3">
      <c r="AL57" s="448"/>
      <c r="AM57" s="448"/>
      <c r="AN57" s="448"/>
    </row>
    <row r="58" spans="1:45" ht="15" customHeight="1" x14ac:dyDescent="0.3">
      <c r="AL58" s="448"/>
      <c r="AM58" s="448"/>
      <c r="AN58" s="448"/>
    </row>
    <row r="59" spans="1:45" ht="15" customHeight="1" x14ac:dyDescent="0.3">
      <c r="AL59" s="448"/>
      <c r="AM59" s="448"/>
      <c r="AN59" s="448"/>
    </row>
    <row r="60" spans="1:45" ht="15" customHeight="1" x14ac:dyDescent="0.3">
      <c r="AL60" s="448"/>
      <c r="AM60" s="448"/>
      <c r="AN60" s="448"/>
    </row>
    <row r="61" spans="1:45" ht="15" customHeight="1" x14ac:dyDescent="0.3">
      <c r="AL61" s="448"/>
      <c r="AM61" s="448"/>
      <c r="AN61" s="448"/>
    </row>
    <row r="62" spans="1:45" ht="15" customHeight="1" x14ac:dyDescent="0.3">
      <c r="AL62" s="448"/>
      <c r="AM62" s="448"/>
      <c r="AN62" s="448"/>
    </row>
    <row r="63" spans="1:45" ht="15" customHeight="1" x14ac:dyDescent="0.3">
      <c r="AL63" s="448"/>
      <c r="AM63" s="448"/>
      <c r="AN63" s="448"/>
    </row>
    <row r="64" spans="1:45" ht="15" customHeight="1" x14ac:dyDescent="0.3">
      <c r="AL64" s="448"/>
      <c r="AM64" s="448"/>
      <c r="AN64" s="448"/>
    </row>
    <row r="65" spans="38:40" ht="15" customHeight="1" x14ac:dyDescent="0.3">
      <c r="AL65" s="448"/>
      <c r="AM65" s="448"/>
      <c r="AN65" s="448"/>
    </row>
    <row r="66" spans="38:40" ht="15" customHeight="1" x14ac:dyDescent="0.3">
      <c r="AL66" s="448"/>
      <c r="AM66" s="448"/>
      <c r="AN66" s="448"/>
    </row>
    <row r="67" spans="38:40" ht="15" customHeight="1" x14ac:dyDescent="0.3">
      <c r="AL67" s="448"/>
      <c r="AM67" s="448"/>
      <c r="AN67" s="448"/>
    </row>
    <row r="68" spans="38:40" ht="15" customHeight="1" x14ac:dyDescent="0.3">
      <c r="AL68" s="448"/>
      <c r="AM68" s="448"/>
      <c r="AN68" s="448"/>
    </row>
    <row r="69" spans="38:40" ht="15" customHeight="1" x14ac:dyDescent="0.3">
      <c r="AL69" s="448"/>
      <c r="AM69" s="448"/>
      <c r="AN69" s="448"/>
    </row>
    <row r="70" spans="38:40" ht="15" customHeight="1" x14ac:dyDescent="0.3">
      <c r="AL70" s="448"/>
      <c r="AM70" s="448"/>
      <c r="AN70" s="448"/>
    </row>
    <row r="71" spans="38:40" ht="15" customHeight="1" x14ac:dyDescent="0.3">
      <c r="AL71" s="448"/>
      <c r="AM71" s="448"/>
      <c r="AN71" s="448"/>
    </row>
    <row r="72" spans="38:40" ht="15" customHeight="1" x14ac:dyDescent="0.3">
      <c r="AL72" s="448"/>
      <c r="AM72" s="448"/>
      <c r="AN72" s="448"/>
    </row>
    <row r="73" spans="38:40" ht="15" customHeight="1" x14ac:dyDescent="0.3">
      <c r="AL73" s="448"/>
      <c r="AM73" s="448"/>
      <c r="AN73" s="448"/>
    </row>
    <row r="74" spans="38:40" ht="15" customHeight="1" x14ac:dyDescent="0.3">
      <c r="AL74" s="448"/>
      <c r="AM74" s="448"/>
      <c r="AN74" s="448"/>
    </row>
    <row r="75" spans="38:40" ht="15" customHeight="1" x14ac:dyDescent="0.3">
      <c r="AL75" s="448"/>
      <c r="AM75" s="448"/>
      <c r="AN75" s="448"/>
    </row>
    <row r="76" spans="38:40" ht="15" customHeight="1" x14ac:dyDescent="0.3">
      <c r="AL76" s="448"/>
      <c r="AM76" s="448"/>
      <c r="AN76" s="448"/>
    </row>
    <row r="77" spans="38:40" ht="15" customHeight="1" x14ac:dyDescent="0.3">
      <c r="AL77" s="448"/>
      <c r="AM77" s="448"/>
      <c r="AN77" s="448"/>
    </row>
    <row r="78" spans="38:40" ht="15" customHeight="1" x14ac:dyDescent="0.3">
      <c r="AL78" s="448"/>
      <c r="AM78" s="448"/>
      <c r="AN78" s="448"/>
    </row>
    <row r="79" spans="38:40" ht="15" customHeight="1" x14ac:dyDescent="0.3">
      <c r="AL79" s="448"/>
      <c r="AM79" s="448"/>
      <c r="AN79" s="448"/>
    </row>
    <row r="80" spans="38:40" ht="15" customHeight="1" x14ac:dyDescent="0.3">
      <c r="AL80" s="448"/>
      <c r="AM80" s="448"/>
      <c r="AN80" s="448"/>
    </row>
    <row r="81" spans="1:45" ht="15" customHeight="1" x14ac:dyDescent="0.3">
      <c r="AL81" s="448"/>
      <c r="AM81" s="448"/>
      <c r="AN81" s="448"/>
    </row>
    <row r="82" spans="1:45" ht="15" customHeight="1" x14ac:dyDescent="0.3">
      <c r="AL82" s="448"/>
      <c r="AM82" s="448"/>
      <c r="AN82" s="448"/>
    </row>
    <row r="83" spans="1:45" ht="15" customHeight="1" x14ac:dyDescent="0.3">
      <c r="AL83" s="448"/>
      <c r="AM83" s="448"/>
      <c r="AN83" s="448"/>
    </row>
    <row r="84" spans="1:45" ht="15" customHeight="1" x14ac:dyDescent="0.3">
      <c r="AL84" s="448"/>
      <c r="AM84" s="448"/>
      <c r="AN84" s="448"/>
    </row>
    <row r="85" spans="1:45" ht="15" customHeight="1" collapsed="1" x14ac:dyDescent="0.3">
      <c r="A85" s="733" t="s">
        <v>682</v>
      </c>
      <c r="B85" s="734"/>
      <c r="C85" s="735"/>
      <c r="D85" s="734"/>
      <c r="E85" s="734"/>
      <c r="F85" s="734"/>
      <c r="G85" s="734"/>
      <c r="H85" s="734"/>
      <c r="I85" s="734"/>
      <c r="J85" s="734"/>
      <c r="K85" s="734"/>
      <c r="L85" s="734"/>
      <c r="M85" s="734"/>
      <c r="N85" s="734"/>
      <c r="O85" s="734"/>
      <c r="P85" s="734"/>
      <c r="Q85" s="734"/>
      <c r="R85" s="734"/>
      <c r="S85" s="734"/>
      <c r="T85" s="734"/>
      <c r="U85" s="734"/>
      <c r="V85" s="734"/>
      <c r="W85" s="734"/>
      <c r="X85" s="734"/>
      <c r="Y85" s="734"/>
      <c r="Z85" s="734"/>
      <c r="AA85" s="734"/>
      <c r="AB85" s="734"/>
      <c r="AC85" s="734"/>
      <c r="AD85" s="734"/>
      <c r="AE85" s="734"/>
      <c r="AF85" s="734"/>
      <c r="AG85" s="734"/>
      <c r="AH85" s="734"/>
      <c r="AI85" s="734"/>
      <c r="AJ85" s="734"/>
      <c r="AK85" s="734"/>
      <c r="AL85" s="734"/>
      <c r="AM85" s="734"/>
      <c r="AN85" s="734"/>
      <c r="AO85" s="734"/>
      <c r="AP85" s="734"/>
      <c r="AQ85" s="734"/>
      <c r="AR85" s="734"/>
      <c r="AS85" s="734"/>
    </row>
    <row r="86" spans="1:45" ht="15" customHeight="1" x14ac:dyDescent="0.3">
      <c r="AL86" s="448"/>
      <c r="AM86" s="448"/>
      <c r="AN86" s="448"/>
    </row>
    <row r="87" spans="1:45" ht="15" customHeight="1" x14ac:dyDescent="0.3">
      <c r="E87" s="636" t="str">
        <f xml:space="preserve"> A85</f>
        <v>PROJECT CASHFLOWS</v>
      </c>
      <c r="F87" s="88" t="s">
        <v>674</v>
      </c>
      <c r="AL87" s="448"/>
      <c r="AM87" s="448"/>
      <c r="AN87" s="448"/>
    </row>
    <row r="88" spans="1:45" ht="15" customHeight="1" x14ac:dyDescent="0.3">
      <c r="E88" s="636" t="str">
        <f xml:space="preserve"> G92</f>
        <v>$ mn</v>
      </c>
      <c r="F88" s="88" t="s">
        <v>676</v>
      </c>
      <c r="AL88" s="448"/>
      <c r="AM88" s="448"/>
      <c r="AN88" s="448"/>
    </row>
    <row r="89" spans="1:45" ht="15" customHeight="1" x14ac:dyDescent="0.3">
      <c r="E89" s="88"/>
      <c r="F89" s="88" t="s">
        <v>677</v>
      </c>
      <c r="AL89" s="448"/>
      <c r="AM89" s="448"/>
      <c r="AN89" s="448"/>
    </row>
    <row r="90" spans="1:45" ht="15" customHeight="1" x14ac:dyDescent="0.3">
      <c r="AL90" s="448"/>
      <c r="AM90" s="448"/>
      <c r="AN90" s="448"/>
    </row>
    <row r="91" spans="1:45" ht="15" customHeight="1" x14ac:dyDescent="0.3">
      <c r="A91" s="731"/>
      <c r="B91" s="731"/>
      <c r="C91" s="732"/>
      <c r="D91" s="177"/>
      <c r="E91" s="177" t="str">
        <f xml:space="preserve"> 'T&amp;E'!E$9</f>
        <v>Model calendar year</v>
      </c>
      <c r="F91" s="177">
        <f xml:space="preserve"> 'T&amp;E'!F$9</f>
        <v>0</v>
      </c>
      <c r="G91" s="177" t="str">
        <f xml:space="preserve"> 'T&amp;E'!G$9</f>
        <v>year</v>
      </c>
      <c r="H91" s="177">
        <f xml:space="preserve"> 'T&amp;E'!H$9</f>
        <v>0</v>
      </c>
      <c r="I91" s="177">
        <f xml:space="preserve"> 'T&amp;E'!I$9</f>
        <v>0</v>
      </c>
      <c r="J91" s="177">
        <f xml:space="preserve"> 'T&amp;E'!J$9</f>
        <v>0</v>
      </c>
      <c r="K91" s="177">
        <f xml:space="preserve"> 'T&amp;E'!K$9</f>
        <v>2006</v>
      </c>
      <c r="L91" s="177">
        <f xml:space="preserve"> 'T&amp;E'!L$9</f>
        <v>2007</v>
      </c>
      <c r="M91" s="177">
        <f xml:space="preserve"> 'T&amp;E'!M$9</f>
        <v>2008</v>
      </c>
      <c r="N91" s="177">
        <f xml:space="preserve"> 'T&amp;E'!N$9</f>
        <v>2009</v>
      </c>
      <c r="O91" s="177">
        <f xml:space="preserve"> 'T&amp;E'!O$9</f>
        <v>2010</v>
      </c>
      <c r="P91" s="177">
        <f xml:space="preserve"> 'T&amp;E'!P$9</f>
        <v>2011</v>
      </c>
      <c r="Q91" s="177">
        <f xml:space="preserve"> 'T&amp;E'!Q$9</f>
        <v>2012</v>
      </c>
      <c r="R91" s="177">
        <f xml:space="preserve"> 'T&amp;E'!R$9</f>
        <v>2013</v>
      </c>
      <c r="S91" s="177">
        <f xml:space="preserve"> 'T&amp;E'!S$9</f>
        <v>2014</v>
      </c>
      <c r="T91" s="177">
        <f xml:space="preserve"> 'T&amp;E'!T$9</f>
        <v>2015</v>
      </c>
      <c r="U91" s="177">
        <f xml:space="preserve"> 'T&amp;E'!U$9</f>
        <v>2016</v>
      </c>
      <c r="V91" s="177">
        <f xml:space="preserve"> 'T&amp;E'!V$9</f>
        <v>2017</v>
      </c>
      <c r="W91" s="177">
        <f xml:space="preserve"> 'T&amp;E'!W$9</f>
        <v>2018</v>
      </c>
      <c r="X91" s="177">
        <f xml:space="preserve"> 'T&amp;E'!X$9</f>
        <v>2019</v>
      </c>
      <c r="Y91" s="177">
        <f xml:space="preserve"> 'T&amp;E'!Y$9</f>
        <v>2020</v>
      </c>
      <c r="Z91" s="177">
        <f xml:space="preserve"> 'T&amp;E'!Z$9</f>
        <v>2021</v>
      </c>
      <c r="AA91" s="177">
        <f xml:space="preserve"> 'T&amp;E'!AA$9</f>
        <v>2022</v>
      </c>
      <c r="AB91" s="177">
        <f xml:space="preserve"> 'T&amp;E'!AB$9</f>
        <v>2023</v>
      </c>
      <c r="AC91" s="177">
        <f xml:space="preserve"> 'T&amp;E'!AC$9</f>
        <v>2024</v>
      </c>
      <c r="AD91" s="177">
        <f xml:space="preserve"> 'T&amp;E'!AD$9</f>
        <v>2025</v>
      </c>
      <c r="AE91" s="177">
        <f xml:space="preserve"> 'T&amp;E'!AE$9</f>
        <v>2026</v>
      </c>
      <c r="AF91" s="177">
        <f xml:space="preserve"> 'T&amp;E'!AF$9</f>
        <v>2027</v>
      </c>
      <c r="AG91" s="177">
        <f xml:space="preserve"> 'T&amp;E'!AG$9</f>
        <v>2028</v>
      </c>
      <c r="AH91" s="177">
        <f xml:space="preserve"> 'T&amp;E'!AH$9</f>
        <v>2029</v>
      </c>
      <c r="AI91" s="177">
        <f xml:space="preserve"> 'T&amp;E'!AI$9</f>
        <v>2030</v>
      </c>
      <c r="AJ91" s="177">
        <f xml:space="preserve"> 'T&amp;E'!AJ$9</f>
        <v>2031</v>
      </c>
      <c r="AK91" s="177">
        <f xml:space="preserve"> 'T&amp;E'!AK$9</f>
        <v>2032</v>
      </c>
      <c r="AL91" s="177">
        <f xml:space="preserve"> 'T&amp;E'!AL$9</f>
        <v>2033</v>
      </c>
      <c r="AM91" s="177">
        <f xml:space="preserve"> 'T&amp;E'!AM$9</f>
        <v>2034</v>
      </c>
      <c r="AN91" s="177">
        <f xml:space="preserve"> 'T&amp;E'!AN$9</f>
        <v>2035</v>
      </c>
      <c r="AO91" s="177">
        <f xml:space="preserve"> 'T&amp;E'!AO$9</f>
        <v>2036</v>
      </c>
      <c r="AP91" s="177">
        <f xml:space="preserve"> 'T&amp;E'!AP$9</f>
        <v>2037</v>
      </c>
      <c r="AQ91" s="177">
        <f xml:space="preserve"> 'T&amp;E'!AQ$9</f>
        <v>2038</v>
      </c>
      <c r="AR91" s="177">
        <f xml:space="preserve"> 'T&amp;E'!AR$9</f>
        <v>2039</v>
      </c>
      <c r="AS91" s="177">
        <f xml:space="preserve"> 'T&amp;E'!AS$9</f>
        <v>2040</v>
      </c>
    </row>
    <row r="92" spans="1:45" ht="15" customHeight="1" x14ac:dyDescent="0.3">
      <c r="E92" s="594" t="str">
        <f xml:space="preserve"> COMMUS_Model!E$375</f>
        <v>Copper gross revenue</v>
      </c>
      <c r="F92" s="594">
        <f xml:space="preserve"> COMMUS_Model!F$375</f>
        <v>0</v>
      </c>
      <c r="G92" s="594" t="str">
        <f xml:space="preserve"> COMMUS_Model!G$375</f>
        <v>$ mn</v>
      </c>
      <c r="H92" s="594">
        <f xml:space="preserve"> COMMUS_Model!H$375</f>
        <v>0</v>
      </c>
      <c r="I92" s="594">
        <f xml:space="preserve"> COMMUS_Model!I$375</f>
        <v>11451.489506019687</v>
      </c>
      <c r="J92" s="594">
        <f xml:space="preserve"> COMMUS_Model!J$375</f>
        <v>0</v>
      </c>
      <c r="K92" s="594">
        <f xml:space="preserve"> COMMUS_Model!K$375</f>
        <v>0</v>
      </c>
      <c r="L92" s="594">
        <f xml:space="preserve"> COMMUS_Model!L$375</f>
        <v>0</v>
      </c>
      <c r="M92" s="594">
        <f xml:space="preserve"> COMMUS_Model!M$375</f>
        <v>0</v>
      </c>
      <c r="N92" s="594">
        <f xml:space="preserve"> COMMUS_Model!N$375</f>
        <v>0</v>
      </c>
      <c r="O92" s="594">
        <f xml:space="preserve"> COMMUS_Model!O$375</f>
        <v>0</v>
      </c>
      <c r="P92" s="594">
        <f xml:space="preserve"> COMMUS_Model!P$375</f>
        <v>0</v>
      </c>
      <c r="Q92" s="594">
        <f xml:space="preserve"> COMMUS_Model!Q$375</f>
        <v>0</v>
      </c>
      <c r="R92" s="594">
        <f xml:space="preserve"> COMMUS_Model!R$375</f>
        <v>0</v>
      </c>
      <c r="S92" s="594">
        <f xml:space="preserve"> COMMUS_Model!S$375</f>
        <v>0</v>
      </c>
      <c r="T92" s="594">
        <f xml:space="preserve"> COMMUS_Model!T$375</f>
        <v>0</v>
      </c>
      <c r="U92" s="594">
        <f xml:space="preserve"> COMMUS_Model!U$375</f>
        <v>0</v>
      </c>
      <c r="V92" s="594">
        <f xml:space="preserve"> COMMUS_Model!V$375</f>
        <v>104.68060500000001</v>
      </c>
      <c r="W92" s="594">
        <f xml:space="preserve"> COMMUS_Model!W$375</f>
        <v>275.12210799999997</v>
      </c>
      <c r="X92" s="594">
        <f xml:space="preserve"> COMMUS_Model!X$375</f>
        <v>416.84932400000002</v>
      </c>
      <c r="Y92" s="594">
        <f xml:space="preserve"> COMMUS_Model!Y$375</f>
        <v>635.77241700000002</v>
      </c>
      <c r="Z92" s="594">
        <f xml:space="preserve"> COMMUS_Model!Z$375</f>
        <v>1059.1821980000002</v>
      </c>
      <c r="AA92" s="594">
        <f xml:space="preserve"> COMMUS_Model!AA$375</f>
        <v>938.45274099999995</v>
      </c>
      <c r="AB92" s="594">
        <f xml:space="preserve"> COMMUS_Model!AB$375</f>
        <v>972.90811853117418</v>
      </c>
      <c r="AC92" s="594">
        <f xml:space="preserve"> COMMUS_Model!AC$375</f>
        <v>641.01964091281855</v>
      </c>
      <c r="AD92" s="594">
        <f xml:space="preserve"> COMMUS_Model!AD$375</f>
        <v>905.06080438998561</v>
      </c>
      <c r="AE92" s="594">
        <f xml:space="preserve"> COMMUS_Model!AE$375</f>
        <v>906.69486922833119</v>
      </c>
      <c r="AF92" s="594">
        <f xml:space="preserve"> COMMUS_Model!AF$375</f>
        <v>905.7682157164711</v>
      </c>
      <c r="AG92" s="594">
        <f xml:space="preserve"> COMMUS_Model!AG$375</f>
        <v>904.45287108625553</v>
      </c>
      <c r="AH92" s="594">
        <f xml:space="preserve"> COMMUS_Model!AH$375</f>
        <v>905.84957723998957</v>
      </c>
      <c r="AI92" s="594">
        <f xml:space="preserve"> COMMUS_Model!AI$375</f>
        <v>766.66482549710213</v>
      </c>
      <c r="AJ92" s="594">
        <f xml:space="preserve"> COMMUS_Model!AJ$375</f>
        <v>782.56965423430415</v>
      </c>
      <c r="AK92" s="594">
        <f xml:space="preserve"> COMMUS_Model!AK$375</f>
        <v>330.44153618325373</v>
      </c>
      <c r="AL92" s="594">
        <f xml:space="preserve"> COMMUS_Model!AL$375</f>
        <v>0</v>
      </c>
      <c r="AM92" s="594">
        <f xml:space="preserve"> COMMUS_Model!AM$375</f>
        <v>0</v>
      </c>
      <c r="AN92" s="594">
        <f xml:space="preserve"> COMMUS_Model!AN$375</f>
        <v>0</v>
      </c>
      <c r="AO92" s="594">
        <f xml:space="preserve"> COMMUS_Model!AO$375</f>
        <v>0</v>
      </c>
      <c r="AP92" s="594">
        <f xml:space="preserve"> COMMUS_Model!AP$375</f>
        <v>0</v>
      </c>
      <c r="AQ92" s="594">
        <f xml:space="preserve"> COMMUS_Model!AQ$375</f>
        <v>0</v>
      </c>
      <c r="AR92" s="594">
        <f xml:space="preserve"> COMMUS_Model!AR$375</f>
        <v>0</v>
      </c>
      <c r="AS92" s="594">
        <f xml:space="preserve"> COMMUS_Model!AS$375</f>
        <v>0</v>
      </c>
    </row>
    <row r="93" spans="1:45" ht="15" customHeight="1" x14ac:dyDescent="0.3">
      <c r="E93" s="594" t="str">
        <f xml:space="preserve"> COMMUS_Model!E$380</f>
        <v>Cobalt gross revenue</v>
      </c>
      <c r="F93" s="594">
        <f xml:space="preserve"> COMMUS_Model!F$380</f>
        <v>0</v>
      </c>
      <c r="G93" s="594" t="str">
        <f xml:space="preserve"> COMMUS_Model!G$380</f>
        <v>$ mn</v>
      </c>
      <c r="H93" s="594">
        <f xml:space="preserve"> COMMUS_Model!H$380</f>
        <v>0</v>
      </c>
      <c r="I93" s="594">
        <f xml:space="preserve"> COMMUS_Model!I$380</f>
        <v>605.73785207875858</v>
      </c>
      <c r="J93" s="594">
        <f xml:space="preserve"> COMMUS_Model!J$380</f>
        <v>0</v>
      </c>
      <c r="K93" s="594">
        <f xml:space="preserve"> COMMUS_Model!K$380</f>
        <v>0</v>
      </c>
      <c r="L93" s="594">
        <f xml:space="preserve"> COMMUS_Model!L$380</f>
        <v>0</v>
      </c>
      <c r="M93" s="594">
        <f xml:space="preserve"> COMMUS_Model!M$380</f>
        <v>0</v>
      </c>
      <c r="N93" s="594">
        <f xml:space="preserve"> COMMUS_Model!N$380</f>
        <v>0</v>
      </c>
      <c r="O93" s="594">
        <f xml:space="preserve"> COMMUS_Model!O$380</f>
        <v>0</v>
      </c>
      <c r="P93" s="594">
        <f xml:space="preserve"> COMMUS_Model!P$380</f>
        <v>0</v>
      </c>
      <c r="Q93" s="594">
        <f xml:space="preserve"> COMMUS_Model!Q$380</f>
        <v>0</v>
      </c>
      <c r="R93" s="594">
        <f xml:space="preserve"> COMMUS_Model!R$380</f>
        <v>0</v>
      </c>
      <c r="S93" s="594">
        <f xml:space="preserve"> COMMUS_Model!S$380</f>
        <v>0</v>
      </c>
      <c r="T93" s="594">
        <f xml:space="preserve"> COMMUS_Model!T$380</f>
        <v>0</v>
      </c>
      <c r="U93" s="594">
        <f xml:space="preserve"> COMMUS_Model!U$380</f>
        <v>0</v>
      </c>
      <c r="V93" s="594">
        <f xml:space="preserve"> COMMUS_Model!V$380</f>
        <v>0</v>
      </c>
      <c r="W93" s="594">
        <f xml:space="preserve"> COMMUS_Model!W$380</f>
        <v>0</v>
      </c>
      <c r="X93" s="594">
        <f xml:space="preserve"> COMMUS_Model!X$380</f>
        <v>17.482495504319999</v>
      </c>
      <c r="Y93" s="594">
        <f xml:space="preserve"> COMMUS_Model!Y$380</f>
        <v>32.942181610799999</v>
      </c>
      <c r="Z93" s="594">
        <f xml:space="preserve"> COMMUS_Model!Z$380</f>
        <v>59.516856278879999</v>
      </c>
      <c r="AA93" s="594">
        <f xml:space="preserve"> COMMUS_Model!AA$380</f>
        <v>104.42579902523998</v>
      </c>
      <c r="AB93" s="594">
        <f xml:space="preserve"> COMMUS_Model!AB$380</f>
        <v>50.640257798332065</v>
      </c>
      <c r="AC93" s="594">
        <f xml:space="preserve"> COMMUS_Model!AC$380</f>
        <v>12.790082013106371</v>
      </c>
      <c r="AD93" s="594">
        <f xml:space="preserve"> COMMUS_Model!AD$380</f>
        <v>44.969561931178475</v>
      </c>
      <c r="AE93" s="594">
        <f xml:space="preserve"> COMMUS_Model!AE$380</f>
        <v>44.969561931178475</v>
      </c>
      <c r="AF93" s="594">
        <f xml:space="preserve"> COMMUS_Model!AF$380</f>
        <v>44.969561931178475</v>
      </c>
      <c r="AG93" s="594">
        <f xml:space="preserve"> COMMUS_Model!AG$380</f>
        <v>44.969561931178475</v>
      </c>
      <c r="AH93" s="594">
        <f xml:space="preserve"> COMMUS_Model!AH$380</f>
        <v>44.969561931178475</v>
      </c>
      <c r="AI93" s="594">
        <f xml:space="preserve"> COMMUS_Model!AI$380</f>
        <v>46.017723755482606</v>
      </c>
      <c r="AJ93" s="594">
        <f xml:space="preserve"> COMMUS_Model!AJ$380</f>
        <v>40.122552774619891</v>
      </c>
      <c r="AK93" s="594">
        <f xml:space="preserve"> COMMUS_Model!AK$380</f>
        <v>16.952093662085321</v>
      </c>
      <c r="AL93" s="594">
        <f xml:space="preserve"> COMMUS_Model!AL$380</f>
        <v>0</v>
      </c>
      <c r="AM93" s="594">
        <f xml:space="preserve"> COMMUS_Model!AM$380</f>
        <v>0</v>
      </c>
      <c r="AN93" s="594">
        <f xml:space="preserve"> COMMUS_Model!AN$380</f>
        <v>0</v>
      </c>
      <c r="AO93" s="594">
        <f xml:space="preserve"> COMMUS_Model!AO$380</f>
        <v>0</v>
      </c>
      <c r="AP93" s="594">
        <f xml:space="preserve"> COMMUS_Model!AP$380</f>
        <v>0</v>
      </c>
      <c r="AQ93" s="594">
        <f xml:space="preserve"> COMMUS_Model!AQ$380</f>
        <v>0</v>
      </c>
      <c r="AR93" s="594">
        <f xml:space="preserve"> COMMUS_Model!AR$380</f>
        <v>0</v>
      </c>
      <c r="AS93" s="594">
        <f xml:space="preserve"> COMMUS_Model!AS$380</f>
        <v>0</v>
      </c>
    </row>
    <row r="94" spans="1:45" ht="15" customHeight="1" x14ac:dyDescent="0.3">
      <c r="H94" s="448"/>
      <c r="J94" s="448"/>
      <c r="AL94" s="448"/>
      <c r="AM94" s="448"/>
      <c r="AN94" s="448"/>
      <c r="AO94" s="448"/>
      <c r="AP94" s="448"/>
      <c r="AQ94" s="448"/>
      <c r="AR94" s="448"/>
      <c r="AS94" s="448"/>
    </row>
    <row r="95" spans="1:45" ht="15" customHeight="1" x14ac:dyDescent="0.3">
      <c r="E95" s="594" t="str">
        <f xml:space="preserve"> COMMUS_Model!E$520</f>
        <v>Operating costs, including Sens.</v>
      </c>
      <c r="F95" s="594" t="str">
        <f xml:space="preserve"> COMMUS_Model!F$520</f>
        <v>FS</v>
      </c>
      <c r="G95" s="594" t="str">
        <f xml:space="preserve"> COMMUS_Model!G$520</f>
        <v>$ mn</v>
      </c>
      <c r="H95" s="594">
        <f xml:space="preserve"> COMMUS_Model!H$520</f>
        <v>0</v>
      </c>
      <c r="I95" s="594">
        <f xml:space="preserve"> COMMUS_Model!I$520</f>
        <v>6417.4732060838423</v>
      </c>
      <c r="J95" s="594">
        <f xml:space="preserve"> COMMUS_Model!J$520</f>
        <v>0</v>
      </c>
      <c r="K95" s="594">
        <f xml:space="preserve"> COMMUS_Model!K$520</f>
        <v>0</v>
      </c>
      <c r="L95" s="594">
        <f xml:space="preserve"> COMMUS_Model!L$520</f>
        <v>0</v>
      </c>
      <c r="M95" s="594">
        <f xml:space="preserve"> COMMUS_Model!M$520</f>
        <v>0</v>
      </c>
      <c r="N95" s="594">
        <f xml:space="preserve"> COMMUS_Model!N$520</f>
        <v>0</v>
      </c>
      <c r="O95" s="594">
        <f xml:space="preserve"> COMMUS_Model!O$520</f>
        <v>0</v>
      </c>
      <c r="P95" s="594">
        <f xml:space="preserve"> COMMUS_Model!P$520</f>
        <v>0</v>
      </c>
      <c r="Q95" s="594">
        <f xml:space="preserve"> COMMUS_Model!Q$520</f>
        <v>0</v>
      </c>
      <c r="R95" s="594">
        <f xml:space="preserve"> COMMUS_Model!R$520</f>
        <v>0</v>
      </c>
      <c r="S95" s="594">
        <f xml:space="preserve"> COMMUS_Model!S$520</f>
        <v>0</v>
      </c>
      <c r="T95" s="594">
        <f xml:space="preserve"> COMMUS_Model!T$520</f>
        <v>0</v>
      </c>
      <c r="U95" s="594">
        <f xml:space="preserve"> COMMUS_Model!U$520</f>
        <v>0</v>
      </c>
      <c r="V95" s="594">
        <f xml:space="preserve"> COMMUS_Model!V$520</f>
        <v>92.547447899999995</v>
      </c>
      <c r="W95" s="594">
        <f xml:space="preserve"> COMMUS_Model!W$520</f>
        <v>111.20828203000001</v>
      </c>
      <c r="X95" s="594">
        <f xml:space="preserve"> COMMUS_Model!X$520</f>
        <v>222.95433410956798</v>
      </c>
      <c r="Y95" s="594">
        <f xml:space="preserve"> COMMUS_Model!Y$520</f>
        <v>275.07933724392001</v>
      </c>
      <c r="Z95" s="594">
        <f xml:space="preserve"> COMMUS_Model!Z$520</f>
        <v>236.842377442112</v>
      </c>
      <c r="AA95" s="594">
        <f xml:space="preserve"> COMMUS_Model!AA$520</f>
        <v>521.23181416247598</v>
      </c>
      <c r="AB95" s="594">
        <f xml:space="preserve"> COMMUS_Model!AB$520</f>
        <v>458.85614080454303</v>
      </c>
      <c r="AC95" s="594">
        <f xml:space="preserve"> COMMUS_Model!AC$520</f>
        <v>498.26409575079998</v>
      </c>
      <c r="AD95" s="594">
        <f xml:space="preserve"> COMMUS_Model!AD$520</f>
        <v>499.39449196549901</v>
      </c>
      <c r="AE95" s="594">
        <f xml:space="preserve"> COMMUS_Model!AE$520</f>
        <v>511.64191424046072</v>
      </c>
      <c r="AF95" s="594">
        <f xml:space="preserve"> COMMUS_Model!AF$520</f>
        <v>522.47681812965493</v>
      </c>
      <c r="AG95" s="594">
        <f xml:space="preserve"> COMMUS_Model!AG$520</f>
        <v>533.79306524069909</v>
      </c>
      <c r="AH95" s="594">
        <f xml:space="preserve"> COMMUS_Model!AH$520</f>
        <v>545.3125501316897</v>
      </c>
      <c r="AI95" s="594">
        <f xml:space="preserve"> COMMUS_Model!AI$520</f>
        <v>563.04437690960037</v>
      </c>
      <c r="AJ95" s="594">
        <f xml:space="preserve"> COMMUS_Model!AJ$520</f>
        <v>520.87013281239911</v>
      </c>
      <c r="AK95" s="594">
        <f xml:space="preserve"> COMMUS_Model!AK$520</f>
        <v>303.9560272104207</v>
      </c>
      <c r="AL95" s="594">
        <f xml:space="preserve"> COMMUS_Model!AL$520</f>
        <v>0</v>
      </c>
      <c r="AM95" s="594">
        <f xml:space="preserve"> COMMUS_Model!AM$520</f>
        <v>0</v>
      </c>
      <c r="AN95" s="594">
        <f xml:space="preserve"> COMMUS_Model!AN$520</f>
        <v>0</v>
      </c>
      <c r="AO95" s="594">
        <f xml:space="preserve"> COMMUS_Model!AO$520</f>
        <v>0</v>
      </c>
      <c r="AP95" s="594">
        <f xml:space="preserve"> COMMUS_Model!AP$520</f>
        <v>0</v>
      </c>
      <c r="AQ95" s="594">
        <f xml:space="preserve"> COMMUS_Model!AQ$520</f>
        <v>0</v>
      </c>
      <c r="AR95" s="594">
        <f xml:space="preserve"> COMMUS_Model!AR$520</f>
        <v>0</v>
      </c>
      <c r="AS95" s="594">
        <f xml:space="preserve"> COMMUS_Model!AS$520</f>
        <v>0</v>
      </c>
    </row>
    <row r="96" spans="1:45" ht="15" customHeight="1" x14ac:dyDescent="0.3">
      <c r="E96" s="594" t="str">
        <f xml:space="preserve"> COMMUS_Model!E$566</f>
        <v>Capital costs, including Sens.</v>
      </c>
      <c r="F96" s="594" t="str">
        <f xml:space="preserve"> COMMUS_Model!F$566</f>
        <v>FS</v>
      </c>
      <c r="G96" s="594" t="str">
        <f xml:space="preserve"> COMMUS_Model!G$566</f>
        <v>$ mn</v>
      </c>
      <c r="H96" s="594">
        <f xml:space="preserve"> COMMUS_Model!H$566</f>
        <v>0</v>
      </c>
      <c r="I96" s="594">
        <f xml:space="preserve"> COMMUS_Model!I$566</f>
        <v>831.24520052188814</v>
      </c>
      <c r="J96" s="594">
        <f xml:space="preserve"> COMMUS_Model!J$566</f>
        <v>0</v>
      </c>
      <c r="K96" s="594">
        <f xml:space="preserve"> COMMUS_Model!K$566</f>
        <v>0</v>
      </c>
      <c r="L96" s="594">
        <f xml:space="preserve"> COMMUS_Model!L$566</f>
        <v>0</v>
      </c>
      <c r="M96" s="594">
        <f xml:space="preserve"> COMMUS_Model!M$566</f>
        <v>0</v>
      </c>
      <c r="N96" s="594">
        <f xml:space="preserve"> COMMUS_Model!N$566</f>
        <v>0</v>
      </c>
      <c r="O96" s="594">
        <f xml:space="preserve"> COMMUS_Model!O$566</f>
        <v>0</v>
      </c>
      <c r="P96" s="594">
        <f xml:space="preserve"> COMMUS_Model!P$566</f>
        <v>0</v>
      </c>
      <c r="Q96" s="594">
        <f xml:space="preserve"> COMMUS_Model!Q$566</f>
        <v>0</v>
      </c>
      <c r="R96" s="594">
        <f xml:space="preserve"> COMMUS_Model!R$566</f>
        <v>0</v>
      </c>
      <c r="S96" s="594">
        <f xml:space="preserve"> COMMUS_Model!S$566</f>
        <v>0</v>
      </c>
      <c r="T96" s="594">
        <f xml:space="preserve"> COMMUS_Model!T$566</f>
        <v>0</v>
      </c>
      <c r="U96" s="594">
        <f xml:space="preserve"> COMMUS_Model!U$566</f>
        <v>0</v>
      </c>
      <c r="V96" s="594">
        <f xml:space="preserve"> COMMUS_Model!V$566</f>
        <v>245.02819335000001</v>
      </c>
      <c r="W96" s="594">
        <f xml:space="preserve"> COMMUS_Model!W$566</f>
        <v>111.33372773000001</v>
      </c>
      <c r="X96" s="594">
        <f xml:space="preserve"> COMMUS_Model!X$566</f>
        <v>148.28970892000001</v>
      </c>
      <c r="Y96" s="594">
        <f xml:space="preserve"> COMMUS_Model!Y$566</f>
        <v>4.7877627</v>
      </c>
      <c r="Z96" s="594">
        <f xml:space="preserve"> COMMUS_Model!Z$566</f>
        <v>81.812290399999995</v>
      </c>
      <c r="AA96" s="594">
        <f xml:space="preserve"> COMMUS_Model!AA$566</f>
        <v>100.30613584</v>
      </c>
      <c r="AB96" s="594">
        <f xml:space="preserve"> COMMUS_Model!AB$566</f>
        <v>103.88373304536523</v>
      </c>
      <c r="AC96" s="594">
        <f xml:space="preserve"> COMMUS_Model!AC$566</f>
        <v>35.80364853652285</v>
      </c>
      <c r="AD96" s="594">
        <f xml:space="preserve"> COMMUS_Model!AD$566</f>
        <v>0</v>
      </c>
      <c r="AE96" s="594">
        <f xml:space="preserve"> COMMUS_Model!AE$566</f>
        <v>0</v>
      </c>
      <c r="AF96" s="594">
        <f xml:space="preserve"> COMMUS_Model!AF$566</f>
        <v>0</v>
      </c>
      <c r="AG96" s="594">
        <f xml:space="preserve"> COMMUS_Model!AG$566</f>
        <v>0</v>
      </c>
      <c r="AH96" s="594">
        <f xml:space="preserve"> COMMUS_Model!AH$566</f>
        <v>0</v>
      </c>
      <c r="AI96" s="594">
        <f xml:space="preserve"> COMMUS_Model!AI$566</f>
        <v>0</v>
      </c>
      <c r="AJ96" s="594">
        <f xml:space="preserve"> COMMUS_Model!AJ$566</f>
        <v>0</v>
      </c>
      <c r="AK96" s="594">
        <f xml:space="preserve"> COMMUS_Model!AK$566</f>
        <v>0</v>
      </c>
      <c r="AL96" s="594">
        <f xml:space="preserve"> COMMUS_Model!AL$566</f>
        <v>0</v>
      </c>
      <c r="AM96" s="594">
        <f xml:space="preserve"> COMMUS_Model!AM$566</f>
        <v>0</v>
      </c>
      <c r="AN96" s="594">
        <f xml:space="preserve"> COMMUS_Model!AN$566</f>
        <v>0</v>
      </c>
      <c r="AO96" s="594">
        <f xml:space="preserve"> COMMUS_Model!AO$566</f>
        <v>0</v>
      </c>
      <c r="AP96" s="594">
        <f xml:space="preserve"> COMMUS_Model!AP$566</f>
        <v>0</v>
      </c>
      <c r="AQ96" s="594">
        <f xml:space="preserve"> COMMUS_Model!AQ$566</f>
        <v>0</v>
      </c>
      <c r="AR96" s="594">
        <f xml:space="preserve"> COMMUS_Model!AR$566</f>
        <v>0</v>
      </c>
      <c r="AS96" s="594">
        <f xml:space="preserve"> COMMUS_Model!AS$566</f>
        <v>0</v>
      </c>
    </row>
    <row r="97" spans="1:45" ht="15" customHeight="1" x14ac:dyDescent="0.3">
      <c r="H97" s="448"/>
      <c r="J97" s="448"/>
      <c r="AL97" s="448"/>
      <c r="AM97" s="448"/>
      <c r="AN97" s="448"/>
      <c r="AO97" s="448"/>
      <c r="AP97" s="448"/>
      <c r="AQ97" s="448"/>
      <c r="AR97" s="448"/>
      <c r="AS97" s="448"/>
    </row>
    <row r="98" spans="1:45" ht="15" customHeight="1" x14ac:dyDescent="0.3">
      <c r="E98" s="594" t="str">
        <f xml:space="preserve"> COMMUS_Model!E$661</f>
        <v>Project cashflow before tax</v>
      </c>
      <c r="F98" s="594">
        <f xml:space="preserve"> COMMUS_Model!F$661</f>
        <v>0</v>
      </c>
      <c r="G98" s="594" t="str">
        <f xml:space="preserve"> COMMUS_Model!G$661</f>
        <v>$ mn</v>
      </c>
      <c r="H98" s="594">
        <f xml:space="preserve"> COMMUS_Model!H$661</f>
        <v>0</v>
      </c>
      <c r="I98" s="594">
        <f xml:space="preserve"> COMMUS_Model!I$661</f>
        <v>4808.508951492714</v>
      </c>
      <c r="J98" s="594">
        <f xml:space="preserve"> COMMUS_Model!J$661</f>
        <v>0</v>
      </c>
      <c r="K98" s="594">
        <f xml:space="preserve"> COMMUS_Model!K$661</f>
        <v>0</v>
      </c>
      <c r="L98" s="594">
        <f xml:space="preserve"> COMMUS_Model!L$661</f>
        <v>0</v>
      </c>
      <c r="M98" s="594">
        <f xml:space="preserve"> COMMUS_Model!M$661</f>
        <v>0</v>
      </c>
      <c r="N98" s="594">
        <f xml:space="preserve"> COMMUS_Model!N$661</f>
        <v>0</v>
      </c>
      <c r="O98" s="594">
        <f xml:space="preserve"> COMMUS_Model!O$661</f>
        <v>0</v>
      </c>
      <c r="P98" s="594">
        <f xml:space="preserve"> COMMUS_Model!P$661</f>
        <v>0</v>
      </c>
      <c r="Q98" s="594">
        <f xml:space="preserve"> COMMUS_Model!Q$661</f>
        <v>0</v>
      </c>
      <c r="R98" s="594">
        <f xml:space="preserve"> COMMUS_Model!R$661</f>
        <v>0</v>
      </c>
      <c r="S98" s="594">
        <f xml:space="preserve"> COMMUS_Model!S$661</f>
        <v>0</v>
      </c>
      <c r="T98" s="594">
        <f xml:space="preserve"> COMMUS_Model!T$661</f>
        <v>0</v>
      </c>
      <c r="U98" s="594">
        <f xml:space="preserve"> COMMUS_Model!U$661</f>
        <v>0</v>
      </c>
      <c r="V98" s="594">
        <f xml:space="preserve"> COMMUS_Model!V$661</f>
        <v>-232.89503624999998</v>
      </c>
      <c r="W98" s="594">
        <f xml:space="preserve"> COMMUS_Model!W$661</f>
        <v>52.580098239999941</v>
      </c>
      <c r="X98" s="594">
        <f xml:space="preserve"> COMMUS_Model!X$661</f>
        <v>63.087776474752047</v>
      </c>
      <c r="Y98" s="594">
        <f xml:space="preserve"> COMMUS_Model!Y$661</f>
        <v>388.84749866688009</v>
      </c>
      <c r="Z98" s="594">
        <f xml:space="preserve"> COMMUS_Model!Z$661</f>
        <v>800.04438643676804</v>
      </c>
      <c r="AA98" s="594">
        <f xml:space="preserve"> COMMUS_Model!AA$661</f>
        <v>421.34059002276399</v>
      </c>
      <c r="AB98" s="594">
        <f xml:space="preserve"> COMMUS_Model!AB$661</f>
        <v>460.80850247959802</v>
      </c>
      <c r="AC98" s="594">
        <f xml:space="preserve"> COMMUS_Model!AC$661</f>
        <v>119.74197863860209</v>
      </c>
      <c r="AD98" s="594">
        <f xml:space="preserve"> COMMUS_Model!AD$661</f>
        <v>450.63587435566512</v>
      </c>
      <c r="AE98" s="594">
        <f xml:space="preserve"> COMMUS_Model!AE$661</f>
        <v>440.02251691904888</v>
      </c>
      <c r="AF98" s="594">
        <f xml:space="preserve"> COMMUS_Model!AF$661</f>
        <v>428.26095951799471</v>
      </c>
      <c r="AG98" s="594">
        <f xml:space="preserve"> COMMUS_Model!AG$661</f>
        <v>415.62936777673497</v>
      </c>
      <c r="AH98" s="594">
        <f xml:space="preserve"> COMMUS_Model!AH$661</f>
        <v>405.50658903947829</v>
      </c>
      <c r="AI98" s="594">
        <f xml:space="preserve"> COMMUS_Model!AI$661</f>
        <v>249.63817234298438</v>
      </c>
      <c r="AJ98" s="594">
        <f xml:space="preserve"> COMMUS_Model!AJ$661</f>
        <v>301.82207419652491</v>
      </c>
      <c r="AK98" s="594">
        <f xml:space="preserve"> COMMUS_Model!AK$661</f>
        <v>43.437602634918335</v>
      </c>
      <c r="AL98" s="594">
        <f xml:space="preserve"> COMMUS_Model!AL$661</f>
        <v>0</v>
      </c>
      <c r="AM98" s="594">
        <f xml:space="preserve"> COMMUS_Model!AM$661</f>
        <v>0</v>
      </c>
      <c r="AN98" s="594">
        <f xml:space="preserve"> COMMUS_Model!AN$661</f>
        <v>0</v>
      </c>
      <c r="AO98" s="594">
        <f xml:space="preserve"> COMMUS_Model!AO$661</f>
        <v>0</v>
      </c>
      <c r="AP98" s="594">
        <f xml:space="preserve"> COMMUS_Model!AP$661</f>
        <v>0</v>
      </c>
      <c r="AQ98" s="594">
        <f xml:space="preserve"> COMMUS_Model!AQ$661</f>
        <v>0</v>
      </c>
      <c r="AR98" s="594">
        <f xml:space="preserve"> COMMUS_Model!AR$661</f>
        <v>0</v>
      </c>
      <c r="AS98" s="594">
        <f xml:space="preserve"> COMMUS_Model!AS$661</f>
        <v>0</v>
      </c>
    </row>
    <row r="99" spans="1:45" ht="15" customHeight="1" x14ac:dyDescent="0.3">
      <c r="AL99" s="448"/>
      <c r="AM99" s="448"/>
      <c r="AN99" s="448"/>
    </row>
    <row r="100" spans="1:45" ht="15" customHeight="1" x14ac:dyDescent="0.3">
      <c r="A100" s="506"/>
      <c r="B100" s="506"/>
      <c r="C100" s="507"/>
      <c r="D100" s="88"/>
      <c r="E100" s="88" t="str">
        <f>E95</f>
        <v>Operating costs, including Sens.</v>
      </c>
      <c r="F100" s="88"/>
      <c r="G100" s="88" t="str">
        <f xml:space="preserve"> G95</f>
        <v>$ mn</v>
      </c>
      <c r="H100" s="88"/>
      <c r="I100" s="424"/>
      <c r="J100" s="88">
        <f t="shared" ref="J100" si="0" xml:space="preserve"> SUM(L100:AV100)</f>
        <v>-6417.4732060838423</v>
      </c>
      <c r="K100" s="439"/>
      <c r="L100" s="88">
        <f t="shared" ref="L100:AK100" si="1" xml:space="preserve"> L95 * -1</f>
        <v>0</v>
      </c>
      <c r="M100" s="88">
        <f t="shared" si="1"/>
        <v>0</v>
      </c>
      <c r="N100" s="88">
        <f t="shared" si="1"/>
        <v>0</v>
      </c>
      <c r="O100" s="88">
        <f t="shared" si="1"/>
        <v>0</v>
      </c>
      <c r="P100" s="88">
        <f t="shared" si="1"/>
        <v>0</v>
      </c>
      <c r="Q100" s="88">
        <f t="shared" si="1"/>
        <v>0</v>
      </c>
      <c r="R100" s="88">
        <f t="shared" si="1"/>
        <v>0</v>
      </c>
      <c r="S100" s="88">
        <f t="shared" si="1"/>
        <v>0</v>
      </c>
      <c r="T100" s="88">
        <f t="shared" si="1"/>
        <v>0</v>
      </c>
      <c r="U100" s="88">
        <f t="shared" si="1"/>
        <v>0</v>
      </c>
      <c r="V100" s="88">
        <f t="shared" si="1"/>
        <v>-92.547447899999995</v>
      </c>
      <c r="W100" s="88">
        <f t="shared" si="1"/>
        <v>-111.20828203000001</v>
      </c>
      <c r="X100" s="88">
        <f t="shared" si="1"/>
        <v>-222.95433410956798</v>
      </c>
      <c r="Y100" s="88">
        <f t="shared" si="1"/>
        <v>-275.07933724392001</v>
      </c>
      <c r="Z100" s="88">
        <f t="shared" si="1"/>
        <v>-236.842377442112</v>
      </c>
      <c r="AA100" s="88">
        <f t="shared" si="1"/>
        <v>-521.23181416247598</v>
      </c>
      <c r="AB100" s="88">
        <f t="shared" si="1"/>
        <v>-458.85614080454303</v>
      </c>
      <c r="AC100" s="88">
        <f t="shared" si="1"/>
        <v>-498.26409575079998</v>
      </c>
      <c r="AD100" s="88">
        <f t="shared" si="1"/>
        <v>-499.39449196549901</v>
      </c>
      <c r="AE100" s="88">
        <f t="shared" si="1"/>
        <v>-511.64191424046072</v>
      </c>
      <c r="AF100" s="88">
        <f t="shared" si="1"/>
        <v>-522.47681812965493</v>
      </c>
      <c r="AG100" s="88">
        <f t="shared" si="1"/>
        <v>-533.79306524069909</v>
      </c>
      <c r="AH100" s="88">
        <f t="shared" si="1"/>
        <v>-545.3125501316897</v>
      </c>
      <c r="AI100" s="88">
        <f t="shared" si="1"/>
        <v>-563.04437690960037</v>
      </c>
      <c r="AJ100" s="88">
        <f t="shared" si="1"/>
        <v>-520.87013281239911</v>
      </c>
      <c r="AK100" s="88">
        <f t="shared" si="1"/>
        <v>-303.9560272104207</v>
      </c>
      <c r="AL100" s="88">
        <f t="shared" ref="AL100:AN100" si="2" xml:space="preserve"> AL95 * -1</f>
        <v>0</v>
      </c>
      <c r="AM100" s="88">
        <f t="shared" si="2"/>
        <v>0</v>
      </c>
      <c r="AN100" s="88">
        <f t="shared" si="2"/>
        <v>0</v>
      </c>
      <c r="AO100" s="88">
        <f t="shared" ref="AO100:AS100" si="3" xml:space="preserve"> AO95 * -1</f>
        <v>0</v>
      </c>
      <c r="AP100" s="88">
        <f t="shared" si="3"/>
        <v>0</v>
      </c>
      <c r="AQ100" s="88">
        <f t="shared" si="3"/>
        <v>0</v>
      </c>
      <c r="AR100" s="88">
        <f t="shared" si="3"/>
        <v>0</v>
      </c>
      <c r="AS100" s="88">
        <f t="shared" si="3"/>
        <v>0</v>
      </c>
    </row>
    <row r="101" spans="1:45" ht="15" customHeight="1" x14ac:dyDescent="0.3">
      <c r="A101" s="506"/>
      <c r="B101" s="506"/>
      <c r="C101" s="507"/>
      <c r="D101" s="88"/>
      <c r="E101" s="88" t="str">
        <f>E96</f>
        <v>Capital costs, including Sens.</v>
      </c>
      <c r="F101" s="88"/>
      <c r="G101" s="88" t="str">
        <f xml:space="preserve"> G96</f>
        <v>$ mn</v>
      </c>
      <c r="H101" s="88"/>
      <c r="I101" s="424"/>
      <c r="J101" s="88">
        <f t="shared" ref="J101" si="4" xml:space="preserve"> SUM(L101:AV101)</f>
        <v>-831.24520052188814</v>
      </c>
      <c r="K101" s="439"/>
      <c r="L101" s="88">
        <f t="shared" ref="L101:AK101" si="5" xml:space="preserve"> L96 * -1</f>
        <v>0</v>
      </c>
      <c r="M101" s="88">
        <f t="shared" si="5"/>
        <v>0</v>
      </c>
      <c r="N101" s="88">
        <f t="shared" si="5"/>
        <v>0</v>
      </c>
      <c r="O101" s="88">
        <f t="shared" si="5"/>
        <v>0</v>
      </c>
      <c r="P101" s="88">
        <f t="shared" si="5"/>
        <v>0</v>
      </c>
      <c r="Q101" s="88">
        <f t="shared" si="5"/>
        <v>0</v>
      </c>
      <c r="R101" s="88">
        <f t="shared" si="5"/>
        <v>0</v>
      </c>
      <c r="S101" s="88">
        <f t="shared" si="5"/>
        <v>0</v>
      </c>
      <c r="T101" s="88">
        <f t="shared" si="5"/>
        <v>0</v>
      </c>
      <c r="U101" s="88">
        <f t="shared" si="5"/>
        <v>0</v>
      </c>
      <c r="V101" s="88">
        <f t="shared" si="5"/>
        <v>-245.02819335000001</v>
      </c>
      <c r="W101" s="88">
        <f t="shared" si="5"/>
        <v>-111.33372773000001</v>
      </c>
      <c r="X101" s="88">
        <f t="shared" si="5"/>
        <v>-148.28970892000001</v>
      </c>
      <c r="Y101" s="88">
        <f t="shared" si="5"/>
        <v>-4.7877627</v>
      </c>
      <c r="Z101" s="88">
        <f t="shared" si="5"/>
        <v>-81.812290399999995</v>
      </c>
      <c r="AA101" s="88">
        <f t="shared" si="5"/>
        <v>-100.30613584</v>
      </c>
      <c r="AB101" s="88">
        <f t="shared" si="5"/>
        <v>-103.88373304536523</v>
      </c>
      <c r="AC101" s="88">
        <f t="shared" si="5"/>
        <v>-35.80364853652285</v>
      </c>
      <c r="AD101" s="88">
        <f t="shared" si="5"/>
        <v>0</v>
      </c>
      <c r="AE101" s="88">
        <f t="shared" si="5"/>
        <v>0</v>
      </c>
      <c r="AF101" s="88">
        <f t="shared" si="5"/>
        <v>0</v>
      </c>
      <c r="AG101" s="88">
        <f t="shared" si="5"/>
        <v>0</v>
      </c>
      <c r="AH101" s="88">
        <f t="shared" si="5"/>
        <v>0</v>
      </c>
      <c r="AI101" s="88">
        <f t="shared" si="5"/>
        <v>0</v>
      </c>
      <c r="AJ101" s="88">
        <f t="shared" si="5"/>
        <v>0</v>
      </c>
      <c r="AK101" s="88">
        <f t="shared" si="5"/>
        <v>0</v>
      </c>
      <c r="AL101" s="88">
        <f t="shared" ref="AL101:AN101" si="6" xml:space="preserve"> AL96 * -1</f>
        <v>0</v>
      </c>
      <c r="AM101" s="88">
        <f t="shared" si="6"/>
        <v>0</v>
      </c>
      <c r="AN101" s="88">
        <f t="shared" si="6"/>
        <v>0</v>
      </c>
      <c r="AO101" s="88">
        <f t="shared" ref="AO101:AS101" si="7" xml:space="preserve"> AO96 * -1</f>
        <v>0</v>
      </c>
      <c r="AP101" s="88">
        <f t="shared" si="7"/>
        <v>0</v>
      </c>
      <c r="AQ101" s="88">
        <f t="shared" si="7"/>
        <v>0</v>
      </c>
      <c r="AR101" s="88">
        <f t="shared" si="7"/>
        <v>0</v>
      </c>
      <c r="AS101" s="88">
        <f t="shared" si="7"/>
        <v>0</v>
      </c>
    </row>
    <row r="102" spans="1:45" ht="15" customHeight="1" x14ac:dyDescent="0.3">
      <c r="AL102" s="448"/>
      <c r="AM102" s="448"/>
      <c r="AN102" s="448"/>
    </row>
    <row r="103" spans="1:45" ht="15" customHeight="1" x14ac:dyDescent="0.3">
      <c r="AL103" s="448"/>
      <c r="AM103" s="448"/>
      <c r="AN103" s="448"/>
    </row>
    <row r="104" spans="1:45" ht="15" customHeight="1" x14ac:dyDescent="0.3">
      <c r="AL104" s="448"/>
      <c r="AM104" s="448"/>
      <c r="AN104" s="448"/>
    </row>
    <row r="105" spans="1:45" ht="15" customHeight="1" x14ac:dyDescent="0.3">
      <c r="AL105" s="448"/>
      <c r="AM105" s="448"/>
      <c r="AN105" s="448"/>
    </row>
    <row r="106" spans="1:45" ht="15" customHeight="1" x14ac:dyDescent="0.3">
      <c r="AL106" s="448"/>
      <c r="AM106" s="448"/>
      <c r="AN106" s="448"/>
    </row>
    <row r="107" spans="1:45" ht="15" customHeight="1" x14ac:dyDescent="0.3">
      <c r="AL107" s="448"/>
      <c r="AM107" s="448"/>
      <c r="AN107" s="448"/>
    </row>
    <row r="108" spans="1:45" ht="15" customHeight="1" x14ac:dyDescent="0.3">
      <c r="AL108" s="448"/>
      <c r="AM108" s="448"/>
      <c r="AN108" s="448"/>
    </row>
    <row r="109" spans="1:45" ht="15" customHeight="1" x14ac:dyDescent="0.3">
      <c r="AL109" s="448"/>
      <c r="AM109" s="448"/>
      <c r="AN109" s="448"/>
    </row>
    <row r="110" spans="1:45" ht="15" customHeight="1" x14ac:dyDescent="0.3">
      <c r="AL110" s="448"/>
      <c r="AM110" s="448"/>
      <c r="AN110" s="448"/>
    </row>
    <row r="111" spans="1:45" ht="15" customHeight="1" x14ac:dyDescent="0.3">
      <c r="AL111" s="448"/>
      <c r="AM111" s="448"/>
      <c r="AN111" s="448"/>
    </row>
    <row r="112" spans="1:45" ht="15" customHeight="1" x14ac:dyDescent="0.3">
      <c r="AL112" s="448"/>
      <c r="AM112" s="448"/>
      <c r="AN112" s="448"/>
    </row>
    <row r="113" spans="38:40" ht="15" customHeight="1" x14ac:dyDescent="0.3">
      <c r="AL113" s="448"/>
      <c r="AM113" s="448"/>
      <c r="AN113" s="448"/>
    </row>
    <row r="114" spans="38:40" ht="15" customHeight="1" x14ac:dyDescent="0.3">
      <c r="AL114" s="448"/>
      <c r="AM114" s="448"/>
      <c r="AN114" s="448"/>
    </row>
    <row r="115" spans="38:40" ht="15" customHeight="1" x14ac:dyDescent="0.3">
      <c r="AL115" s="448"/>
      <c r="AM115" s="448"/>
      <c r="AN115" s="448"/>
    </row>
    <row r="116" spans="38:40" ht="15" customHeight="1" x14ac:dyDescent="0.3">
      <c r="AL116" s="448"/>
      <c r="AM116" s="448"/>
      <c r="AN116" s="448"/>
    </row>
    <row r="117" spans="38:40" ht="15" customHeight="1" x14ac:dyDescent="0.3">
      <c r="AL117" s="448"/>
      <c r="AM117" s="448"/>
      <c r="AN117" s="448"/>
    </row>
    <row r="118" spans="38:40" ht="15" customHeight="1" x14ac:dyDescent="0.3">
      <c r="AL118" s="448"/>
      <c r="AM118" s="448"/>
      <c r="AN118" s="448"/>
    </row>
    <row r="119" spans="38:40" ht="15" customHeight="1" x14ac:dyDescent="0.3">
      <c r="AL119" s="448"/>
      <c r="AM119" s="448"/>
      <c r="AN119" s="448"/>
    </row>
    <row r="120" spans="38:40" ht="15" customHeight="1" x14ac:dyDescent="0.3">
      <c r="AL120" s="448"/>
      <c r="AM120" s="448"/>
      <c r="AN120" s="448"/>
    </row>
    <row r="121" spans="38:40" ht="15" customHeight="1" x14ac:dyDescent="0.3">
      <c r="AL121" s="448"/>
      <c r="AM121" s="448"/>
      <c r="AN121" s="448"/>
    </row>
    <row r="122" spans="38:40" ht="15" customHeight="1" x14ac:dyDescent="0.3">
      <c r="AL122" s="448"/>
      <c r="AM122" s="448"/>
      <c r="AN122" s="448"/>
    </row>
    <row r="123" spans="38:40" ht="15" customHeight="1" x14ac:dyDescent="0.3">
      <c r="AL123" s="448"/>
      <c r="AM123" s="448"/>
      <c r="AN123" s="448"/>
    </row>
    <row r="124" spans="38:40" ht="15" customHeight="1" x14ac:dyDescent="0.3">
      <c r="AL124" s="448"/>
      <c r="AM124" s="448"/>
      <c r="AN124" s="448"/>
    </row>
    <row r="125" spans="38:40" ht="15" customHeight="1" x14ac:dyDescent="0.3">
      <c r="AL125" s="448"/>
      <c r="AM125" s="448"/>
      <c r="AN125" s="448"/>
    </row>
    <row r="126" spans="38:40" ht="15" customHeight="1" x14ac:dyDescent="0.3">
      <c r="AL126" s="448"/>
      <c r="AM126" s="448"/>
      <c r="AN126" s="448"/>
    </row>
    <row r="127" spans="38:40" ht="15" customHeight="1" x14ac:dyDescent="0.3">
      <c r="AL127" s="448"/>
      <c r="AM127" s="448"/>
      <c r="AN127" s="448"/>
    </row>
    <row r="128" spans="38:40" ht="15" customHeight="1" x14ac:dyDescent="0.3">
      <c r="AL128" s="448"/>
      <c r="AM128" s="448"/>
      <c r="AN128" s="448"/>
    </row>
    <row r="129" spans="1:45" ht="15" customHeight="1" x14ac:dyDescent="0.3">
      <c r="AL129" s="448"/>
      <c r="AM129" s="448"/>
      <c r="AN129" s="448"/>
    </row>
    <row r="130" spans="1:45" ht="15" customHeight="1" x14ac:dyDescent="0.3">
      <c r="AL130" s="448"/>
      <c r="AM130" s="448"/>
      <c r="AN130" s="448"/>
    </row>
    <row r="131" spans="1:45" ht="15" customHeight="1" collapsed="1" x14ac:dyDescent="0.3">
      <c r="A131" s="733" t="s">
        <v>683</v>
      </c>
      <c r="B131" s="734"/>
      <c r="C131" s="735"/>
      <c r="D131" s="734"/>
      <c r="E131" s="734"/>
      <c r="F131" s="734"/>
      <c r="G131" s="734"/>
      <c r="H131" s="734"/>
      <c r="I131" s="734"/>
      <c r="J131" s="734"/>
      <c r="K131" s="734"/>
      <c r="L131" s="734"/>
      <c r="M131" s="734"/>
      <c r="N131" s="734"/>
      <c r="O131" s="734"/>
      <c r="P131" s="734"/>
      <c r="Q131" s="734"/>
      <c r="R131" s="734"/>
      <c r="S131" s="734"/>
      <c r="T131" s="734"/>
      <c r="U131" s="734"/>
      <c r="V131" s="734"/>
      <c r="W131" s="734"/>
      <c r="X131" s="734"/>
      <c r="Y131" s="734"/>
      <c r="Z131" s="734"/>
      <c r="AA131" s="734"/>
      <c r="AB131" s="734"/>
      <c r="AC131" s="734"/>
      <c r="AD131" s="734"/>
      <c r="AE131" s="734"/>
      <c r="AF131" s="734"/>
      <c r="AG131" s="734"/>
      <c r="AH131" s="734"/>
      <c r="AI131" s="734"/>
      <c r="AJ131" s="734"/>
      <c r="AK131" s="734"/>
      <c r="AL131" s="734"/>
      <c r="AM131" s="734"/>
      <c r="AN131" s="734"/>
    </row>
    <row r="132" spans="1:45" ht="15" customHeight="1" x14ac:dyDescent="0.3">
      <c r="AL132" s="448"/>
      <c r="AM132" s="448"/>
      <c r="AN132" s="448"/>
    </row>
    <row r="133" spans="1:45" ht="15" customHeight="1" x14ac:dyDescent="0.3">
      <c r="E133" s="636" t="str">
        <f xml:space="preserve"> A131</f>
        <v>GOVERNMENT REVENUES</v>
      </c>
      <c r="F133" s="88" t="s">
        <v>674</v>
      </c>
      <c r="AL133" s="448"/>
      <c r="AM133" s="448"/>
      <c r="AN133" s="448"/>
    </row>
    <row r="134" spans="1:45" ht="15" customHeight="1" x14ac:dyDescent="0.3">
      <c r="E134" s="636" t="str">
        <f xml:space="preserve"> G138</f>
        <v>$ mn</v>
      </c>
      <c r="F134" s="88" t="s">
        <v>676</v>
      </c>
      <c r="AL134" s="448"/>
      <c r="AM134" s="448"/>
      <c r="AN134" s="448"/>
    </row>
    <row r="135" spans="1:45" ht="15" customHeight="1" x14ac:dyDescent="0.3">
      <c r="E135" s="88"/>
      <c r="F135" s="88" t="s">
        <v>677</v>
      </c>
      <c r="AL135" s="448"/>
      <c r="AM135" s="448"/>
      <c r="AN135" s="448"/>
    </row>
    <row r="136" spans="1:45" ht="15" customHeight="1" x14ac:dyDescent="0.3">
      <c r="AL136" s="448"/>
      <c r="AM136" s="448"/>
      <c r="AN136" s="448"/>
    </row>
    <row r="137" spans="1:45" ht="15" customHeight="1" x14ac:dyDescent="0.3">
      <c r="A137" s="731"/>
      <c r="B137" s="731"/>
      <c r="C137" s="732"/>
      <c r="D137" s="177"/>
      <c r="E137" s="177" t="str">
        <f xml:space="preserve"> 'T&amp;E'!E$9</f>
        <v>Model calendar year</v>
      </c>
      <c r="F137" s="177">
        <f xml:space="preserve"> 'T&amp;E'!F$9</f>
        <v>0</v>
      </c>
      <c r="G137" s="177" t="str">
        <f xml:space="preserve"> 'T&amp;E'!G$9</f>
        <v>year</v>
      </c>
      <c r="H137" s="177">
        <f xml:space="preserve"> 'T&amp;E'!H$9</f>
        <v>0</v>
      </c>
      <c r="I137" s="177">
        <f xml:space="preserve"> 'T&amp;E'!I$9</f>
        <v>0</v>
      </c>
      <c r="J137" s="177">
        <f xml:space="preserve"> 'T&amp;E'!J$9</f>
        <v>0</v>
      </c>
      <c r="K137" s="177">
        <f xml:space="preserve"> 'T&amp;E'!K$9</f>
        <v>2006</v>
      </c>
      <c r="L137" s="177">
        <f xml:space="preserve"> 'T&amp;E'!L$9</f>
        <v>2007</v>
      </c>
      <c r="M137" s="177">
        <f xml:space="preserve"> 'T&amp;E'!M$9</f>
        <v>2008</v>
      </c>
      <c r="N137" s="177">
        <f xml:space="preserve"> 'T&amp;E'!N$9</f>
        <v>2009</v>
      </c>
      <c r="O137" s="177">
        <f xml:space="preserve"> 'T&amp;E'!O$9</f>
        <v>2010</v>
      </c>
      <c r="P137" s="177">
        <f xml:space="preserve"> 'T&amp;E'!P$9</f>
        <v>2011</v>
      </c>
      <c r="Q137" s="177">
        <f xml:space="preserve"> 'T&amp;E'!Q$9</f>
        <v>2012</v>
      </c>
      <c r="R137" s="177">
        <f xml:space="preserve"> 'T&amp;E'!R$9</f>
        <v>2013</v>
      </c>
      <c r="S137" s="177">
        <f xml:space="preserve"> 'T&amp;E'!S$9</f>
        <v>2014</v>
      </c>
      <c r="T137" s="177">
        <f xml:space="preserve"> 'T&amp;E'!T$9</f>
        <v>2015</v>
      </c>
      <c r="U137" s="177">
        <f xml:space="preserve"> 'T&amp;E'!U$9</f>
        <v>2016</v>
      </c>
      <c r="V137" s="177">
        <f xml:space="preserve"> 'T&amp;E'!V$9</f>
        <v>2017</v>
      </c>
      <c r="W137" s="177">
        <f xml:space="preserve"> 'T&amp;E'!W$9</f>
        <v>2018</v>
      </c>
      <c r="X137" s="177">
        <f xml:space="preserve"> 'T&amp;E'!X$9</f>
        <v>2019</v>
      </c>
      <c r="Y137" s="177">
        <f xml:space="preserve"> 'T&amp;E'!Y$9</f>
        <v>2020</v>
      </c>
      <c r="Z137" s="177">
        <f xml:space="preserve"> 'T&amp;E'!Z$9</f>
        <v>2021</v>
      </c>
      <c r="AA137" s="177">
        <f xml:space="preserve"> 'T&amp;E'!AA$9</f>
        <v>2022</v>
      </c>
      <c r="AB137" s="177">
        <f xml:space="preserve"> 'T&amp;E'!AB$9</f>
        <v>2023</v>
      </c>
      <c r="AC137" s="177">
        <f xml:space="preserve"> 'T&amp;E'!AC$9</f>
        <v>2024</v>
      </c>
      <c r="AD137" s="177">
        <f xml:space="preserve"> 'T&amp;E'!AD$9</f>
        <v>2025</v>
      </c>
      <c r="AE137" s="177">
        <f xml:space="preserve"> 'T&amp;E'!AE$9</f>
        <v>2026</v>
      </c>
      <c r="AF137" s="177">
        <f xml:space="preserve"> 'T&amp;E'!AF$9</f>
        <v>2027</v>
      </c>
      <c r="AG137" s="177">
        <f xml:space="preserve"> 'T&amp;E'!AG$9</f>
        <v>2028</v>
      </c>
      <c r="AH137" s="177">
        <f xml:space="preserve"> 'T&amp;E'!AH$9</f>
        <v>2029</v>
      </c>
      <c r="AI137" s="177">
        <f xml:space="preserve"> 'T&amp;E'!AI$9</f>
        <v>2030</v>
      </c>
      <c r="AJ137" s="177">
        <f xml:space="preserve"> 'T&amp;E'!AJ$9</f>
        <v>2031</v>
      </c>
      <c r="AK137" s="177">
        <f xml:space="preserve"> 'T&amp;E'!AK$9</f>
        <v>2032</v>
      </c>
      <c r="AL137" s="177">
        <f xml:space="preserve"> 'T&amp;E'!AL$9</f>
        <v>2033</v>
      </c>
      <c r="AM137" s="177">
        <f xml:space="preserve"> 'T&amp;E'!AM$9</f>
        <v>2034</v>
      </c>
      <c r="AN137" s="177">
        <f xml:space="preserve"> 'T&amp;E'!AN$9</f>
        <v>2035</v>
      </c>
      <c r="AO137" s="177">
        <f xml:space="preserve"> 'T&amp;E'!AO$9</f>
        <v>2036</v>
      </c>
      <c r="AP137" s="177">
        <f xml:space="preserve"> 'T&amp;E'!AP$9</f>
        <v>2037</v>
      </c>
      <c r="AQ137" s="177">
        <f xml:space="preserve"> 'T&amp;E'!AQ$9</f>
        <v>2038</v>
      </c>
      <c r="AR137" s="177">
        <f xml:space="preserve"> 'T&amp;E'!AR$9</f>
        <v>2039</v>
      </c>
      <c r="AS137" s="177">
        <f xml:space="preserve"> 'T&amp;E'!AS$9</f>
        <v>2040</v>
      </c>
    </row>
    <row r="138" spans="1:45" ht="15" customHeight="1" x14ac:dyDescent="0.3">
      <c r="E138" s="594" t="str">
        <f xml:space="preserve"> COMMUS_Model!E$375</f>
        <v>Copper gross revenue</v>
      </c>
      <c r="F138" s="594">
        <f xml:space="preserve"> COMMUS_Model!F$375</f>
        <v>0</v>
      </c>
      <c r="G138" s="594" t="str">
        <f xml:space="preserve"> COMMUS_Model!G$375</f>
        <v>$ mn</v>
      </c>
      <c r="H138" s="594">
        <f xml:space="preserve"> COMMUS_Model!H$375</f>
        <v>0</v>
      </c>
      <c r="I138" s="594">
        <f xml:space="preserve"> COMMUS_Model!I$375</f>
        <v>11451.489506019687</v>
      </c>
      <c r="J138" s="594">
        <f xml:space="preserve"> COMMUS_Model!J$375</f>
        <v>0</v>
      </c>
      <c r="K138" s="594">
        <f xml:space="preserve"> COMMUS_Model!K$375</f>
        <v>0</v>
      </c>
      <c r="L138" s="594">
        <f xml:space="preserve"> COMMUS_Model!L$375</f>
        <v>0</v>
      </c>
      <c r="M138" s="594">
        <f xml:space="preserve"> COMMUS_Model!M$375</f>
        <v>0</v>
      </c>
      <c r="N138" s="594">
        <f xml:space="preserve"> COMMUS_Model!N$375</f>
        <v>0</v>
      </c>
      <c r="O138" s="594">
        <f xml:space="preserve"> COMMUS_Model!O$375</f>
        <v>0</v>
      </c>
      <c r="P138" s="594">
        <f xml:space="preserve"> COMMUS_Model!P$375</f>
        <v>0</v>
      </c>
      <c r="Q138" s="594">
        <f xml:space="preserve"> COMMUS_Model!Q$375</f>
        <v>0</v>
      </c>
      <c r="R138" s="594">
        <f xml:space="preserve"> COMMUS_Model!R$375</f>
        <v>0</v>
      </c>
      <c r="S138" s="594">
        <f xml:space="preserve"> COMMUS_Model!S$375</f>
        <v>0</v>
      </c>
      <c r="T138" s="594">
        <f xml:space="preserve"> COMMUS_Model!T$375</f>
        <v>0</v>
      </c>
      <c r="U138" s="594">
        <f xml:space="preserve"> COMMUS_Model!U$375</f>
        <v>0</v>
      </c>
      <c r="V138" s="594">
        <f xml:space="preserve"> COMMUS_Model!V$375</f>
        <v>104.68060500000001</v>
      </c>
      <c r="W138" s="594">
        <f xml:space="preserve"> COMMUS_Model!W$375</f>
        <v>275.12210799999997</v>
      </c>
      <c r="X138" s="594">
        <f xml:space="preserve"> COMMUS_Model!X$375</f>
        <v>416.84932400000002</v>
      </c>
      <c r="Y138" s="594">
        <f xml:space="preserve"> COMMUS_Model!Y$375</f>
        <v>635.77241700000002</v>
      </c>
      <c r="Z138" s="594">
        <f xml:space="preserve"> COMMUS_Model!Z$375</f>
        <v>1059.1821980000002</v>
      </c>
      <c r="AA138" s="594">
        <f xml:space="preserve"> COMMUS_Model!AA$375</f>
        <v>938.45274099999995</v>
      </c>
      <c r="AB138" s="594">
        <f xml:space="preserve"> COMMUS_Model!AB$375</f>
        <v>972.90811853117418</v>
      </c>
      <c r="AC138" s="594">
        <f xml:space="preserve"> COMMUS_Model!AC$375</f>
        <v>641.01964091281855</v>
      </c>
      <c r="AD138" s="594">
        <f xml:space="preserve"> COMMUS_Model!AD$375</f>
        <v>905.06080438998561</v>
      </c>
      <c r="AE138" s="594">
        <f xml:space="preserve"> COMMUS_Model!AE$375</f>
        <v>906.69486922833119</v>
      </c>
      <c r="AF138" s="594">
        <f xml:space="preserve"> COMMUS_Model!AF$375</f>
        <v>905.7682157164711</v>
      </c>
      <c r="AG138" s="594">
        <f xml:space="preserve"> COMMUS_Model!AG$375</f>
        <v>904.45287108625553</v>
      </c>
      <c r="AH138" s="594">
        <f xml:space="preserve"> COMMUS_Model!AH$375</f>
        <v>905.84957723998957</v>
      </c>
      <c r="AI138" s="594">
        <f xml:space="preserve"> COMMUS_Model!AI$375</f>
        <v>766.66482549710213</v>
      </c>
      <c r="AJ138" s="594">
        <f xml:space="preserve"> COMMUS_Model!AJ$375</f>
        <v>782.56965423430415</v>
      </c>
      <c r="AK138" s="594">
        <f xml:space="preserve"> COMMUS_Model!AK$375</f>
        <v>330.44153618325373</v>
      </c>
      <c r="AL138" s="594">
        <f xml:space="preserve"> COMMUS_Model!AL$375</f>
        <v>0</v>
      </c>
      <c r="AM138" s="594">
        <f xml:space="preserve"> COMMUS_Model!AM$375</f>
        <v>0</v>
      </c>
      <c r="AN138" s="594">
        <f xml:space="preserve"> COMMUS_Model!AN$375</f>
        <v>0</v>
      </c>
      <c r="AO138" s="594">
        <f xml:space="preserve"> COMMUS_Model!AO$375</f>
        <v>0</v>
      </c>
      <c r="AP138" s="594">
        <f xml:space="preserve"> COMMUS_Model!AP$375</f>
        <v>0</v>
      </c>
      <c r="AQ138" s="594">
        <f xml:space="preserve"> COMMUS_Model!AQ$375</f>
        <v>0</v>
      </c>
      <c r="AR138" s="594">
        <f xml:space="preserve"> COMMUS_Model!AR$375</f>
        <v>0</v>
      </c>
      <c r="AS138" s="594">
        <f xml:space="preserve"> COMMUS_Model!AS$375</f>
        <v>0</v>
      </c>
    </row>
    <row r="139" spans="1:45" ht="15" customHeight="1" x14ac:dyDescent="0.3">
      <c r="E139" s="594" t="str">
        <f xml:space="preserve"> COMMUS_Model!E$380</f>
        <v>Cobalt gross revenue</v>
      </c>
      <c r="F139" s="594">
        <f xml:space="preserve"> COMMUS_Model!F$380</f>
        <v>0</v>
      </c>
      <c r="G139" s="594" t="str">
        <f xml:space="preserve"> COMMUS_Model!G$380</f>
        <v>$ mn</v>
      </c>
      <c r="H139" s="594">
        <f xml:space="preserve"> COMMUS_Model!H$380</f>
        <v>0</v>
      </c>
      <c r="I139" s="594">
        <f xml:space="preserve"> COMMUS_Model!I$380</f>
        <v>605.73785207875858</v>
      </c>
      <c r="J139" s="594">
        <f xml:space="preserve"> COMMUS_Model!J$380</f>
        <v>0</v>
      </c>
      <c r="K139" s="594">
        <f xml:space="preserve"> COMMUS_Model!K$380</f>
        <v>0</v>
      </c>
      <c r="L139" s="594">
        <f xml:space="preserve"> COMMUS_Model!L$380</f>
        <v>0</v>
      </c>
      <c r="M139" s="594">
        <f xml:space="preserve"> COMMUS_Model!M$380</f>
        <v>0</v>
      </c>
      <c r="N139" s="594">
        <f xml:space="preserve"> COMMUS_Model!N$380</f>
        <v>0</v>
      </c>
      <c r="O139" s="594">
        <f xml:space="preserve"> COMMUS_Model!O$380</f>
        <v>0</v>
      </c>
      <c r="P139" s="594">
        <f xml:space="preserve"> COMMUS_Model!P$380</f>
        <v>0</v>
      </c>
      <c r="Q139" s="594">
        <f xml:space="preserve"> COMMUS_Model!Q$380</f>
        <v>0</v>
      </c>
      <c r="R139" s="594">
        <f xml:space="preserve"> COMMUS_Model!R$380</f>
        <v>0</v>
      </c>
      <c r="S139" s="594">
        <f xml:space="preserve"> COMMUS_Model!S$380</f>
        <v>0</v>
      </c>
      <c r="T139" s="594">
        <f xml:space="preserve"> COMMUS_Model!T$380</f>
        <v>0</v>
      </c>
      <c r="U139" s="594">
        <f xml:space="preserve"> COMMUS_Model!U$380</f>
        <v>0</v>
      </c>
      <c r="V139" s="594">
        <f xml:space="preserve"> COMMUS_Model!V$380</f>
        <v>0</v>
      </c>
      <c r="W139" s="594">
        <f xml:space="preserve"> COMMUS_Model!W$380</f>
        <v>0</v>
      </c>
      <c r="X139" s="594">
        <f xml:space="preserve"> COMMUS_Model!X$380</f>
        <v>17.482495504319999</v>
      </c>
      <c r="Y139" s="594">
        <f xml:space="preserve"> COMMUS_Model!Y$380</f>
        <v>32.942181610799999</v>
      </c>
      <c r="Z139" s="594">
        <f xml:space="preserve"> COMMUS_Model!Z$380</f>
        <v>59.516856278879999</v>
      </c>
      <c r="AA139" s="594">
        <f xml:space="preserve"> COMMUS_Model!AA$380</f>
        <v>104.42579902523998</v>
      </c>
      <c r="AB139" s="594">
        <f xml:space="preserve"> COMMUS_Model!AB$380</f>
        <v>50.640257798332065</v>
      </c>
      <c r="AC139" s="594">
        <f xml:space="preserve"> COMMUS_Model!AC$380</f>
        <v>12.790082013106371</v>
      </c>
      <c r="AD139" s="594">
        <f xml:space="preserve"> COMMUS_Model!AD$380</f>
        <v>44.969561931178475</v>
      </c>
      <c r="AE139" s="594">
        <f xml:space="preserve"> COMMUS_Model!AE$380</f>
        <v>44.969561931178475</v>
      </c>
      <c r="AF139" s="594">
        <f xml:space="preserve"> COMMUS_Model!AF$380</f>
        <v>44.969561931178475</v>
      </c>
      <c r="AG139" s="594">
        <f xml:space="preserve"> COMMUS_Model!AG$380</f>
        <v>44.969561931178475</v>
      </c>
      <c r="AH139" s="594">
        <f xml:space="preserve"> COMMUS_Model!AH$380</f>
        <v>44.969561931178475</v>
      </c>
      <c r="AI139" s="594">
        <f xml:space="preserve"> COMMUS_Model!AI$380</f>
        <v>46.017723755482606</v>
      </c>
      <c r="AJ139" s="594">
        <f xml:space="preserve"> COMMUS_Model!AJ$380</f>
        <v>40.122552774619891</v>
      </c>
      <c r="AK139" s="594">
        <f xml:space="preserve"> COMMUS_Model!AK$380</f>
        <v>16.952093662085321</v>
      </c>
      <c r="AL139" s="594">
        <f xml:space="preserve"> COMMUS_Model!AL$380</f>
        <v>0</v>
      </c>
      <c r="AM139" s="594">
        <f xml:space="preserve"> COMMUS_Model!AM$380</f>
        <v>0</v>
      </c>
      <c r="AN139" s="594">
        <f xml:space="preserve"> COMMUS_Model!AN$380</f>
        <v>0</v>
      </c>
      <c r="AO139" s="594">
        <f xml:space="preserve"> COMMUS_Model!AO$380</f>
        <v>0</v>
      </c>
      <c r="AP139" s="594">
        <f xml:space="preserve"> COMMUS_Model!AP$380</f>
        <v>0</v>
      </c>
      <c r="AQ139" s="594">
        <f xml:space="preserve"> COMMUS_Model!AQ$380</f>
        <v>0</v>
      </c>
      <c r="AR139" s="594">
        <f xml:space="preserve"> COMMUS_Model!AR$380</f>
        <v>0</v>
      </c>
      <c r="AS139" s="594">
        <f xml:space="preserve"> COMMUS_Model!AS$380</f>
        <v>0</v>
      </c>
    </row>
    <row r="140" spans="1:45" ht="15" customHeight="1" x14ac:dyDescent="0.3">
      <c r="H140" s="448"/>
      <c r="J140" s="448"/>
      <c r="AL140" s="448"/>
      <c r="AM140" s="448"/>
      <c r="AN140" s="448"/>
      <c r="AO140" s="448"/>
      <c r="AP140" s="448"/>
      <c r="AQ140" s="448"/>
      <c r="AR140" s="448"/>
      <c r="AS140" s="448"/>
    </row>
    <row r="141" spans="1:45" ht="15" customHeight="1" x14ac:dyDescent="0.3">
      <c r="A141" s="736"/>
      <c r="B141" s="736"/>
      <c r="C141" s="737"/>
      <c r="D141" s="738"/>
      <c r="E141" s="738"/>
      <c r="F141" s="738"/>
      <c r="G141" s="738"/>
      <c r="H141" s="738"/>
      <c r="I141" s="738"/>
      <c r="J141" s="738"/>
      <c r="K141" s="738"/>
      <c r="L141" s="738"/>
      <c r="M141" s="738"/>
      <c r="N141" s="738"/>
      <c r="O141" s="738"/>
      <c r="P141" s="738"/>
      <c r="Q141" s="738"/>
      <c r="R141" s="738"/>
      <c r="S141" s="738"/>
      <c r="T141" s="738"/>
      <c r="U141" s="738"/>
      <c r="V141" s="738"/>
      <c r="W141" s="738"/>
      <c r="X141" s="738"/>
      <c r="Y141" s="738"/>
      <c r="Z141" s="738"/>
      <c r="AA141" s="738"/>
      <c r="AB141" s="738"/>
      <c r="AC141" s="738"/>
      <c r="AD141" s="738"/>
      <c r="AE141" s="738"/>
      <c r="AF141" s="738"/>
      <c r="AG141" s="738"/>
      <c r="AH141" s="738"/>
      <c r="AI141" s="738"/>
      <c r="AJ141" s="738"/>
      <c r="AK141" s="738"/>
      <c r="AL141" s="738"/>
      <c r="AM141" s="738"/>
      <c r="AN141" s="738"/>
      <c r="AO141" s="738"/>
      <c r="AP141" s="738"/>
      <c r="AQ141" s="738"/>
      <c r="AR141" s="738"/>
      <c r="AS141" s="738"/>
    </row>
    <row r="142" spans="1:45" ht="15" customHeight="1" x14ac:dyDescent="0.3">
      <c r="E142" s="704" t="str">
        <f xml:space="preserve"> COMMUS_Model!E$999</f>
        <v>Total royalty</v>
      </c>
      <c r="F142" s="704">
        <f xml:space="preserve"> COMMUS_Model!F$999</f>
        <v>0</v>
      </c>
      <c r="G142" s="704" t="str">
        <f xml:space="preserve"> COMMUS_Model!G$999</f>
        <v>$ mn</v>
      </c>
      <c r="H142" s="704">
        <f xml:space="preserve"> COMMUS_Model!H$999</f>
        <v>0</v>
      </c>
      <c r="I142" s="704">
        <f xml:space="preserve"> COMMUS_Model!I$999</f>
        <v>457.74229303356492</v>
      </c>
      <c r="J142" s="704">
        <f xml:space="preserve"> COMMUS_Model!J$999</f>
        <v>0</v>
      </c>
      <c r="K142" s="704">
        <f xml:space="preserve"> COMMUS_Model!K$999</f>
        <v>0</v>
      </c>
      <c r="L142" s="704">
        <f xml:space="preserve"> COMMUS_Model!L$999</f>
        <v>0</v>
      </c>
      <c r="M142" s="704">
        <f xml:space="preserve"> COMMUS_Model!M$999</f>
        <v>0</v>
      </c>
      <c r="N142" s="704">
        <f xml:space="preserve"> COMMUS_Model!N$999</f>
        <v>0</v>
      </c>
      <c r="O142" s="704">
        <f xml:space="preserve"> COMMUS_Model!O$999</f>
        <v>0</v>
      </c>
      <c r="P142" s="704">
        <f xml:space="preserve"> COMMUS_Model!P$999</f>
        <v>0</v>
      </c>
      <c r="Q142" s="704">
        <f xml:space="preserve"> COMMUS_Model!Q$999</f>
        <v>0</v>
      </c>
      <c r="R142" s="704">
        <f xml:space="preserve"> COMMUS_Model!R$999</f>
        <v>0</v>
      </c>
      <c r="S142" s="704">
        <f xml:space="preserve"> COMMUS_Model!S$999</f>
        <v>0</v>
      </c>
      <c r="T142" s="704">
        <f xml:space="preserve"> COMMUS_Model!T$999</f>
        <v>0</v>
      </c>
      <c r="U142" s="704">
        <f xml:space="preserve"> COMMUS_Model!U$999</f>
        <v>0</v>
      </c>
      <c r="V142" s="704">
        <f xml:space="preserve"> COMMUS_Model!V$999</f>
        <v>2.0936121000000005</v>
      </c>
      <c r="W142" s="704">
        <f xml:space="preserve"> COMMUS_Model!W$999</f>
        <v>7.5658579699999997</v>
      </c>
      <c r="X142" s="704">
        <f xml:space="preserve"> COMMUS_Model!X$999</f>
        <v>16.337975890432002</v>
      </c>
      <c r="Y142" s="704">
        <f xml:space="preserve"> COMMUS_Model!Y$999</f>
        <v>25.546252756080001</v>
      </c>
      <c r="Z142" s="704">
        <f xml:space="preserve"> COMMUS_Model!Z$999</f>
        <v>43.023062557888011</v>
      </c>
      <c r="AA142" s="704">
        <f xml:space="preserve"> COMMUS_Model!AA$999</f>
        <v>43.288425837524002</v>
      </c>
      <c r="AB142" s="704">
        <f xml:space="preserve"> COMMUS_Model!AB$999</f>
        <v>39.115809928424305</v>
      </c>
      <c r="AC142" s="704">
        <f xml:space="preserve"> COMMUS_Model!AC$999</f>
        <v>23.714695633259289</v>
      </c>
      <c r="AD142" s="704">
        <f xml:space="preserve"> COMMUS_Model!AD$999</f>
        <v>36.174084346767344</v>
      </c>
      <c r="AE142" s="704">
        <f xml:space="preserve"> COMMUS_Model!AE$999</f>
        <v>36.23127661610944</v>
      </c>
      <c r="AF142" s="704">
        <f xml:space="preserve"> COMMUS_Model!AF$999</f>
        <v>36.198843743194338</v>
      </c>
      <c r="AG142" s="704">
        <f xml:space="preserve"> COMMUS_Model!AG$999</f>
        <v>36.152806681136795</v>
      </c>
      <c r="AH142" s="704">
        <f xml:space="preserve"> COMMUS_Model!AH$999</f>
        <v>36.201691396517489</v>
      </c>
      <c r="AI142" s="704">
        <f xml:space="preserve"> COMMUS_Model!AI$999</f>
        <v>31.43504126794684</v>
      </c>
      <c r="AJ142" s="704">
        <f xml:space="preserve"> COMMUS_Model!AJ$999</f>
        <v>31.402193175662639</v>
      </c>
      <c r="AK142" s="704">
        <f xml:space="preserve"> COMMUS_Model!AK$999</f>
        <v>13.260663132622414</v>
      </c>
      <c r="AL142" s="704">
        <f xml:space="preserve"> COMMUS_Model!AL$999</f>
        <v>0</v>
      </c>
      <c r="AM142" s="704">
        <f xml:space="preserve"> COMMUS_Model!AM$999</f>
        <v>0</v>
      </c>
      <c r="AN142" s="704">
        <f xml:space="preserve"> COMMUS_Model!AN$999</f>
        <v>0</v>
      </c>
      <c r="AO142" s="704">
        <f xml:space="preserve"> COMMUS_Model!AO$999</f>
        <v>0</v>
      </c>
      <c r="AP142" s="704">
        <f xml:space="preserve"> COMMUS_Model!AP$999</f>
        <v>0</v>
      </c>
      <c r="AQ142" s="704">
        <f xml:space="preserve"> COMMUS_Model!AQ$999</f>
        <v>0</v>
      </c>
      <c r="AR142" s="704">
        <f xml:space="preserve"> COMMUS_Model!AR$999</f>
        <v>0</v>
      </c>
      <c r="AS142" s="704">
        <f xml:space="preserve"> COMMUS_Model!AS$999</f>
        <v>0</v>
      </c>
    </row>
    <row r="143" spans="1:45" ht="15" customHeight="1" x14ac:dyDescent="0.3">
      <c r="E143" s="704" t="str">
        <f xml:space="preserve"> COMMUS_Model!E$1001</f>
        <v>CIT payable</v>
      </c>
      <c r="F143" s="704">
        <f xml:space="preserve"> COMMUS_Model!F$1001</f>
        <v>0</v>
      </c>
      <c r="G143" s="704" t="str">
        <f xml:space="preserve"> COMMUS_Model!G$1001</f>
        <v>$ mn</v>
      </c>
      <c r="H143" s="704">
        <f xml:space="preserve"> COMMUS_Model!H$1001</f>
        <v>0</v>
      </c>
      <c r="I143" s="704">
        <f xml:space="preserve"> COMMUS_Model!I$1001</f>
        <v>1297.2944426677445</v>
      </c>
      <c r="J143" s="704">
        <f xml:space="preserve"> COMMUS_Model!J$1001</f>
        <v>0</v>
      </c>
      <c r="K143" s="704">
        <f xml:space="preserve"> COMMUS_Model!K$1001</f>
        <v>0</v>
      </c>
      <c r="L143" s="704">
        <f xml:space="preserve"> COMMUS_Model!L$1001</f>
        <v>0</v>
      </c>
      <c r="M143" s="704">
        <f xml:space="preserve"> COMMUS_Model!M$1001</f>
        <v>0</v>
      </c>
      <c r="N143" s="704">
        <f xml:space="preserve"> COMMUS_Model!N$1001</f>
        <v>0</v>
      </c>
      <c r="O143" s="704">
        <f xml:space="preserve"> COMMUS_Model!O$1001</f>
        <v>0</v>
      </c>
      <c r="P143" s="704">
        <f xml:space="preserve"> COMMUS_Model!P$1001</f>
        <v>0</v>
      </c>
      <c r="Q143" s="704">
        <f xml:space="preserve"> COMMUS_Model!Q$1001</f>
        <v>0</v>
      </c>
      <c r="R143" s="704">
        <f xml:space="preserve"> COMMUS_Model!R$1001</f>
        <v>0</v>
      </c>
      <c r="S143" s="704">
        <f xml:space="preserve"> COMMUS_Model!S$1001</f>
        <v>0</v>
      </c>
      <c r="T143" s="704">
        <f xml:space="preserve"> COMMUS_Model!T$1001</f>
        <v>0</v>
      </c>
      <c r="U143" s="704">
        <f xml:space="preserve"> COMMUS_Model!U$1001</f>
        <v>0</v>
      </c>
      <c r="V143" s="704">
        <f xml:space="preserve"> COMMUS_Model!V$1001</f>
        <v>1.0468060500000003</v>
      </c>
      <c r="W143" s="704">
        <f xml:space="preserve"> COMMUS_Model!W$1001</f>
        <v>2.7512210799999997</v>
      </c>
      <c r="X143" s="704">
        <f xml:space="preserve"> COMMUS_Model!X$1001</f>
        <v>33.206817816867449</v>
      </c>
      <c r="Y143" s="704">
        <f xml:space="preserve"> COMMUS_Model!Y$1001</f>
        <v>91.036694725097149</v>
      </c>
      <c r="Z143" s="704">
        <f xml:space="preserve"> COMMUS_Model!Z$1001</f>
        <v>229.8752354083783</v>
      </c>
      <c r="AA143" s="704">
        <f xml:space="preserve"> COMMUS_Model!AA$1001</f>
        <v>119.32897273914344</v>
      </c>
      <c r="AB143" s="704">
        <f xml:space="preserve"> COMMUS_Model!AB$1001</f>
        <v>129.2104604228746</v>
      </c>
      <c r="AC143" s="704">
        <f xml:space="preserve"> COMMUS_Model!AC$1001</f>
        <v>13.921063440907346</v>
      </c>
      <c r="AD143" s="704">
        <f xml:space="preserve"> COMMUS_Model!AD$1001</f>
        <v>103.64997645515984</v>
      </c>
      <c r="AE143" s="704">
        <f xml:space="preserve"> COMMUS_Model!AE$1001</f>
        <v>106.97229478280092</v>
      </c>
      <c r="AF143" s="704">
        <f xml:space="preserve"> COMMUS_Model!AF$1001</f>
        <v>103.82695725435919</v>
      </c>
      <c r="AG143" s="704">
        <f xml:space="preserve"> COMMUS_Model!AG$1001</f>
        <v>103.5575318677414</v>
      </c>
      <c r="AH143" s="704">
        <f xml:space="preserve"> COMMUS_Model!AH$1001</f>
        <v>104.80486722509302</v>
      </c>
      <c r="AI143" s="704">
        <f xml:space="preserve"> COMMUS_Model!AI$1001</f>
        <v>63.926497242374566</v>
      </c>
      <c r="AJ143" s="704">
        <f xml:space="preserve"> COMMUS_Model!AJ$1001</f>
        <v>81.125964306258666</v>
      </c>
      <c r="AK143" s="704">
        <f xml:space="preserve"> COMMUS_Model!AK$1001</f>
        <v>9.0530818506887716</v>
      </c>
      <c r="AL143" s="704">
        <f xml:space="preserve"> COMMUS_Model!AL$1001</f>
        <v>0</v>
      </c>
      <c r="AM143" s="704">
        <f xml:space="preserve"> COMMUS_Model!AM$1001</f>
        <v>0</v>
      </c>
      <c r="AN143" s="704">
        <f xml:space="preserve"> COMMUS_Model!AN$1001</f>
        <v>0</v>
      </c>
      <c r="AO143" s="704">
        <f xml:space="preserve"> COMMUS_Model!AO$1001</f>
        <v>0</v>
      </c>
      <c r="AP143" s="704">
        <f xml:space="preserve"> COMMUS_Model!AP$1001</f>
        <v>0</v>
      </c>
      <c r="AQ143" s="704">
        <f xml:space="preserve"> COMMUS_Model!AQ$1001</f>
        <v>0</v>
      </c>
      <c r="AR143" s="704">
        <f xml:space="preserve"> COMMUS_Model!AR$1001</f>
        <v>0</v>
      </c>
      <c r="AS143" s="704">
        <f xml:space="preserve"> COMMUS_Model!AS$1001</f>
        <v>0</v>
      </c>
    </row>
    <row r="144" spans="1:45" ht="15" customHeight="1" x14ac:dyDescent="0.3">
      <c r="E144" s="704" t="str">
        <f xml:space="preserve"> COMMUS_Model!E$1002</f>
        <v>Special Tax On Excess Profits</v>
      </c>
      <c r="F144" s="704">
        <f xml:space="preserve"> COMMUS_Model!F$1002</f>
        <v>0</v>
      </c>
      <c r="G144" s="704" t="str">
        <f xml:space="preserve"> COMMUS_Model!G$1002</f>
        <v>$ mn</v>
      </c>
      <c r="H144" s="704">
        <f xml:space="preserve"> COMMUS_Model!H$1002</f>
        <v>0</v>
      </c>
      <c r="I144" s="704">
        <f xml:space="preserve"> COMMUS_Model!I$1002</f>
        <v>0</v>
      </c>
      <c r="J144" s="704">
        <f xml:space="preserve"> COMMUS_Model!J$1002</f>
        <v>0</v>
      </c>
      <c r="K144" s="704">
        <f xml:space="preserve"> COMMUS_Model!K$1002</f>
        <v>0</v>
      </c>
      <c r="L144" s="704">
        <f xml:space="preserve"> COMMUS_Model!L$1002</f>
        <v>0</v>
      </c>
      <c r="M144" s="704">
        <f xml:space="preserve"> COMMUS_Model!M$1002</f>
        <v>0</v>
      </c>
      <c r="N144" s="704">
        <f xml:space="preserve"> COMMUS_Model!N$1002</f>
        <v>0</v>
      </c>
      <c r="O144" s="704">
        <f xml:space="preserve"> COMMUS_Model!O$1002</f>
        <v>0</v>
      </c>
      <c r="P144" s="704">
        <f xml:space="preserve"> COMMUS_Model!P$1002</f>
        <v>0</v>
      </c>
      <c r="Q144" s="704">
        <f xml:space="preserve"> COMMUS_Model!Q$1002</f>
        <v>0</v>
      </c>
      <c r="R144" s="704">
        <f xml:space="preserve"> COMMUS_Model!R$1002</f>
        <v>0</v>
      </c>
      <c r="S144" s="704">
        <f xml:space="preserve"> COMMUS_Model!S$1002</f>
        <v>0</v>
      </c>
      <c r="T144" s="704">
        <f xml:space="preserve"> COMMUS_Model!T$1002</f>
        <v>0</v>
      </c>
      <c r="U144" s="704">
        <f xml:space="preserve"> COMMUS_Model!U$1002</f>
        <v>0</v>
      </c>
      <c r="V144" s="704">
        <f xml:space="preserve"> COMMUS_Model!V$1002</f>
        <v>0</v>
      </c>
      <c r="W144" s="704">
        <f xml:space="preserve"> COMMUS_Model!W$1002</f>
        <v>0</v>
      </c>
      <c r="X144" s="704">
        <f xml:space="preserve"> COMMUS_Model!X$1002</f>
        <v>0</v>
      </c>
      <c r="Y144" s="704">
        <f xml:space="preserve"> COMMUS_Model!Y$1002</f>
        <v>0</v>
      </c>
      <c r="Z144" s="704">
        <f xml:space="preserve"> COMMUS_Model!Z$1002</f>
        <v>0</v>
      </c>
      <c r="AA144" s="704">
        <f xml:space="preserve"> COMMUS_Model!AA$1002</f>
        <v>0</v>
      </c>
      <c r="AB144" s="704">
        <f xml:space="preserve"> COMMUS_Model!AB$1002</f>
        <v>0</v>
      </c>
      <c r="AC144" s="704">
        <f xml:space="preserve"> COMMUS_Model!AC$1002</f>
        <v>0</v>
      </c>
      <c r="AD144" s="704">
        <f xml:space="preserve"> COMMUS_Model!AD$1002</f>
        <v>0</v>
      </c>
      <c r="AE144" s="704">
        <f xml:space="preserve"> COMMUS_Model!AE$1002</f>
        <v>0</v>
      </c>
      <c r="AF144" s="704">
        <f xml:space="preserve"> COMMUS_Model!AF$1002</f>
        <v>0</v>
      </c>
      <c r="AG144" s="704">
        <f xml:space="preserve"> COMMUS_Model!AG$1002</f>
        <v>0</v>
      </c>
      <c r="AH144" s="704">
        <f xml:space="preserve"> COMMUS_Model!AH$1002</f>
        <v>0</v>
      </c>
      <c r="AI144" s="704">
        <f xml:space="preserve"> COMMUS_Model!AI$1002</f>
        <v>0</v>
      </c>
      <c r="AJ144" s="704">
        <f xml:space="preserve"> COMMUS_Model!AJ$1002</f>
        <v>0</v>
      </c>
      <c r="AK144" s="704">
        <f xml:space="preserve"> COMMUS_Model!AK$1002</f>
        <v>0</v>
      </c>
      <c r="AL144" s="704">
        <f xml:space="preserve"> COMMUS_Model!AL$1002</f>
        <v>0</v>
      </c>
      <c r="AM144" s="704">
        <f xml:space="preserve"> COMMUS_Model!AM$1002</f>
        <v>0</v>
      </c>
      <c r="AN144" s="704">
        <f xml:space="preserve"> COMMUS_Model!AN$1002</f>
        <v>0</v>
      </c>
      <c r="AO144" s="704">
        <f xml:space="preserve"> COMMUS_Model!AO$1002</f>
        <v>0</v>
      </c>
      <c r="AP144" s="704">
        <f xml:space="preserve"> COMMUS_Model!AP$1002</f>
        <v>0</v>
      </c>
      <c r="AQ144" s="704">
        <f xml:space="preserve"> COMMUS_Model!AQ$1002</f>
        <v>0</v>
      </c>
      <c r="AR144" s="704">
        <f xml:space="preserve"> COMMUS_Model!AR$1002</f>
        <v>0</v>
      </c>
      <c r="AS144" s="704">
        <f xml:space="preserve"> COMMUS_Model!AS$1002</f>
        <v>0</v>
      </c>
    </row>
    <row r="145" spans="1:45" ht="15" customHeight="1" x14ac:dyDescent="0.3">
      <c r="E145" s="704" t="str">
        <f xml:space="preserve"> COMMUS_Model!E$1003</f>
        <v>Signature Bonus (EITI)</v>
      </c>
      <c r="F145" s="704" t="str">
        <f xml:space="preserve"> COMMUS_Model!F$1003</f>
        <v>yes</v>
      </c>
      <c r="G145" s="704" t="str">
        <f xml:space="preserve"> COMMUS_Model!G$1003</f>
        <v>$ mn</v>
      </c>
      <c r="H145" s="704">
        <f xml:space="preserve"> COMMUS_Model!H$1003</f>
        <v>0</v>
      </c>
      <c r="I145" s="704">
        <f xml:space="preserve"> COMMUS_Model!I$1003</f>
        <v>42.679182000000004</v>
      </c>
      <c r="J145" s="704">
        <f xml:space="preserve"> COMMUS_Model!J$1003</f>
        <v>0</v>
      </c>
      <c r="K145" s="704">
        <f xml:space="preserve"> COMMUS_Model!K$1003</f>
        <v>0</v>
      </c>
      <c r="L145" s="704">
        <f xml:space="preserve"> COMMUS_Model!L$1003</f>
        <v>0</v>
      </c>
      <c r="M145" s="704">
        <f xml:space="preserve"> COMMUS_Model!M$1003</f>
        <v>0</v>
      </c>
      <c r="N145" s="704">
        <f xml:space="preserve"> COMMUS_Model!N$1003</f>
        <v>0</v>
      </c>
      <c r="O145" s="704">
        <f xml:space="preserve"> COMMUS_Model!O$1003</f>
        <v>0</v>
      </c>
      <c r="P145" s="704">
        <f xml:space="preserve"> COMMUS_Model!P$1003</f>
        <v>0</v>
      </c>
      <c r="Q145" s="704">
        <f xml:space="preserve"> COMMUS_Model!Q$1003</f>
        <v>0</v>
      </c>
      <c r="R145" s="704">
        <f xml:space="preserve"> COMMUS_Model!R$1003</f>
        <v>0</v>
      </c>
      <c r="S145" s="704">
        <f xml:space="preserve"> COMMUS_Model!S$1003</f>
        <v>0</v>
      </c>
      <c r="T145" s="704">
        <f xml:space="preserve"> COMMUS_Model!T$1003</f>
        <v>0</v>
      </c>
      <c r="U145" s="704">
        <f xml:space="preserve"> COMMUS_Model!U$1003</f>
        <v>0</v>
      </c>
      <c r="V145" s="704">
        <f xml:space="preserve"> COMMUS_Model!V$1003</f>
        <v>2.7</v>
      </c>
      <c r="W145" s="704">
        <f xml:space="preserve"> COMMUS_Model!W$1003</f>
        <v>8.1</v>
      </c>
      <c r="X145" s="704">
        <f xml:space="preserve"> COMMUS_Model!X$1003</f>
        <v>5.4</v>
      </c>
      <c r="Y145" s="704">
        <f xml:space="preserve"> COMMUS_Model!Y$1003</f>
        <v>0</v>
      </c>
      <c r="Z145" s="704">
        <f xml:space="preserve"> COMMUS_Model!Z$1003</f>
        <v>0</v>
      </c>
      <c r="AA145" s="704">
        <f xml:space="preserve"> COMMUS_Model!AA$1003</f>
        <v>26.479182000000002</v>
      </c>
      <c r="AB145" s="704">
        <f xml:space="preserve"> COMMUS_Model!AB$1003</f>
        <v>0</v>
      </c>
      <c r="AC145" s="704">
        <f xml:space="preserve"> COMMUS_Model!AC$1003</f>
        <v>0</v>
      </c>
      <c r="AD145" s="704">
        <f xml:space="preserve"> COMMUS_Model!AD$1003</f>
        <v>0</v>
      </c>
      <c r="AE145" s="704">
        <f xml:space="preserve"> COMMUS_Model!AE$1003</f>
        <v>0</v>
      </c>
      <c r="AF145" s="704">
        <f xml:space="preserve"> COMMUS_Model!AF$1003</f>
        <v>0</v>
      </c>
      <c r="AG145" s="704">
        <f xml:space="preserve"> COMMUS_Model!AG$1003</f>
        <v>0</v>
      </c>
      <c r="AH145" s="704">
        <f xml:space="preserve"> COMMUS_Model!AH$1003</f>
        <v>0</v>
      </c>
      <c r="AI145" s="704">
        <f xml:space="preserve"> COMMUS_Model!AI$1003</f>
        <v>0</v>
      </c>
      <c r="AJ145" s="704">
        <f xml:space="preserve"> COMMUS_Model!AJ$1003</f>
        <v>0</v>
      </c>
      <c r="AK145" s="704">
        <f xml:space="preserve"> COMMUS_Model!AK$1003</f>
        <v>0</v>
      </c>
      <c r="AL145" s="704">
        <f xml:space="preserve"> COMMUS_Model!AL$1003</f>
        <v>0</v>
      </c>
      <c r="AM145" s="704">
        <f xml:space="preserve"> COMMUS_Model!AM$1003</f>
        <v>0</v>
      </c>
      <c r="AN145" s="704">
        <f xml:space="preserve"> COMMUS_Model!AN$1003</f>
        <v>0</v>
      </c>
      <c r="AO145" s="704">
        <f xml:space="preserve"> COMMUS_Model!AO$1003</f>
        <v>0</v>
      </c>
      <c r="AP145" s="704">
        <f xml:space="preserve"> COMMUS_Model!AP$1003</f>
        <v>0</v>
      </c>
      <c r="AQ145" s="704">
        <f xml:space="preserve"> COMMUS_Model!AQ$1003</f>
        <v>0</v>
      </c>
      <c r="AR145" s="704">
        <f xml:space="preserve"> COMMUS_Model!AR$1003</f>
        <v>0</v>
      </c>
      <c r="AS145" s="704">
        <f xml:space="preserve"> COMMUS_Model!AS$1003</f>
        <v>0</v>
      </c>
    </row>
    <row r="146" spans="1:45" ht="15" customHeight="1" x14ac:dyDescent="0.3">
      <c r="E146" s="704" t="str">
        <f xml:space="preserve"> COMMUS_Model!E$1004</f>
        <v>Payroll taxes (included in costs)</v>
      </c>
      <c r="F146" s="704">
        <f xml:space="preserve"> COMMUS_Model!F$1004</f>
        <v>0</v>
      </c>
      <c r="G146" s="704" t="str">
        <f xml:space="preserve"> COMMUS_Model!G$1004</f>
        <v>$ mn</v>
      </c>
      <c r="H146" s="704">
        <f xml:space="preserve"> COMMUS_Model!H$1004</f>
        <v>0</v>
      </c>
      <c r="I146" s="704">
        <f xml:space="preserve"> COMMUS_Model!I$1004</f>
        <v>256.69892824335369</v>
      </c>
      <c r="J146" s="704">
        <f xml:space="preserve"> COMMUS_Model!J$1004</f>
        <v>0</v>
      </c>
      <c r="K146" s="704">
        <f xml:space="preserve"> COMMUS_Model!K$1004</f>
        <v>0</v>
      </c>
      <c r="L146" s="704">
        <f xml:space="preserve"> COMMUS_Model!L$1004</f>
        <v>0</v>
      </c>
      <c r="M146" s="704">
        <f xml:space="preserve"> COMMUS_Model!M$1004</f>
        <v>0</v>
      </c>
      <c r="N146" s="704">
        <f xml:space="preserve"> COMMUS_Model!N$1004</f>
        <v>0</v>
      </c>
      <c r="O146" s="704">
        <f xml:space="preserve"> COMMUS_Model!O$1004</f>
        <v>0</v>
      </c>
      <c r="P146" s="704">
        <f xml:space="preserve"> COMMUS_Model!P$1004</f>
        <v>0</v>
      </c>
      <c r="Q146" s="704">
        <f xml:space="preserve"> COMMUS_Model!Q$1004</f>
        <v>0</v>
      </c>
      <c r="R146" s="704">
        <f xml:space="preserve"> COMMUS_Model!R$1004</f>
        <v>0</v>
      </c>
      <c r="S146" s="704">
        <f xml:space="preserve"> COMMUS_Model!S$1004</f>
        <v>0</v>
      </c>
      <c r="T146" s="704">
        <f xml:space="preserve"> COMMUS_Model!T$1004</f>
        <v>0</v>
      </c>
      <c r="U146" s="704">
        <f xml:space="preserve"> COMMUS_Model!U$1004</f>
        <v>0</v>
      </c>
      <c r="V146" s="704">
        <f xml:space="preserve"> COMMUS_Model!V$1004</f>
        <v>3.7018979160000001</v>
      </c>
      <c r="W146" s="704">
        <f xml:space="preserve"> COMMUS_Model!W$1004</f>
        <v>4.4483312812000007</v>
      </c>
      <c r="X146" s="704">
        <f xml:space="preserve"> COMMUS_Model!X$1004</f>
        <v>8.918173364382719</v>
      </c>
      <c r="Y146" s="704">
        <f xml:space="preserve"> COMMUS_Model!Y$1004</f>
        <v>11.003173489756801</v>
      </c>
      <c r="Z146" s="704">
        <f xml:space="preserve"> COMMUS_Model!Z$1004</f>
        <v>9.4736950976844803</v>
      </c>
      <c r="AA146" s="704">
        <f xml:space="preserve"> COMMUS_Model!AA$1004</f>
        <v>20.849272566499039</v>
      </c>
      <c r="AB146" s="704">
        <f xml:space="preserve"> COMMUS_Model!AB$1004</f>
        <v>18.354245632181723</v>
      </c>
      <c r="AC146" s="704">
        <f xml:space="preserve"> COMMUS_Model!AC$1004</f>
        <v>19.930563830032</v>
      </c>
      <c r="AD146" s="704">
        <f xml:space="preserve"> COMMUS_Model!AD$1004</f>
        <v>19.975779678619961</v>
      </c>
      <c r="AE146" s="704">
        <f xml:space="preserve"> COMMUS_Model!AE$1004</f>
        <v>20.465676569618431</v>
      </c>
      <c r="AF146" s="704">
        <f xml:space="preserve"> COMMUS_Model!AF$1004</f>
        <v>20.899072725186198</v>
      </c>
      <c r="AG146" s="704">
        <f xml:space="preserve"> COMMUS_Model!AG$1004</f>
        <v>21.351722609627963</v>
      </c>
      <c r="AH146" s="704">
        <f xml:space="preserve"> COMMUS_Model!AH$1004</f>
        <v>21.812502005267589</v>
      </c>
      <c r="AI146" s="704">
        <f xml:space="preserve"> COMMUS_Model!AI$1004</f>
        <v>22.521775076384014</v>
      </c>
      <c r="AJ146" s="704">
        <f xml:space="preserve"> COMMUS_Model!AJ$1004</f>
        <v>20.834805312495966</v>
      </c>
      <c r="AK146" s="704">
        <f xml:space="preserve"> COMMUS_Model!AK$1004</f>
        <v>12.158241088416828</v>
      </c>
      <c r="AL146" s="704">
        <f xml:space="preserve"> COMMUS_Model!AL$1004</f>
        <v>0</v>
      </c>
      <c r="AM146" s="704">
        <f xml:space="preserve"> COMMUS_Model!AM$1004</f>
        <v>0</v>
      </c>
      <c r="AN146" s="704">
        <f xml:space="preserve"> COMMUS_Model!AN$1004</f>
        <v>0</v>
      </c>
      <c r="AO146" s="704">
        <f xml:space="preserve"> COMMUS_Model!AO$1004</f>
        <v>0</v>
      </c>
      <c r="AP146" s="704">
        <f xml:space="preserve"> COMMUS_Model!AP$1004</f>
        <v>0</v>
      </c>
      <c r="AQ146" s="704">
        <f xml:space="preserve"> COMMUS_Model!AQ$1004</f>
        <v>0</v>
      </c>
      <c r="AR146" s="704">
        <f xml:space="preserve"> COMMUS_Model!AR$1004</f>
        <v>0</v>
      </c>
      <c r="AS146" s="704">
        <f xml:space="preserve"> COMMUS_Model!AS$1004</f>
        <v>0</v>
      </c>
    </row>
    <row r="147" spans="1:45" ht="15" customHeight="1" x14ac:dyDescent="0.3">
      <c r="E147" s="704" t="str">
        <f xml:space="preserve"> COMMUS_Model!E$1005</f>
        <v>Import duties (included in costs)</v>
      </c>
      <c r="F147" s="704">
        <f xml:space="preserve"> COMMUS_Model!F$1005</f>
        <v>0</v>
      </c>
      <c r="G147" s="704" t="str">
        <f xml:space="preserve"> COMMUS_Model!G$1005</f>
        <v>$ mn</v>
      </c>
      <c r="H147" s="704">
        <f xml:space="preserve"> COMMUS_Model!H$1005</f>
        <v>0</v>
      </c>
      <c r="I147" s="704">
        <f xml:space="preserve"> COMMUS_Model!I$1005</f>
        <v>378.04054337098842</v>
      </c>
      <c r="J147" s="704">
        <f xml:space="preserve"> COMMUS_Model!J$1005</f>
        <v>378.04054337098842</v>
      </c>
      <c r="K147" s="704">
        <f xml:space="preserve"> COMMUS_Model!K$1005</f>
        <v>0</v>
      </c>
      <c r="L147" s="704">
        <f xml:space="preserve"> COMMUS_Model!L$1005</f>
        <v>0</v>
      </c>
      <c r="M147" s="704">
        <f xml:space="preserve"> COMMUS_Model!M$1005</f>
        <v>0</v>
      </c>
      <c r="N147" s="704">
        <f xml:space="preserve"> COMMUS_Model!N$1005</f>
        <v>0</v>
      </c>
      <c r="O147" s="704">
        <f xml:space="preserve"> COMMUS_Model!O$1005</f>
        <v>0</v>
      </c>
      <c r="P147" s="704">
        <f xml:space="preserve"> COMMUS_Model!P$1005</f>
        <v>0</v>
      </c>
      <c r="Q147" s="704">
        <f xml:space="preserve"> COMMUS_Model!Q$1005</f>
        <v>0</v>
      </c>
      <c r="R147" s="704">
        <f xml:space="preserve"> COMMUS_Model!R$1005</f>
        <v>0</v>
      </c>
      <c r="S147" s="704">
        <f xml:space="preserve"> COMMUS_Model!S$1005</f>
        <v>0</v>
      </c>
      <c r="T147" s="704">
        <f xml:space="preserve"> COMMUS_Model!T$1005</f>
        <v>0</v>
      </c>
      <c r="U147" s="704">
        <f xml:space="preserve"> COMMUS_Model!U$1005</f>
        <v>0</v>
      </c>
      <c r="V147" s="704">
        <f xml:space="preserve"> COMMUS_Model!V$1005</f>
        <v>4.9504272399999998</v>
      </c>
      <c r="W147" s="704">
        <f xml:space="preserve"> COMMUS_Model!W$1005</f>
        <v>18.157969999999999</v>
      </c>
      <c r="X147" s="704">
        <f xml:space="preserve"> COMMUS_Model!X$1005</f>
        <v>40.621609999999997</v>
      </c>
      <c r="Y147" s="704">
        <f xml:space="preserve"> COMMUS_Model!Y$1005</f>
        <v>3.393662</v>
      </c>
      <c r="Z147" s="704">
        <f xml:space="preserve"> COMMUS_Model!Z$1005</f>
        <v>15.932733392105598</v>
      </c>
      <c r="AA147" s="704">
        <f xml:space="preserve"> COMMUS_Model!AA$1005</f>
        <v>40.119290999999997</v>
      </c>
      <c r="AB147" s="704">
        <f xml:space="preserve"> COMMUS_Model!AB$1005</f>
        <v>28.136993692495412</v>
      </c>
      <c r="AC147" s="704">
        <f xml:space="preserve"> COMMUS_Model!AC$1005</f>
        <v>26.703387214366145</v>
      </c>
      <c r="AD147" s="704">
        <f xml:space="preserve"> COMMUS_Model!AD$1005</f>
        <v>24.969724598274951</v>
      </c>
      <c r="AE147" s="704">
        <f xml:space="preserve"> COMMUS_Model!AE$1005</f>
        <v>25.582095712023037</v>
      </c>
      <c r="AF147" s="704">
        <f xml:space="preserve"> COMMUS_Model!AF$1005</f>
        <v>26.123840906482748</v>
      </c>
      <c r="AG147" s="704">
        <f xml:space="preserve"> COMMUS_Model!AG$1005</f>
        <v>26.689653262034955</v>
      </c>
      <c r="AH147" s="704">
        <f xml:space="preserve"> COMMUS_Model!AH$1005</f>
        <v>27.265627506584487</v>
      </c>
      <c r="AI147" s="704">
        <f xml:space="preserve"> COMMUS_Model!AI$1005</f>
        <v>28.152218845480022</v>
      </c>
      <c r="AJ147" s="704">
        <f xml:space="preserve"> COMMUS_Model!AJ$1005</f>
        <v>26.043506640619956</v>
      </c>
      <c r="AK147" s="704">
        <f xml:space="preserve"> COMMUS_Model!AK$1005</f>
        <v>15.197801360521035</v>
      </c>
      <c r="AL147" s="704">
        <f xml:space="preserve"> COMMUS_Model!AL$1005</f>
        <v>0</v>
      </c>
      <c r="AM147" s="704">
        <f xml:space="preserve"> COMMUS_Model!AM$1005</f>
        <v>0</v>
      </c>
      <c r="AN147" s="704">
        <f xml:space="preserve"> COMMUS_Model!AN$1005</f>
        <v>0</v>
      </c>
      <c r="AO147" s="704">
        <f xml:space="preserve"> COMMUS_Model!AO$1005</f>
        <v>0</v>
      </c>
      <c r="AP147" s="704">
        <f xml:space="preserve"> COMMUS_Model!AP$1005</f>
        <v>0</v>
      </c>
      <c r="AQ147" s="704">
        <f xml:space="preserve"> COMMUS_Model!AQ$1005</f>
        <v>0</v>
      </c>
      <c r="AR147" s="704">
        <f xml:space="preserve"> COMMUS_Model!AR$1005</f>
        <v>0</v>
      </c>
      <c r="AS147" s="704">
        <f xml:space="preserve"> COMMUS_Model!AS$1005</f>
        <v>0</v>
      </c>
    </row>
    <row r="148" spans="1:45" ht="15" customHeight="1" x14ac:dyDescent="0.3">
      <c r="E148" s="597" t="str">
        <f xml:space="preserve"> COMMUS_Model!E$1006</f>
        <v>Interest withholding tax</v>
      </c>
      <c r="F148" s="597">
        <f xml:space="preserve"> COMMUS_Model!F$1006</f>
        <v>0</v>
      </c>
      <c r="G148" s="597" t="str">
        <f xml:space="preserve"> COMMUS_Model!G$1006</f>
        <v>$ mn</v>
      </c>
      <c r="H148" s="597">
        <f xml:space="preserve"> COMMUS_Model!H$1006</f>
        <v>0</v>
      </c>
      <c r="I148" s="597">
        <f xml:space="preserve"> COMMUS_Model!I$1006</f>
        <v>0</v>
      </c>
      <c r="J148" s="597">
        <f xml:space="preserve"> COMMUS_Model!J$1006</f>
        <v>0</v>
      </c>
      <c r="K148" s="597">
        <f xml:space="preserve"> COMMUS_Model!K$1006</f>
        <v>0</v>
      </c>
      <c r="L148" s="597">
        <f xml:space="preserve"> COMMUS_Model!L$1006</f>
        <v>0</v>
      </c>
      <c r="M148" s="597">
        <f xml:space="preserve"> COMMUS_Model!M$1006</f>
        <v>0</v>
      </c>
      <c r="N148" s="597">
        <f xml:space="preserve"> COMMUS_Model!N$1006</f>
        <v>0</v>
      </c>
      <c r="O148" s="597">
        <f xml:space="preserve"> COMMUS_Model!O$1006</f>
        <v>0</v>
      </c>
      <c r="P148" s="597">
        <f xml:space="preserve"> COMMUS_Model!P$1006</f>
        <v>0</v>
      </c>
      <c r="Q148" s="597">
        <f xml:space="preserve"> COMMUS_Model!Q$1006</f>
        <v>0</v>
      </c>
      <c r="R148" s="597">
        <f xml:space="preserve"> COMMUS_Model!R$1006</f>
        <v>0</v>
      </c>
      <c r="S148" s="597">
        <f xml:space="preserve"> COMMUS_Model!S$1006</f>
        <v>0</v>
      </c>
      <c r="T148" s="597">
        <f xml:space="preserve"> COMMUS_Model!T$1006</f>
        <v>0</v>
      </c>
      <c r="U148" s="597">
        <f xml:space="preserve"> COMMUS_Model!U$1006</f>
        <v>0</v>
      </c>
      <c r="V148" s="597">
        <f xml:space="preserve"> COMMUS_Model!V$1006</f>
        <v>0</v>
      </c>
      <c r="W148" s="597">
        <f xml:space="preserve"> COMMUS_Model!W$1006</f>
        <v>0</v>
      </c>
      <c r="X148" s="597">
        <f xml:space="preserve"> COMMUS_Model!X$1006</f>
        <v>0</v>
      </c>
      <c r="Y148" s="597">
        <f xml:space="preserve"> COMMUS_Model!Y$1006</f>
        <v>0</v>
      </c>
      <c r="Z148" s="597">
        <f xml:space="preserve"> COMMUS_Model!Z$1006</f>
        <v>0</v>
      </c>
      <c r="AA148" s="597">
        <f xml:space="preserve"> COMMUS_Model!AA$1006</f>
        <v>0</v>
      </c>
      <c r="AB148" s="597">
        <f xml:space="preserve"> COMMUS_Model!AB$1006</f>
        <v>0</v>
      </c>
      <c r="AC148" s="597">
        <f xml:space="preserve"> COMMUS_Model!AC$1006</f>
        <v>0</v>
      </c>
      <c r="AD148" s="597">
        <f xml:space="preserve"> COMMUS_Model!AD$1006</f>
        <v>0</v>
      </c>
      <c r="AE148" s="597">
        <f xml:space="preserve"> COMMUS_Model!AE$1006</f>
        <v>0</v>
      </c>
      <c r="AF148" s="597">
        <f xml:space="preserve"> COMMUS_Model!AF$1006</f>
        <v>0</v>
      </c>
      <c r="AG148" s="597">
        <f xml:space="preserve"> COMMUS_Model!AG$1006</f>
        <v>0</v>
      </c>
      <c r="AH148" s="597">
        <f xml:space="preserve"> COMMUS_Model!AH$1006</f>
        <v>0</v>
      </c>
      <c r="AI148" s="597">
        <f xml:space="preserve"> COMMUS_Model!AI$1006</f>
        <v>0</v>
      </c>
      <c r="AJ148" s="597">
        <f xml:space="preserve"> COMMUS_Model!AJ$1006</f>
        <v>0</v>
      </c>
      <c r="AK148" s="597">
        <f xml:space="preserve"> COMMUS_Model!AK$1006</f>
        <v>0</v>
      </c>
      <c r="AL148" s="597">
        <f xml:space="preserve"> COMMUS_Model!AL$1006</f>
        <v>0</v>
      </c>
      <c r="AM148" s="597">
        <f xml:space="preserve"> COMMUS_Model!AM$1006</f>
        <v>0</v>
      </c>
      <c r="AN148" s="597">
        <f xml:space="preserve"> COMMUS_Model!AN$1006</f>
        <v>0</v>
      </c>
      <c r="AO148" s="597">
        <f xml:space="preserve"> COMMUS_Model!AO$1006</f>
        <v>0</v>
      </c>
      <c r="AP148" s="597">
        <f xml:space="preserve"> COMMUS_Model!AP$1006</f>
        <v>0</v>
      </c>
      <c r="AQ148" s="597">
        <f xml:space="preserve"> COMMUS_Model!AQ$1006</f>
        <v>0</v>
      </c>
      <c r="AR148" s="597">
        <f xml:space="preserve"> COMMUS_Model!AR$1006</f>
        <v>0</v>
      </c>
      <c r="AS148" s="597">
        <f xml:space="preserve"> COMMUS_Model!AS$1006</f>
        <v>0</v>
      </c>
    </row>
    <row r="149" spans="1:45" ht="15" customHeight="1" x14ac:dyDescent="0.3">
      <c r="E149" s="704" t="str">
        <f xml:space="preserve"> COMMUS_Model!E$1007</f>
        <v>Dividend withholding tax</v>
      </c>
      <c r="F149" s="704">
        <f xml:space="preserve"> COMMUS_Model!F$1007</f>
        <v>0</v>
      </c>
      <c r="G149" s="704" t="str">
        <f xml:space="preserve"> COMMUS_Model!G$1007</f>
        <v>$ mn</v>
      </c>
      <c r="H149" s="704">
        <f xml:space="preserve"> COMMUS_Model!H$1007</f>
        <v>0</v>
      </c>
      <c r="I149" s="704">
        <f xml:space="preserve"> COMMUS_Model!I$1007</f>
        <v>224.61815895215742</v>
      </c>
      <c r="J149" s="704">
        <f xml:space="preserve"> COMMUS_Model!J$1007</f>
        <v>0</v>
      </c>
      <c r="K149" s="704">
        <f xml:space="preserve"> COMMUS_Model!K$1007</f>
        <v>0</v>
      </c>
      <c r="L149" s="704">
        <f xml:space="preserve"> COMMUS_Model!L$1007</f>
        <v>0</v>
      </c>
      <c r="M149" s="704">
        <f xml:space="preserve"> COMMUS_Model!M$1007</f>
        <v>0</v>
      </c>
      <c r="N149" s="704">
        <f xml:space="preserve"> COMMUS_Model!N$1007</f>
        <v>0</v>
      </c>
      <c r="O149" s="704">
        <f xml:space="preserve"> COMMUS_Model!O$1007</f>
        <v>0</v>
      </c>
      <c r="P149" s="704">
        <f xml:space="preserve"> COMMUS_Model!P$1007</f>
        <v>0</v>
      </c>
      <c r="Q149" s="704">
        <f xml:space="preserve"> COMMUS_Model!Q$1007</f>
        <v>0</v>
      </c>
      <c r="R149" s="704">
        <f xml:space="preserve"> COMMUS_Model!R$1007</f>
        <v>0</v>
      </c>
      <c r="S149" s="704">
        <f xml:space="preserve"> COMMUS_Model!S$1007</f>
        <v>0</v>
      </c>
      <c r="T149" s="704">
        <f xml:space="preserve"> COMMUS_Model!T$1007</f>
        <v>0</v>
      </c>
      <c r="U149" s="704">
        <f xml:space="preserve"> COMMUS_Model!U$1007</f>
        <v>0</v>
      </c>
      <c r="V149" s="704">
        <f xml:space="preserve"> COMMUS_Model!V$1007</f>
        <v>0</v>
      </c>
      <c r="W149" s="704">
        <f xml:space="preserve"> COMMUS_Model!W$1007</f>
        <v>28.712273925940117</v>
      </c>
      <c r="X149" s="704">
        <f xml:space="preserve"> COMMUS_Model!X$1007</f>
        <v>0</v>
      </c>
      <c r="Y149" s="704">
        <f xml:space="preserve"> COMMUS_Model!Y$1007</f>
        <v>12.859494376943317</v>
      </c>
      <c r="Z149" s="704">
        <f xml:space="preserve"> COMMUS_Model!Z$1007</f>
        <v>24.888187534151896</v>
      </c>
      <c r="AA149" s="704">
        <f xml:space="preserve"> COMMUS_Model!AA$1007</f>
        <v>17.1209560194735</v>
      </c>
      <c r="AB149" s="704">
        <f xml:space="preserve"> COMMUS_Model!AB$1007</f>
        <v>19.59615266395036</v>
      </c>
      <c r="AC149" s="704">
        <f xml:space="preserve"> COMMUS_Model!AC$1007</f>
        <v>4.2520002565090707</v>
      </c>
      <c r="AD149" s="704">
        <f xml:space="preserve"> COMMUS_Model!AD$1007</f>
        <v>19.553301604469887</v>
      </c>
      <c r="AE149" s="704">
        <f xml:space="preserve"> COMMUS_Model!AE$1007</f>
        <v>18.653017899186221</v>
      </c>
      <c r="AF149" s="704">
        <f xml:space="preserve"> COMMUS_Model!AF$1007</f>
        <v>19.12065732756238</v>
      </c>
      <c r="AG149" s="704">
        <f xml:space="preserve"> COMMUS_Model!AG$1007</f>
        <v>18.2957410492299</v>
      </c>
      <c r="AH149" s="704">
        <f xml:space="preserve"> COMMUS_Model!AH$1007</f>
        <v>17.530387391023734</v>
      </c>
      <c r="AI149" s="704">
        <f xml:space="preserve"> COMMUS_Model!AI$1007</f>
        <v>10.173185274388651</v>
      </c>
      <c r="AJ149" s="704">
        <f xml:space="preserve"> COMMUS_Model!AJ$1007</f>
        <v>12.51733128626965</v>
      </c>
      <c r="AK149" s="704">
        <f xml:space="preserve"> COMMUS_Model!AK$1007</f>
        <v>1.3454723430587663</v>
      </c>
      <c r="AL149" s="704">
        <f xml:space="preserve"> COMMUS_Model!AL$1007</f>
        <v>0</v>
      </c>
      <c r="AM149" s="704">
        <f xml:space="preserve"> COMMUS_Model!AM$1007</f>
        <v>0</v>
      </c>
      <c r="AN149" s="704">
        <f xml:space="preserve"> COMMUS_Model!AN$1007</f>
        <v>0</v>
      </c>
      <c r="AO149" s="704">
        <f xml:space="preserve"> COMMUS_Model!AO$1007</f>
        <v>0</v>
      </c>
      <c r="AP149" s="704">
        <f xml:space="preserve"> COMMUS_Model!AP$1007</f>
        <v>0</v>
      </c>
      <c r="AQ149" s="704">
        <f xml:space="preserve"> COMMUS_Model!AQ$1007</f>
        <v>0</v>
      </c>
      <c r="AR149" s="704">
        <f xml:space="preserve"> COMMUS_Model!AR$1007</f>
        <v>0</v>
      </c>
      <c r="AS149" s="704">
        <f xml:space="preserve"> COMMUS_Model!AS$1007</f>
        <v>0</v>
      </c>
    </row>
    <row r="150" spans="1:45" ht="15" customHeight="1" x14ac:dyDescent="0.3">
      <c r="A150" s="736"/>
      <c r="B150" s="736"/>
      <c r="C150" s="737"/>
      <c r="D150" s="738"/>
      <c r="E150" s="738"/>
      <c r="F150" s="738"/>
      <c r="G150" s="738"/>
      <c r="H150" s="738"/>
      <c r="I150" s="738"/>
      <c r="J150" s="738"/>
      <c r="K150" s="738"/>
      <c r="L150" s="738"/>
      <c r="M150" s="738"/>
      <c r="N150" s="738"/>
      <c r="O150" s="738"/>
      <c r="P150" s="738"/>
      <c r="Q150" s="738"/>
      <c r="R150" s="738"/>
      <c r="S150" s="738"/>
      <c r="T150" s="738"/>
      <c r="U150" s="738"/>
      <c r="V150" s="738"/>
      <c r="W150" s="738"/>
      <c r="X150" s="738"/>
      <c r="Y150" s="738"/>
      <c r="Z150" s="738"/>
      <c r="AA150" s="738"/>
      <c r="AB150" s="738"/>
      <c r="AC150" s="738"/>
      <c r="AD150" s="738"/>
      <c r="AE150" s="738"/>
      <c r="AF150" s="738"/>
      <c r="AG150" s="738"/>
      <c r="AH150" s="738"/>
      <c r="AI150" s="738"/>
      <c r="AJ150" s="738"/>
      <c r="AK150" s="738"/>
      <c r="AL150" s="738"/>
      <c r="AM150" s="738"/>
      <c r="AN150" s="738"/>
      <c r="AO150" s="738"/>
      <c r="AP150" s="738"/>
      <c r="AQ150" s="738"/>
      <c r="AR150" s="738"/>
      <c r="AS150" s="738"/>
    </row>
    <row r="151" spans="1:45" ht="15" customHeight="1" x14ac:dyDescent="0.3">
      <c r="E151" s="597" t="str">
        <f xml:space="preserve"> COMMUS_Model!E$1010</f>
        <v>Government revenues excl Gecamines participation</v>
      </c>
      <c r="F151" s="597">
        <f xml:space="preserve"> COMMUS_Model!F$1010</f>
        <v>0</v>
      </c>
      <c r="G151" s="597" t="str">
        <f xml:space="preserve"> COMMUS_Model!G$1010</f>
        <v>$ mn</v>
      </c>
      <c r="H151" s="597">
        <f xml:space="preserve"> COMMUS_Model!H$1010</f>
        <v>0</v>
      </c>
      <c r="I151" s="597">
        <f xml:space="preserve"> COMMUS_Model!I$1010</f>
        <v>2765.6905268255668</v>
      </c>
      <c r="J151" s="597">
        <f xml:space="preserve"> COMMUS_Model!J$1010</f>
        <v>0</v>
      </c>
      <c r="K151" s="597">
        <f xml:space="preserve"> COMMUS_Model!K$1010</f>
        <v>0</v>
      </c>
      <c r="L151" s="597">
        <f xml:space="preserve"> COMMUS_Model!L$1010</f>
        <v>0</v>
      </c>
      <c r="M151" s="597">
        <f xml:space="preserve"> COMMUS_Model!M$1010</f>
        <v>0</v>
      </c>
      <c r="N151" s="597">
        <f xml:space="preserve"> COMMUS_Model!N$1010</f>
        <v>0</v>
      </c>
      <c r="O151" s="597">
        <f xml:space="preserve"> COMMUS_Model!O$1010</f>
        <v>0</v>
      </c>
      <c r="P151" s="597">
        <f xml:space="preserve"> COMMUS_Model!P$1010</f>
        <v>0</v>
      </c>
      <c r="Q151" s="597">
        <f xml:space="preserve"> COMMUS_Model!Q$1010</f>
        <v>0</v>
      </c>
      <c r="R151" s="597">
        <f xml:space="preserve"> COMMUS_Model!R$1010</f>
        <v>0</v>
      </c>
      <c r="S151" s="597">
        <f xml:space="preserve"> COMMUS_Model!S$1010</f>
        <v>0</v>
      </c>
      <c r="T151" s="597">
        <f xml:space="preserve"> COMMUS_Model!T$1010</f>
        <v>0</v>
      </c>
      <c r="U151" s="597">
        <f xml:space="preserve"> COMMUS_Model!U$1010</f>
        <v>0</v>
      </c>
      <c r="V151" s="597">
        <f xml:space="preserve"> COMMUS_Model!V$1010</f>
        <v>20.419127879785002</v>
      </c>
      <c r="W151" s="597">
        <f xml:space="preserve"> COMMUS_Model!W$1010</f>
        <v>73.716234112410632</v>
      </c>
      <c r="X151" s="597">
        <f xml:space="preserve"> COMMUS_Model!X$1010</f>
        <v>110.64490124848584</v>
      </c>
      <c r="Y151" s="597">
        <f xml:space="preserve"> COMMUS_Model!Y$1010</f>
        <v>148.34620549351393</v>
      </c>
      <c r="Z151" s="597">
        <f xml:space="preserve"> COMMUS_Model!Z$1010</f>
        <v>330.22490284750336</v>
      </c>
      <c r="AA151" s="597">
        <f xml:space="preserve"> COMMUS_Model!AA$1010</f>
        <v>276.84151441910132</v>
      </c>
      <c r="AB151" s="597">
        <f xml:space="preserve"> COMMUS_Model!AB$1010</f>
        <v>243.53541986864383</v>
      </c>
      <c r="AC151" s="597">
        <f xml:space="preserve"> COMMUS_Model!AC$1010</f>
        <v>95.544701892986964</v>
      </c>
      <c r="AD151" s="597">
        <f xml:space="preserve"> COMMUS_Model!AD$1010</f>
        <v>211.54265958695359</v>
      </c>
      <c r="AE151" s="597">
        <f xml:space="preserve"> COMMUS_Model!AE$1010</f>
        <v>215.23622162282058</v>
      </c>
      <c r="AF151" s="597">
        <f xml:space="preserve"> COMMUS_Model!AF$1010</f>
        <v>213.59325744836227</v>
      </c>
      <c r="AG151" s="597">
        <f xml:space="preserve"> COMMUS_Model!AG$1010</f>
        <v>213.56641208967943</v>
      </c>
      <c r="AH151" s="597">
        <f xml:space="preserve"> COMMUS_Model!AH$1010</f>
        <v>215.2390177556521</v>
      </c>
      <c r="AI151" s="597">
        <f xml:space="preserve"> COMMUS_Model!AI$1010</f>
        <v>163.57340365229086</v>
      </c>
      <c r="AJ151" s="597">
        <f xml:space="preserve"> COMMUS_Model!AJ$1010</f>
        <v>178.94949100444214</v>
      </c>
      <c r="AK151" s="597">
        <f xml:space="preserve"> COMMUS_Model!AK$1010</f>
        <v>54.717055902935016</v>
      </c>
      <c r="AL151" s="597">
        <f xml:space="preserve"> COMMUS_Model!AL$1010</f>
        <v>0</v>
      </c>
      <c r="AM151" s="597">
        <f xml:space="preserve"> COMMUS_Model!AM$1010</f>
        <v>0</v>
      </c>
      <c r="AN151" s="597">
        <f xml:space="preserve"> COMMUS_Model!AN$1010</f>
        <v>0</v>
      </c>
      <c r="AO151" s="597">
        <f xml:space="preserve"> COMMUS_Model!AO$1010</f>
        <v>0</v>
      </c>
      <c r="AP151" s="597">
        <f xml:space="preserve"> COMMUS_Model!AP$1010</f>
        <v>0</v>
      </c>
      <c r="AQ151" s="597">
        <f xml:space="preserve"> COMMUS_Model!AQ$1010</f>
        <v>0</v>
      </c>
      <c r="AR151" s="597">
        <f xml:space="preserve"> COMMUS_Model!AR$1010</f>
        <v>0</v>
      </c>
      <c r="AS151" s="597">
        <f xml:space="preserve"> COMMUS_Model!AS$1010</f>
        <v>0</v>
      </c>
    </row>
    <row r="152" spans="1:45" ht="15" customHeight="1" x14ac:dyDescent="0.3">
      <c r="E152" s="704" t="str">
        <f xml:space="preserve"> COMMUS_Model!E$1011</f>
        <v>Gecamines share of cashflows after repaying loan</v>
      </c>
      <c r="F152" s="704">
        <f xml:space="preserve"> COMMUS_Model!F$1011</f>
        <v>0</v>
      </c>
      <c r="G152" s="704" t="str">
        <f xml:space="preserve"> COMMUS_Model!G$1011</f>
        <v>$ mn</v>
      </c>
      <c r="H152" s="704">
        <f xml:space="preserve"> COMMUS_Model!H$1011</f>
        <v>0</v>
      </c>
      <c r="I152" s="704">
        <f xml:space="preserve"> COMMUS_Model!I$1011</f>
        <v>921.83851310159503</v>
      </c>
      <c r="J152" s="704">
        <f xml:space="preserve"> COMMUS_Model!J$1011</f>
        <v>0</v>
      </c>
      <c r="K152" s="704">
        <f xml:space="preserve"> COMMUS_Model!K$1011</f>
        <v>0</v>
      </c>
      <c r="L152" s="704">
        <f xml:space="preserve"> COMMUS_Model!L$1011</f>
        <v>0</v>
      </c>
      <c r="M152" s="704">
        <f xml:space="preserve"> COMMUS_Model!M$1011</f>
        <v>0</v>
      </c>
      <c r="N152" s="704">
        <f xml:space="preserve"> COMMUS_Model!N$1011</f>
        <v>0</v>
      </c>
      <c r="O152" s="704">
        <f xml:space="preserve"> COMMUS_Model!O$1011</f>
        <v>0</v>
      </c>
      <c r="P152" s="704">
        <f xml:space="preserve"> COMMUS_Model!P$1011</f>
        <v>0</v>
      </c>
      <c r="Q152" s="704">
        <f xml:space="preserve"> COMMUS_Model!Q$1011</f>
        <v>0</v>
      </c>
      <c r="R152" s="704">
        <f xml:space="preserve"> COMMUS_Model!R$1011</f>
        <v>0</v>
      </c>
      <c r="S152" s="704">
        <f xml:space="preserve"> COMMUS_Model!S$1011</f>
        <v>0</v>
      </c>
      <c r="T152" s="704">
        <f xml:space="preserve"> COMMUS_Model!T$1011</f>
        <v>0</v>
      </c>
      <c r="U152" s="704">
        <f xml:space="preserve"> COMMUS_Model!U$1011</f>
        <v>0</v>
      </c>
      <c r="V152" s="704">
        <f xml:space="preserve"> COMMUS_Model!V$1011</f>
        <v>0</v>
      </c>
      <c r="W152" s="704">
        <f xml:space="preserve"> COMMUS_Model!W$1011</f>
        <v>55.314913606598815</v>
      </c>
      <c r="X152" s="704">
        <f xml:space="preserve"> COMMUS_Model!X$1011</f>
        <v>0</v>
      </c>
      <c r="Y152" s="704">
        <f xml:space="preserve"> COMMUS_Model!Y$1011</f>
        <v>28.804743620437343</v>
      </c>
      <c r="Z152" s="704">
        <f xml:space="preserve"> COMMUS_Model!Z$1011</f>
        <v>96.787395966146264</v>
      </c>
      <c r="AA152" s="704">
        <f xml:space="preserve"> COMMUS_Model!AA$1011</f>
        <v>66.581495631285847</v>
      </c>
      <c r="AB152" s="704">
        <f xml:space="preserve"> COMMUS_Model!AB$1011</f>
        <v>76.207260359806966</v>
      </c>
      <c r="AC152" s="704">
        <f xml:space="preserve"> COMMUS_Model!AC$1011</f>
        <v>20.942687830567063</v>
      </c>
      <c r="AD152" s="704">
        <f xml:space="preserve"> COMMUS_Model!AD$1011</f>
        <v>96.307306410075569</v>
      </c>
      <c r="AE152" s="704">
        <f xml:space="preserve"> COMMUS_Model!AE$1011</f>
        <v>91.873073234797815</v>
      </c>
      <c r="AF152" s="704">
        <f xml:space="preserve"> COMMUS_Model!AF$1011</f>
        <v>94.176371911874412</v>
      </c>
      <c r="AG152" s="704">
        <f xml:space="preserve"> COMMUS_Model!AG$1011</f>
        <v>90.113351436505482</v>
      </c>
      <c r="AH152" s="704">
        <f xml:space="preserve"> COMMUS_Model!AH$1011</f>
        <v>86.3436990901169</v>
      </c>
      <c r="AI152" s="704">
        <f xml:space="preserve"> COMMUS_Model!AI$1011</f>
        <v>50.106733441018733</v>
      </c>
      <c r="AJ152" s="704">
        <f xml:space="preserve"> COMMUS_Model!AJ$1011</f>
        <v>61.652527230880366</v>
      </c>
      <c r="AK152" s="704">
        <f xml:space="preserve"> COMMUS_Model!AK$1011</f>
        <v>6.6269533314834765</v>
      </c>
      <c r="AL152" s="704">
        <f xml:space="preserve"> COMMUS_Model!AL$1011</f>
        <v>0</v>
      </c>
      <c r="AM152" s="704">
        <f xml:space="preserve"> COMMUS_Model!AM$1011</f>
        <v>0</v>
      </c>
      <c r="AN152" s="704">
        <f xml:space="preserve"> COMMUS_Model!AN$1011</f>
        <v>0</v>
      </c>
      <c r="AO152" s="704">
        <f xml:space="preserve"> COMMUS_Model!AO$1011</f>
        <v>0</v>
      </c>
      <c r="AP152" s="704">
        <f xml:space="preserve"> COMMUS_Model!AP$1011</f>
        <v>0</v>
      </c>
      <c r="AQ152" s="704">
        <f xml:space="preserve"> COMMUS_Model!AQ$1011</f>
        <v>0</v>
      </c>
      <c r="AR152" s="704">
        <f xml:space="preserve"> COMMUS_Model!AR$1011</f>
        <v>0</v>
      </c>
      <c r="AS152" s="704">
        <f xml:space="preserve"> COMMUS_Model!AS$1011</f>
        <v>0</v>
      </c>
    </row>
    <row r="153" spans="1:45" ht="15" customHeight="1" x14ac:dyDescent="0.3">
      <c r="E153" s="704" t="str">
        <f xml:space="preserve"> COMMUS_Model!E$1012</f>
        <v>Government revenues incl Gecamines</v>
      </c>
      <c r="F153" s="704">
        <f xml:space="preserve"> COMMUS_Model!F$1012</f>
        <v>0</v>
      </c>
      <c r="G153" s="704" t="str">
        <f xml:space="preserve"> COMMUS_Model!G$1012</f>
        <v>$ mn</v>
      </c>
      <c r="H153" s="704">
        <f xml:space="preserve"> COMMUS_Model!H$1012</f>
        <v>0</v>
      </c>
      <c r="I153" s="704">
        <f xml:space="preserve"> COMMUS_Model!I$1012</f>
        <v>3687.5290399271621</v>
      </c>
      <c r="J153" s="704">
        <f xml:space="preserve"> COMMUS_Model!J$1012</f>
        <v>0</v>
      </c>
      <c r="K153" s="704">
        <f xml:space="preserve"> COMMUS_Model!K$1012</f>
        <v>0</v>
      </c>
      <c r="L153" s="704">
        <f xml:space="preserve"> COMMUS_Model!L$1012</f>
        <v>0</v>
      </c>
      <c r="M153" s="704">
        <f xml:space="preserve"> COMMUS_Model!M$1012</f>
        <v>0</v>
      </c>
      <c r="N153" s="704">
        <f xml:space="preserve"> COMMUS_Model!N$1012</f>
        <v>0</v>
      </c>
      <c r="O153" s="704">
        <f xml:space="preserve"> COMMUS_Model!O$1012</f>
        <v>0</v>
      </c>
      <c r="P153" s="704">
        <f xml:space="preserve"> COMMUS_Model!P$1012</f>
        <v>0</v>
      </c>
      <c r="Q153" s="704">
        <f xml:space="preserve"> COMMUS_Model!Q$1012</f>
        <v>0</v>
      </c>
      <c r="R153" s="704">
        <f xml:space="preserve"> COMMUS_Model!R$1012</f>
        <v>0</v>
      </c>
      <c r="S153" s="704">
        <f xml:space="preserve"> COMMUS_Model!S$1012</f>
        <v>0</v>
      </c>
      <c r="T153" s="704">
        <f xml:space="preserve"> COMMUS_Model!T$1012</f>
        <v>0</v>
      </c>
      <c r="U153" s="704">
        <f xml:space="preserve"> COMMUS_Model!U$1012</f>
        <v>0</v>
      </c>
      <c r="V153" s="704">
        <f xml:space="preserve"> COMMUS_Model!V$1012</f>
        <v>20.419127879785002</v>
      </c>
      <c r="W153" s="704">
        <f xml:space="preserve"> COMMUS_Model!W$1012</f>
        <v>129.03114771900945</v>
      </c>
      <c r="X153" s="704">
        <f xml:space="preserve"> COMMUS_Model!X$1012</f>
        <v>110.64490124848584</v>
      </c>
      <c r="Y153" s="704">
        <f xml:space="preserve"> COMMUS_Model!Y$1012</f>
        <v>177.15094911395127</v>
      </c>
      <c r="Z153" s="704">
        <f xml:space="preserve"> COMMUS_Model!Z$1012</f>
        <v>427.01229881364964</v>
      </c>
      <c r="AA153" s="704">
        <f xml:space="preserve"> COMMUS_Model!AA$1012</f>
        <v>343.42301005038718</v>
      </c>
      <c r="AB153" s="704">
        <f xml:space="preserve"> COMMUS_Model!AB$1012</f>
        <v>319.74268022845081</v>
      </c>
      <c r="AC153" s="704">
        <f xml:space="preserve"> COMMUS_Model!AC$1012</f>
        <v>116.48738972355403</v>
      </c>
      <c r="AD153" s="704">
        <f xml:space="preserve"> COMMUS_Model!AD$1012</f>
        <v>307.84996599702913</v>
      </c>
      <c r="AE153" s="704">
        <f xml:space="preserve"> COMMUS_Model!AE$1012</f>
        <v>307.10929485761841</v>
      </c>
      <c r="AF153" s="704">
        <f xml:space="preserve"> COMMUS_Model!AF$1012</f>
        <v>307.76962936023665</v>
      </c>
      <c r="AG153" s="704">
        <f xml:space="preserve"> COMMUS_Model!AG$1012</f>
        <v>303.6797635261849</v>
      </c>
      <c r="AH153" s="704">
        <f xml:space="preserve"> COMMUS_Model!AH$1012</f>
        <v>301.58271684576903</v>
      </c>
      <c r="AI153" s="704">
        <f xml:space="preserve"> COMMUS_Model!AI$1012</f>
        <v>213.68013709330961</v>
      </c>
      <c r="AJ153" s="704">
        <f xml:space="preserve"> COMMUS_Model!AJ$1012</f>
        <v>240.6020182353225</v>
      </c>
      <c r="AK153" s="704">
        <f xml:space="preserve"> COMMUS_Model!AK$1012</f>
        <v>61.344009234418493</v>
      </c>
      <c r="AL153" s="704">
        <f xml:space="preserve"> COMMUS_Model!AL$1012</f>
        <v>0</v>
      </c>
      <c r="AM153" s="704">
        <f xml:space="preserve"> COMMUS_Model!AM$1012</f>
        <v>0</v>
      </c>
      <c r="AN153" s="704">
        <f xml:space="preserve"> COMMUS_Model!AN$1012</f>
        <v>0</v>
      </c>
      <c r="AO153" s="704">
        <f xml:space="preserve"> COMMUS_Model!AO$1012</f>
        <v>0</v>
      </c>
      <c r="AP153" s="704">
        <f xml:space="preserve"> COMMUS_Model!AP$1012</f>
        <v>0</v>
      </c>
      <c r="AQ153" s="704">
        <f xml:space="preserve"> COMMUS_Model!AQ$1012</f>
        <v>0</v>
      </c>
      <c r="AR153" s="704">
        <f xml:space="preserve"> COMMUS_Model!AR$1012</f>
        <v>0</v>
      </c>
      <c r="AS153" s="704">
        <f xml:space="preserve"> COMMUS_Model!AS$1012</f>
        <v>0</v>
      </c>
    </row>
  </sheetData>
  <conditionalFormatting sqref="F2">
    <cfRule type="cellIs" dxfId="122" priority="1" stopIfTrue="1" operator="notEqual">
      <formula>0</formula>
    </cfRule>
    <cfRule type="cellIs" dxfId="121" priority="2" stopIfTrue="1" operator="equal">
      <formula>""</formula>
    </cfRule>
  </conditionalFormatting>
  <conditionalFormatting sqref="F3">
    <cfRule type="cellIs" dxfId="120" priority="3" stopIfTrue="1" operator="notEqual">
      <formula>0</formula>
    </cfRule>
    <cfRule type="cellIs" dxfId="119" priority="4" stopIfTrue="1" operator="equal">
      <formula>""</formula>
    </cfRule>
  </conditionalFormatting>
  <conditionalFormatting sqref="K3:AS3">
    <cfRule type="cellIs" dxfId="118" priority="5" stopIfTrue="1" operator="equal">
      <formula>#REF!</formula>
    </cfRule>
    <cfRule type="cellIs" dxfId="117" priority="6" stopIfTrue="1" operator="equal">
      <formula>#REF!</formula>
    </cfRule>
    <cfRule type="cellIs" dxfId="116" priority="7" operator="equal">
      <formula>#REF!</formula>
    </cfRule>
    <cfRule type="cellIs" dxfId="115" priority="8" operator="equal">
      <formula>#REF!</formula>
    </cfRule>
    <cfRule type="cellIs" dxfId="114" priority="9" stopIfTrue="1" operator="equal">
      <formula>#REF!</formula>
    </cfRule>
    <cfRule type="cellIs" dxfId="113" priority="10" stopIfTrue="1" operator="equal">
      <formula>#REF!</formula>
    </cfRule>
  </conditionalFormatting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288549-C2AE-41CB-8E45-CDC33A58136D}">
  <sheetPr codeName="Sheet6"/>
  <dimension ref="A1:U28"/>
  <sheetViews>
    <sheetView topLeftCell="A6" workbookViewId="0">
      <selection activeCell="F22" sqref="F22"/>
    </sheetView>
  </sheetViews>
  <sheetFormatPr defaultColWidth="8.88671875" defaultRowHeight="14.4" x14ac:dyDescent="0.3"/>
  <cols>
    <col min="1" max="1" width="0.88671875" style="906" customWidth="1"/>
    <col min="2" max="2" width="3.5546875" style="906" customWidth="1"/>
    <col min="3" max="3" width="24.88671875" style="906" customWidth="1"/>
    <col min="4" max="4" width="0.88671875" style="906" customWidth="1"/>
    <col min="5" max="5" width="7.33203125" style="906" customWidth="1"/>
    <col min="6" max="6" width="33.109375" style="906" customWidth="1"/>
    <col min="7" max="7" width="11.21875" style="906" customWidth="1"/>
    <col min="8" max="8" width="9.77734375" style="906" customWidth="1"/>
    <col min="9" max="9" width="8.88671875" style="1158"/>
    <col min="10" max="10" width="12.6640625" style="906" customWidth="1"/>
    <col min="11" max="11" width="0.88671875" style="906" customWidth="1"/>
    <col min="12" max="12" width="7.33203125" style="906" customWidth="1"/>
    <col min="13" max="13" width="26.77734375" style="906" customWidth="1"/>
    <col min="14" max="14" width="0.88671875" style="906" customWidth="1"/>
    <col min="15" max="17" width="8.88671875" style="906"/>
    <col min="18" max="18" width="0.88671875" style="906" customWidth="1"/>
    <col min="19" max="19" width="1.6640625" style="906" customWidth="1"/>
    <col min="20" max="20" width="7.5546875" style="906" customWidth="1"/>
    <col min="21" max="21" width="14.88671875" style="906" customWidth="1"/>
    <col min="22" max="16384" width="8.88671875" style="906"/>
  </cols>
  <sheetData>
    <row r="1" spans="1:21" ht="15" thickBot="1" x14ac:dyDescent="0.35"/>
    <row r="2" spans="1:21" s="1222" customFormat="1" x14ac:dyDescent="0.3">
      <c r="A2" s="1215"/>
      <c r="B2" s="1216" t="s">
        <v>1092</v>
      </c>
      <c r="C2" s="1217"/>
      <c r="D2" s="1217"/>
      <c r="E2" s="1218"/>
      <c r="F2" s="1218"/>
      <c r="G2" s="1218"/>
      <c r="H2" s="1218"/>
      <c r="I2" s="1219"/>
      <c r="J2" s="1218"/>
      <c r="K2" s="1218"/>
      <c r="L2" s="1218"/>
      <c r="M2" s="1218"/>
      <c r="N2" s="1220"/>
      <c r="O2" s="1218"/>
      <c r="P2" s="1218"/>
      <c r="Q2" s="1218"/>
      <c r="R2" s="1221"/>
      <c r="T2" s="1223" t="s">
        <v>904</v>
      </c>
      <c r="U2" s="1224"/>
    </row>
    <row r="3" spans="1:21" s="1222" customFormat="1" x14ac:dyDescent="0.3">
      <c r="A3" s="1225"/>
      <c r="B3" s="1226"/>
      <c r="C3" s="1227" t="s">
        <v>905</v>
      </c>
      <c r="D3" s="1228"/>
      <c r="E3" s="1223" t="s">
        <v>906</v>
      </c>
      <c r="F3" s="1229"/>
      <c r="G3" s="1229"/>
      <c r="H3" s="1229"/>
      <c r="I3" s="1230"/>
      <c r="J3" s="1229"/>
      <c r="K3" s="1228"/>
      <c r="L3" s="1229" t="s">
        <v>907</v>
      </c>
      <c r="M3" s="1224"/>
      <c r="N3" s="1231"/>
      <c r="O3" s="1229"/>
      <c r="P3" s="1229"/>
      <c r="Q3" s="1229"/>
      <c r="R3" s="1232"/>
      <c r="T3" s="1223" t="s">
        <v>908</v>
      </c>
      <c r="U3" s="1224"/>
    </row>
    <row r="4" spans="1:21" s="1222" customFormat="1" x14ac:dyDescent="0.3">
      <c r="A4" s="1225"/>
      <c r="B4" s="1233"/>
      <c r="C4" s="1234"/>
      <c r="D4" s="1235"/>
      <c r="E4" s="1236" t="s">
        <v>909</v>
      </c>
      <c r="F4" s="1236" t="s">
        <v>910</v>
      </c>
      <c r="G4" s="1236" t="s">
        <v>911</v>
      </c>
      <c r="H4" s="1236" t="s">
        <v>912</v>
      </c>
      <c r="I4" s="1237" t="s">
        <v>1093</v>
      </c>
      <c r="J4" s="1236" t="s">
        <v>916</v>
      </c>
      <c r="K4" s="1235"/>
      <c r="L4" s="1236" t="s">
        <v>10</v>
      </c>
      <c r="M4" s="1238" t="s">
        <v>917</v>
      </c>
      <c r="N4" s="1232"/>
      <c r="O4" s="1239" t="s">
        <v>913</v>
      </c>
      <c r="P4" s="1236" t="s">
        <v>914</v>
      </c>
      <c r="Q4" s="1236" t="s">
        <v>915</v>
      </c>
      <c r="R4" s="1232"/>
      <c r="T4" s="1240" t="s">
        <v>918</v>
      </c>
      <c r="U4" s="1241" t="s">
        <v>919</v>
      </c>
    </row>
    <row r="5" spans="1:21" s="1222" customFormat="1" x14ac:dyDescent="0.3">
      <c r="A5" s="1225"/>
      <c r="B5" s="1242" t="s">
        <v>920</v>
      </c>
      <c r="C5" s="1242" t="s">
        <v>1158</v>
      </c>
      <c r="D5" s="1243"/>
      <c r="E5" s="1240" t="s">
        <v>921</v>
      </c>
      <c r="F5" s="1241" t="s">
        <v>1167</v>
      </c>
      <c r="G5" s="1244" t="s">
        <v>922</v>
      </c>
      <c r="H5" s="1244" t="s">
        <v>923</v>
      </c>
      <c r="I5" s="1159">
        <f>MAX(O5:Q5)-MIN(O5:Q5)</f>
        <v>175.5869562266833</v>
      </c>
      <c r="J5" s="1241" t="s">
        <v>1094</v>
      </c>
      <c r="K5" s="1235"/>
      <c r="L5" s="1240" t="s">
        <v>924</v>
      </c>
      <c r="M5" s="1245" t="s">
        <v>1095</v>
      </c>
      <c r="N5" s="1232"/>
      <c r="O5" s="1159">
        <f xml:space="preserve"> Scenarios!H$68</f>
        <v>277.77247806902784</v>
      </c>
      <c r="P5" s="1159">
        <f xml:space="preserve"> Scenarios!I$68</f>
        <v>327.94017984808022</v>
      </c>
      <c r="Q5" s="1159">
        <f xml:space="preserve"> Scenarios!J$68</f>
        <v>453.35943429571114</v>
      </c>
      <c r="R5" s="1232"/>
      <c r="T5" s="1240" t="s">
        <v>925</v>
      </c>
      <c r="U5" s="1241" t="s">
        <v>926</v>
      </c>
    </row>
    <row r="6" spans="1:21" s="1222" customFormat="1" x14ac:dyDescent="0.3">
      <c r="A6" s="1225"/>
      <c r="B6" s="1241" t="s">
        <v>927</v>
      </c>
      <c r="C6" s="1241" t="s">
        <v>1159</v>
      </c>
      <c r="D6" s="1246"/>
      <c r="E6" s="1240" t="s">
        <v>925</v>
      </c>
      <c r="F6" s="1241" t="s">
        <v>928</v>
      </c>
      <c r="G6" s="1244" t="s">
        <v>922</v>
      </c>
      <c r="H6" s="1244" t="s">
        <v>923</v>
      </c>
      <c r="I6" s="1159">
        <f>MAX(O6:Q6)-MIN(O6:Q6)</f>
        <v>241.60924670716668</v>
      </c>
      <c r="J6" s="1241" t="s">
        <v>1094</v>
      </c>
      <c r="K6" s="1235"/>
      <c r="L6" s="1240" t="s">
        <v>924</v>
      </c>
      <c r="M6" s="1245" t="s">
        <v>1096</v>
      </c>
      <c r="N6" s="1232"/>
      <c r="O6" s="1159">
        <f xml:space="preserve"> Scenarios!H$73</f>
        <v>6649.1116002828594</v>
      </c>
      <c r="P6" s="1159">
        <f xml:space="preserve"> Scenarios!I$73</f>
        <v>6407.5023535756927</v>
      </c>
      <c r="Q6" s="1159">
        <f xml:space="preserve"> Scenarios!J$73</f>
        <v>6649.1116002828594</v>
      </c>
      <c r="R6" s="1232"/>
      <c r="T6" s="1240" t="s">
        <v>921</v>
      </c>
      <c r="U6" s="1241" t="s">
        <v>929</v>
      </c>
    </row>
    <row r="7" spans="1:21" s="1222" customFormat="1" x14ac:dyDescent="0.3">
      <c r="A7" s="1225"/>
      <c r="B7" s="1241" t="s">
        <v>930</v>
      </c>
      <c r="C7" s="1241" t="s">
        <v>1160</v>
      </c>
      <c r="D7" s="1246"/>
      <c r="E7" s="1240" t="s">
        <v>925</v>
      </c>
      <c r="F7" s="1241" t="s">
        <v>1166</v>
      </c>
      <c r="G7" s="1244" t="s">
        <v>922</v>
      </c>
      <c r="H7" s="1244" t="s">
        <v>923</v>
      </c>
      <c r="I7" s="1159">
        <f t="shared" ref="I7:I10" si="0">MAX(O7:Q7)-MIN(O7:Q7)</f>
        <v>72.703881108564019</v>
      </c>
      <c r="J7" s="1241" t="s">
        <v>1094</v>
      </c>
      <c r="K7" s="1235"/>
      <c r="L7" s="1240" t="s">
        <v>924</v>
      </c>
      <c r="M7" s="1245" t="s">
        <v>1096</v>
      </c>
      <c r="N7" s="1232"/>
      <c r="O7" s="1159">
        <f xml:space="preserve"> Scenarios!H$78</f>
        <v>6691.8202047586346</v>
      </c>
      <c r="P7" s="1159">
        <f xml:space="preserve"> Scenarios!I$78</f>
        <v>6735.4425334237731</v>
      </c>
      <c r="Q7" s="1159">
        <f xml:space="preserve"> Scenarios!J$78</f>
        <v>6764.5240858671987</v>
      </c>
      <c r="R7" s="1247"/>
      <c r="T7" s="1240" t="s">
        <v>931</v>
      </c>
      <c r="U7" s="1241" t="s">
        <v>932</v>
      </c>
    </row>
    <row r="8" spans="1:21" s="1222" customFormat="1" x14ac:dyDescent="0.3">
      <c r="A8" s="1225"/>
      <c r="B8" s="1241" t="s">
        <v>933</v>
      </c>
      <c r="C8" s="1241" t="s">
        <v>1161</v>
      </c>
      <c r="D8" s="1246"/>
      <c r="E8" s="1240" t="s">
        <v>921</v>
      </c>
      <c r="F8" s="1248" t="s">
        <v>973</v>
      </c>
      <c r="G8" s="1244" t="s">
        <v>922</v>
      </c>
      <c r="H8" s="1244" t="s">
        <v>923</v>
      </c>
      <c r="I8" s="1159">
        <f t="shared" si="0"/>
        <v>187.96760159146561</v>
      </c>
      <c r="J8" s="1241" t="s">
        <v>1094</v>
      </c>
      <c r="K8" s="1235"/>
      <c r="L8" s="1240" t="s">
        <v>934</v>
      </c>
      <c r="M8" s="1245" t="s">
        <v>1097</v>
      </c>
      <c r="N8" s="1232"/>
      <c r="O8" s="1159">
        <f xml:space="preserve"> Scenarios!H$84</f>
        <v>6313.5185527799604</v>
      </c>
      <c r="P8" s="1159">
        <f xml:space="preserve"> Scenarios!I$84</f>
        <v>6407.5023535756927</v>
      </c>
      <c r="Q8" s="1159">
        <f xml:space="preserve"> Scenarios!J$84</f>
        <v>6501.486154371426</v>
      </c>
      <c r="R8" s="1247"/>
      <c r="T8" s="1223" t="s">
        <v>935</v>
      </c>
      <c r="U8" s="1224"/>
    </row>
    <row r="9" spans="1:21" s="1222" customFormat="1" x14ac:dyDescent="0.3">
      <c r="A9" s="1225"/>
      <c r="B9" s="1241" t="s">
        <v>936</v>
      </c>
      <c r="C9" s="1241" t="s">
        <v>1162</v>
      </c>
      <c r="D9" s="1246"/>
      <c r="E9" s="1240" t="s">
        <v>921</v>
      </c>
      <c r="F9" s="1248" t="s">
        <v>974</v>
      </c>
      <c r="G9" s="1244" t="s">
        <v>922</v>
      </c>
      <c r="H9" s="1244" t="s">
        <v>923</v>
      </c>
      <c r="I9" s="1159">
        <f t="shared" si="0"/>
        <v>32.794017984808022</v>
      </c>
      <c r="J9" s="1241" t="s">
        <v>1094</v>
      </c>
      <c r="K9" s="1235"/>
      <c r="L9" s="1240" t="s">
        <v>934</v>
      </c>
      <c r="M9" s="1245" t="s">
        <v>1097</v>
      </c>
      <c r="N9" s="1232"/>
      <c r="O9" s="1159">
        <f xml:space="preserve"> Scenarios!H$90</f>
        <v>311.54317085567624</v>
      </c>
      <c r="P9" s="1159">
        <f xml:space="preserve"> Scenarios!I$90</f>
        <v>327.94017984808022</v>
      </c>
      <c r="Q9" s="1159">
        <f xml:space="preserve"> Scenarios!J$90</f>
        <v>344.33718884048426</v>
      </c>
      <c r="R9" s="1247"/>
      <c r="T9" s="1223"/>
      <c r="U9" s="1224"/>
    </row>
    <row r="10" spans="1:21" s="1222" customFormat="1" ht="15" thickBot="1" x14ac:dyDescent="0.35">
      <c r="A10" s="1249"/>
      <c r="B10" s="1250" t="s">
        <v>975</v>
      </c>
      <c r="C10" s="1250" t="s">
        <v>1163</v>
      </c>
      <c r="D10" s="1251"/>
      <c r="E10" s="1252" t="s">
        <v>921</v>
      </c>
      <c r="F10" s="1250" t="s">
        <v>1098</v>
      </c>
      <c r="G10" s="1253" t="s">
        <v>922</v>
      </c>
      <c r="H10" s="1253" t="s">
        <v>923</v>
      </c>
      <c r="I10" s="1264">
        <f t="shared" si="0"/>
        <v>54.656696641346628</v>
      </c>
      <c r="J10" s="1250" t="s">
        <v>1094</v>
      </c>
      <c r="K10" s="1254"/>
      <c r="L10" s="1252" t="s">
        <v>934</v>
      </c>
      <c r="M10" s="1255" t="s">
        <v>1099</v>
      </c>
      <c r="N10" s="1256"/>
      <c r="O10" s="1159">
        <f xml:space="preserve"> Scenarios!H$96</f>
        <v>300.61183152740688</v>
      </c>
      <c r="P10" s="1159">
        <f xml:space="preserve"> Scenarios!I$96</f>
        <v>327.94017984808022</v>
      </c>
      <c r="Q10" s="1159">
        <f xml:space="preserve"> Scenarios!J$96</f>
        <v>355.26852816875351</v>
      </c>
      <c r="R10" s="1257"/>
      <c r="T10" s="1240" t="s">
        <v>937</v>
      </c>
      <c r="U10" s="1241" t="s">
        <v>938</v>
      </c>
    </row>
    <row r="11" spans="1:21" s="1222" customFormat="1" ht="15" thickBot="1" x14ac:dyDescent="0.35">
      <c r="A11" s="1258"/>
      <c r="I11" s="1259"/>
      <c r="N11" s="1260"/>
      <c r="T11" s="1240" t="s">
        <v>924</v>
      </c>
      <c r="U11" s="1241" t="s">
        <v>939</v>
      </c>
    </row>
    <row r="12" spans="1:21" s="1222" customFormat="1" x14ac:dyDescent="0.3">
      <c r="A12" s="1215"/>
      <c r="B12" s="1216" t="s">
        <v>1100</v>
      </c>
      <c r="C12" s="1217"/>
      <c r="D12" s="1217"/>
      <c r="E12" s="1218"/>
      <c r="F12" s="1218"/>
      <c r="G12" s="1218"/>
      <c r="H12" s="1218"/>
      <c r="I12" s="1219"/>
      <c r="J12" s="1218"/>
      <c r="K12" s="1218"/>
      <c r="L12" s="1218"/>
      <c r="M12" s="1218"/>
      <c r="N12" s="1220"/>
      <c r="O12" s="1218"/>
      <c r="P12" s="1218"/>
      <c r="Q12" s="1218"/>
      <c r="R12" s="1221"/>
      <c r="T12" s="1240" t="s">
        <v>934</v>
      </c>
      <c r="U12" s="1241" t="s">
        <v>940</v>
      </c>
    </row>
    <row r="13" spans="1:21" s="1222" customFormat="1" x14ac:dyDescent="0.3">
      <c r="A13" s="1225"/>
      <c r="B13" s="1226"/>
      <c r="C13" s="1227" t="s">
        <v>905</v>
      </c>
      <c r="D13" s="1228"/>
      <c r="E13" s="1223" t="s">
        <v>906</v>
      </c>
      <c r="F13" s="1229"/>
      <c r="G13" s="1229"/>
      <c r="H13" s="1229"/>
      <c r="I13" s="1230"/>
      <c r="J13" s="1229"/>
      <c r="K13" s="1228"/>
      <c r="L13" s="1229" t="s">
        <v>907</v>
      </c>
      <c r="M13" s="1224"/>
      <c r="N13" s="1231"/>
      <c r="O13" s="1229"/>
      <c r="P13" s="1229"/>
      <c r="Q13" s="1229"/>
      <c r="R13" s="1232"/>
    </row>
    <row r="14" spans="1:21" s="1222" customFormat="1" x14ac:dyDescent="0.3">
      <c r="A14" s="1225"/>
      <c r="B14" s="1233"/>
      <c r="C14" s="1234"/>
      <c r="D14" s="1235"/>
      <c r="E14" s="1236" t="s">
        <v>909</v>
      </c>
      <c r="F14" s="1236" t="s">
        <v>910</v>
      </c>
      <c r="G14" s="1236" t="s">
        <v>911</v>
      </c>
      <c r="H14" s="1236" t="s">
        <v>912</v>
      </c>
      <c r="I14" s="1237" t="s">
        <v>1093</v>
      </c>
      <c r="J14" s="1236" t="s">
        <v>916</v>
      </c>
      <c r="K14" s="1235"/>
      <c r="L14" s="1236" t="s">
        <v>10</v>
      </c>
      <c r="M14" s="1238" t="s">
        <v>917</v>
      </c>
      <c r="N14" s="1232"/>
      <c r="O14" s="1239" t="s">
        <v>913</v>
      </c>
      <c r="P14" s="1236" t="s">
        <v>914</v>
      </c>
      <c r="Q14" s="1236" t="s">
        <v>915</v>
      </c>
      <c r="R14" s="1232"/>
    </row>
    <row r="15" spans="1:21" s="1222" customFormat="1" x14ac:dyDescent="0.3">
      <c r="A15" s="1225"/>
      <c r="B15" s="1242" t="s">
        <v>941</v>
      </c>
      <c r="C15" s="1242" t="s">
        <v>1078</v>
      </c>
      <c r="D15" s="1243"/>
      <c r="E15" s="1240" t="s">
        <v>921</v>
      </c>
      <c r="F15" s="1241" t="s">
        <v>1079</v>
      </c>
      <c r="G15" s="1244" t="s">
        <v>944</v>
      </c>
      <c r="H15" s="1244" t="s">
        <v>923</v>
      </c>
      <c r="I15" s="1159">
        <f>MAX(O15:Q15)-MIN(O15:Q15)</f>
        <v>1.2151333348144817</v>
      </c>
      <c r="J15" s="1241" t="s">
        <v>1101</v>
      </c>
      <c r="K15" s="1235"/>
      <c r="L15" s="1240" t="s">
        <v>937</v>
      </c>
      <c r="M15" s="1245" t="s">
        <v>1126</v>
      </c>
      <c r="N15" s="1261"/>
      <c r="O15" s="1159">
        <f xml:space="preserve"> ABS(Scenarios!H$115)</f>
        <v>1.2151333348144817</v>
      </c>
      <c r="P15" s="1159">
        <f xml:space="preserve"> Scenarios!I$115</f>
        <v>0</v>
      </c>
      <c r="Q15" s="1159">
        <f xml:space="preserve"> Scenarios!J$115</f>
        <v>0</v>
      </c>
      <c r="R15" s="1232"/>
    </row>
    <row r="16" spans="1:21" s="1222" customFormat="1" x14ac:dyDescent="0.3">
      <c r="A16" s="1225"/>
      <c r="B16" s="1241" t="s">
        <v>1080</v>
      </c>
      <c r="C16" s="1241" t="s">
        <v>1127</v>
      </c>
      <c r="D16" s="1246"/>
      <c r="E16" s="1240" t="s">
        <v>925</v>
      </c>
      <c r="F16" s="1241" t="s">
        <v>1102</v>
      </c>
      <c r="G16" s="1244" t="s">
        <v>944</v>
      </c>
      <c r="H16" s="1244" t="s">
        <v>923</v>
      </c>
      <c r="I16" s="1159">
        <f t="shared" ref="I16" si="1">MAX(O16:Q16)-MIN(O16:Q16)</f>
        <v>80.745435969876098</v>
      </c>
      <c r="J16" s="1241" t="s">
        <v>1101</v>
      </c>
      <c r="K16" s="1235"/>
      <c r="L16" s="1240" t="s">
        <v>937</v>
      </c>
      <c r="M16" s="1245" t="s">
        <v>1103</v>
      </c>
      <c r="N16" s="1232"/>
      <c r="O16" s="1159">
        <f xml:space="preserve"> Scenarios!H$108</f>
        <v>2043.6175351498887</v>
      </c>
      <c r="P16" s="1159">
        <f xml:space="preserve"> Scenarios!I$108</f>
        <v>2011.319360761938</v>
      </c>
      <c r="Q16" s="1159">
        <f xml:space="preserve"> Scenarios!J$108</f>
        <v>1962.8720991800126</v>
      </c>
      <c r="R16" s="1232"/>
    </row>
    <row r="17" spans="1:18" s="1222" customFormat="1" ht="15" thickBot="1" x14ac:dyDescent="0.35">
      <c r="A17" s="1249"/>
      <c r="B17" s="1250" t="s">
        <v>942</v>
      </c>
      <c r="C17" s="1250" t="s">
        <v>976</v>
      </c>
      <c r="D17" s="1251"/>
      <c r="E17" s="1252" t="s">
        <v>931</v>
      </c>
      <c r="F17" s="1262" t="s">
        <v>1104</v>
      </c>
      <c r="G17" s="1253"/>
      <c r="H17" s="1253"/>
      <c r="I17" s="1161"/>
      <c r="J17" s="1250"/>
      <c r="K17" s="1254"/>
      <c r="L17" s="1252"/>
      <c r="M17" s="1255"/>
      <c r="N17" s="1256"/>
      <c r="O17" s="1160"/>
      <c r="P17" s="1136"/>
      <c r="Q17" s="1136"/>
      <c r="R17" s="1256"/>
    </row>
    <row r="18" spans="1:18" s="1222" customFormat="1" ht="15" thickBot="1" x14ac:dyDescent="0.35">
      <c r="A18" s="1258"/>
      <c r="I18" s="1259"/>
      <c r="N18" s="1260"/>
    </row>
    <row r="19" spans="1:18" s="1222" customFormat="1" x14ac:dyDescent="0.3">
      <c r="A19" s="1215"/>
      <c r="B19" s="1216" t="s">
        <v>1105</v>
      </c>
      <c r="C19" s="1217"/>
      <c r="D19" s="1217"/>
      <c r="E19" s="1218"/>
      <c r="F19" s="1218"/>
      <c r="G19" s="1218"/>
      <c r="H19" s="1218"/>
      <c r="I19" s="1219"/>
      <c r="J19" s="1218"/>
      <c r="K19" s="1218"/>
      <c r="L19" s="1218"/>
      <c r="M19" s="1218"/>
      <c r="N19" s="1220"/>
      <c r="O19" s="1218"/>
      <c r="P19" s="1218"/>
      <c r="Q19" s="1218"/>
      <c r="R19" s="1221"/>
    </row>
    <row r="20" spans="1:18" s="1222" customFormat="1" x14ac:dyDescent="0.3">
      <c r="A20" s="1225"/>
      <c r="B20" s="1226"/>
      <c r="C20" s="1227" t="s">
        <v>905</v>
      </c>
      <c r="D20" s="1228"/>
      <c r="E20" s="1223" t="s">
        <v>906</v>
      </c>
      <c r="F20" s="1229"/>
      <c r="G20" s="1229"/>
      <c r="H20" s="1229"/>
      <c r="I20" s="1230"/>
      <c r="J20" s="1229"/>
      <c r="K20" s="1228"/>
      <c r="L20" s="1229" t="s">
        <v>907</v>
      </c>
      <c r="M20" s="1224"/>
      <c r="N20" s="1231"/>
      <c r="O20" s="1229"/>
      <c r="P20" s="1229"/>
      <c r="Q20" s="1229"/>
      <c r="R20" s="1232"/>
    </row>
    <row r="21" spans="1:18" s="1222" customFormat="1" x14ac:dyDescent="0.3">
      <c r="A21" s="1225"/>
      <c r="B21" s="1233"/>
      <c r="C21" s="1234"/>
      <c r="D21" s="1235"/>
      <c r="E21" s="1236" t="s">
        <v>909</v>
      </c>
      <c r="F21" s="1236" t="s">
        <v>910</v>
      </c>
      <c r="G21" s="1236" t="s">
        <v>911</v>
      </c>
      <c r="H21" s="1236" t="s">
        <v>912</v>
      </c>
      <c r="I21" s="1237" t="s">
        <v>1093</v>
      </c>
      <c r="J21" s="1236" t="s">
        <v>916</v>
      </c>
      <c r="K21" s="1235"/>
      <c r="L21" s="1236" t="s">
        <v>10</v>
      </c>
      <c r="M21" s="1236" t="s">
        <v>917</v>
      </c>
      <c r="N21" s="1232"/>
      <c r="O21" s="1239" t="s">
        <v>913</v>
      </c>
      <c r="P21" s="1236" t="s">
        <v>914</v>
      </c>
      <c r="Q21" s="1236" t="s">
        <v>915</v>
      </c>
      <c r="R21" s="1232"/>
    </row>
    <row r="22" spans="1:18" s="1222" customFormat="1" x14ac:dyDescent="0.3">
      <c r="A22" s="1225"/>
      <c r="B22" s="1242" t="s">
        <v>943</v>
      </c>
      <c r="C22" s="1242" t="s">
        <v>1164</v>
      </c>
      <c r="D22" s="1243"/>
      <c r="E22" s="1240" t="s">
        <v>918</v>
      </c>
      <c r="F22" s="1241" t="s">
        <v>1106</v>
      </c>
      <c r="G22" s="1244" t="s">
        <v>944</v>
      </c>
      <c r="H22" s="1244" t="s">
        <v>923</v>
      </c>
      <c r="I22" s="1159">
        <f>MAX(O22:Q22)-MIN(O22:Q22)</f>
        <v>34.489025451924022</v>
      </c>
      <c r="J22" s="1241" t="s">
        <v>977</v>
      </c>
      <c r="K22" s="1235"/>
      <c r="L22" s="1240" t="s">
        <v>937</v>
      </c>
      <c r="M22" s="1241" t="s">
        <v>1107</v>
      </c>
      <c r="N22" s="1232"/>
      <c r="O22" s="1160">
        <v>0</v>
      </c>
      <c r="P22" s="1265">
        <f xml:space="preserve"> ABS(EITI_Rev!F$42)</f>
        <v>34.489025451924022</v>
      </c>
      <c r="Q22" s="1136">
        <v>0</v>
      </c>
      <c r="R22" s="1232"/>
    </row>
    <row r="23" spans="1:18" s="1222" customFormat="1" x14ac:dyDescent="0.3">
      <c r="A23" s="1225"/>
      <c r="B23" s="1241" t="s">
        <v>945</v>
      </c>
      <c r="C23" s="1241" t="s">
        <v>1165</v>
      </c>
      <c r="D23" s="1246"/>
      <c r="E23" s="1240" t="s">
        <v>918</v>
      </c>
      <c r="F23" s="1241" t="s">
        <v>1108</v>
      </c>
      <c r="G23" s="1244" t="s">
        <v>944</v>
      </c>
      <c r="H23" s="1244" t="s">
        <v>923</v>
      </c>
      <c r="I23" s="1159">
        <f>MAX(O23:Q23)-MIN(O23:Q23)</f>
        <v>30.015244754295338</v>
      </c>
      <c r="J23" s="1241" t="s">
        <v>977</v>
      </c>
      <c r="K23" s="1235"/>
      <c r="L23" s="1240" t="s">
        <v>937</v>
      </c>
      <c r="M23" s="1241" t="s">
        <v>1109</v>
      </c>
      <c r="N23" s="1232"/>
      <c r="O23" s="1160">
        <v>0</v>
      </c>
      <c r="P23" s="1136">
        <f xml:space="preserve"> ABS(EITI_Rev!F$64)</f>
        <v>30.015244754295338</v>
      </c>
      <c r="Q23" s="1136">
        <v>0</v>
      </c>
      <c r="R23" s="1232"/>
    </row>
    <row r="24" spans="1:18" s="1222" customFormat="1" x14ac:dyDescent="0.3">
      <c r="A24" s="1225"/>
      <c r="B24" s="1241" t="s">
        <v>946</v>
      </c>
      <c r="C24" s="1241" t="s">
        <v>947</v>
      </c>
      <c r="D24" s="1246"/>
      <c r="E24" s="1240" t="s">
        <v>931</v>
      </c>
      <c r="F24" s="1241" t="s">
        <v>1110</v>
      </c>
      <c r="G24" s="1244" t="s">
        <v>944</v>
      </c>
      <c r="H24" s="1244" t="s">
        <v>923</v>
      </c>
      <c r="I24" s="1159">
        <f>MAX(O24:Q24)-MIN(O24:Q24)</f>
        <v>71.016823769486365</v>
      </c>
      <c r="J24" s="1241" t="s">
        <v>977</v>
      </c>
      <c r="K24" s="1235"/>
      <c r="L24" s="1240" t="s">
        <v>934</v>
      </c>
      <c r="M24" s="1241" t="s">
        <v>1111</v>
      </c>
      <c r="N24" s="1232"/>
      <c r="O24" s="1160">
        <v>0</v>
      </c>
      <c r="P24" s="1265">
        <f xml:space="preserve"> ABS(EITI_Rev!F$75)</f>
        <v>71.016823769486365</v>
      </c>
      <c r="Q24" s="1136">
        <v>0</v>
      </c>
      <c r="R24" s="1232"/>
    </row>
    <row r="25" spans="1:18" s="1222" customFormat="1" x14ac:dyDescent="0.3">
      <c r="A25" s="1225"/>
      <c r="B25" s="1241" t="s">
        <v>948</v>
      </c>
      <c r="C25" s="1241" t="s">
        <v>949</v>
      </c>
      <c r="D25" s="1246"/>
      <c r="E25" s="1240" t="s">
        <v>925</v>
      </c>
      <c r="F25" s="1263" t="s">
        <v>1104</v>
      </c>
      <c r="G25" s="1244"/>
      <c r="H25" s="1244"/>
      <c r="I25" s="1159"/>
      <c r="J25" s="1241"/>
      <c r="K25" s="1235"/>
      <c r="L25" s="1240"/>
      <c r="M25" s="1241"/>
      <c r="N25" s="1232"/>
      <c r="O25" s="1160"/>
      <c r="P25" s="1136"/>
      <c r="Q25" s="1136"/>
      <c r="R25" s="1232"/>
    </row>
    <row r="26" spans="1:18" s="1222" customFormat="1" x14ac:dyDescent="0.3">
      <c r="A26" s="1225"/>
      <c r="B26" s="1241" t="s">
        <v>950</v>
      </c>
      <c r="C26" s="1241" t="s">
        <v>1112</v>
      </c>
      <c r="D26" s="1246"/>
      <c r="E26" s="1240" t="s">
        <v>925</v>
      </c>
      <c r="F26" s="1241" t="s">
        <v>1113</v>
      </c>
      <c r="G26" s="1244" t="s">
        <v>944</v>
      </c>
      <c r="H26" s="1244" t="s">
        <v>923</v>
      </c>
      <c r="I26" s="1159">
        <f>MAX(O26:Q26)-MIN(O26:Q26)</f>
        <v>194.24595140484439</v>
      </c>
      <c r="J26" s="1241" t="s">
        <v>1094</v>
      </c>
      <c r="K26" s="1235"/>
      <c r="L26" s="1240" t="s">
        <v>924</v>
      </c>
      <c r="M26" s="1241" t="s">
        <v>1114</v>
      </c>
      <c r="N26" s="1232"/>
      <c r="O26" s="1160">
        <v>0</v>
      </c>
      <c r="P26" s="1136">
        <f xml:space="preserve"> COMMUS_Model!F$993</f>
        <v>194.24595140484439</v>
      </c>
      <c r="Q26" s="1136">
        <v>0</v>
      </c>
      <c r="R26" s="1232"/>
    </row>
    <row r="27" spans="1:18" s="1222" customFormat="1" x14ac:dyDescent="0.3">
      <c r="A27" s="1225"/>
      <c r="B27" s="1241" t="s">
        <v>951</v>
      </c>
      <c r="C27" s="1241" t="s">
        <v>1128</v>
      </c>
      <c r="D27" s="1246"/>
      <c r="E27" s="1240" t="s">
        <v>925</v>
      </c>
      <c r="F27" s="1241" t="s">
        <v>1115</v>
      </c>
      <c r="G27" s="1244" t="s">
        <v>944</v>
      </c>
      <c r="H27" s="1244" t="s">
        <v>923</v>
      </c>
      <c r="I27" s="1159">
        <f>MAX(O27:Q27)-MIN(O27:Q27)</f>
        <v>78.709093102738962</v>
      </c>
      <c r="J27" s="1241" t="s">
        <v>1094</v>
      </c>
      <c r="K27" s="1235"/>
      <c r="L27" s="1240" t="s">
        <v>937</v>
      </c>
      <c r="M27" s="1241" t="s">
        <v>1116</v>
      </c>
      <c r="N27" s="1232"/>
      <c r="O27" s="1160"/>
      <c r="P27" s="1136">
        <f xml:space="preserve"> Scenarios!I$119</f>
        <v>1964.9084420471497</v>
      </c>
      <c r="Q27" s="1136">
        <f xml:space="preserve"> Scenarios!J$119</f>
        <v>2043.6175351498887</v>
      </c>
      <c r="R27" s="1232"/>
    </row>
    <row r="28" spans="1:18" s="1222" customFormat="1" ht="15" thickBot="1" x14ac:dyDescent="0.35">
      <c r="A28" s="1249"/>
      <c r="B28" s="1250" t="s">
        <v>952</v>
      </c>
      <c r="C28" s="1250" t="s">
        <v>953</v>
      </c>
      <c r="D28" s="1251"/>
      <c r="E28" s="1252" t="s">
        <v>925</v>
      </c>
      <c r="F28" s="1262" t="s">
        <v>1125</v>
      </c>
      <c r="G28" s="1253"/>
      <c r="H28" s="1253"/>
      <c r="I28" s="1161"/>
      <c r="J28" s="1250"/>
      <c r="K28" s="1254"/>
      <c r="L28" s="1252"/>
      <c r="M28" s="1250"/>
      <c r="N28" s="1256"/>
      <c r="O28" s="1160"/>
      <c r="P28" s="1160"/>
      <c r="Q28" s="1160"/>
      <c r="R28" s="1256"/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F516FE-14FC-4FF4-B6FE-E1C9D3A90881}">
  <sheetPr codeName="Sheet7">
    <tabColor rgb="FFFFFF00"/>
  </sheetPr>
  <dimension ref="A1:T165"/>
  <sheetViews>
    <sheetView topLeftCell="A60" zoomScale="60" zoomScaleNormal="60" workbookViewId="0">
      <selection activeCell="H99" sqref="H99"/>
    </sheetView>
  </sheetViews>
  <sheetFormatPr defaultColWidth="9.33203125" defaultRowHeight="14.4" x14ac:dyDescent="0.3"/>
  <cols>
    <col min="1" max="1" width="9.33203125" style="14"/>
    <col min="2" max="2" width="51.33203125" style="14" customWidth="1"/>
    <col min="3" max="3" width="14.6640625" style="14" customWidth="1"/>
    <col min="4" max="6" width="16.5546875" style="14" customWidth="1"/>
    <col min="7" max="7" width="1.6640625" style="14" customWidth="1"/>
    <col min="8" max="19" width="12.6640625" style="14" customWidth="1"/>
    <col min="20" max="20" width="1.6640625" style="14" customWidth="1"/>
    <col min="21" max="21" width="9.33203125" style="14"/>
    <col min="22" max="22" width="50.6640625" style="14" customWidth="1"/>
    <col min="23" max="16384" width="9.33203125" style="14"/>
  </cols>
  <sheetData>
    <row r="1" spans="1:20" x14ac:dyDescent="0.3">
      <c r="A1" s="891"/>
      <c r="B1" s="891"/>
      <c r="C1" s="891"/>
      <c r="D1" s="891"/>
      <c r="E1" s="891"/>
      <c r="F1" s="891"/>
      <c r="G1" s="891"/>
      <c r="H1" s="891"/>
      <c r="I1" s="891"/>
      <c r="J1" s="891"/>
      <c r="K1" s="891"/>
      <c r="L1" s="891"/>
      <c r="M1" s="891"/>
      <c r="N1" s="891"/>
      <c r="O1" s="891"/>
      <c r="P1" s="891"/>
      <c r="Q1" s="891"/>
      <c r="R1" s="891"/>
      <c r="S1" s="891"/>
      <c r="T1" s="891"/>
    </row>
    <row r="2" spans="1:20" x14ac:dyDescent="0.3">
      <c r="C2" s="579">
        <f xml:space="preserve"> Track!F$80</f>
        <v>0</v>
      </c>
      <c r="D2" s="7" t="s">
        <v>0</v>
      </c>
      <c r="E2" s="7"/>
      <c r="F2" s="7"/>
    </row>
    <row r="3" spans="1:20" x14ac:dyDescent="0.3">
      <c r="C3" s="881">
        <f xml:space="preserve"> Track!F$3</f>
        <v>0</v>
      </c>
      <c r="D3" s="1204" t="str">
        <f xml:space="preserve"> Track!G$3</f>
        <v>Track chgs</v>
      </c>
      <c r="E3" s="9"/>
      <c r="F3" s="9"/>
    </row>
    <row r="4" spans="1:20" x14ac:dyDescent="0.3">
      <c r="G4" s="43"/>
      <c r="T4" s="43"/>
    </row>
    <row r="5" spans="1:20" x14ac:dyDescent="0.3">
      <c r="C5" s="14" t="s">
        <v>875</v>
      </c>
      <c r="D5" s="14" t="s">
        <v>876</v>
      </c>
      <c r="G5" s="43"/>
      <c r="H5" s="891" t="s">
        <v>877</v>
      </c>
      <c r="I5" s="891"/>
      <c r="J5" s="891"/>
      <c r="K5" s="891"/>
      <c r="L5" s="891"/>
      <c r="M5" s="891"/>
      <c r="N5" s="891"/>
      <c r="O5" s="891"/>
      <c r="P5" s="891"/>
      <c r="Q5" s="891"/>
      <c r="R5" s="891"/>
      <c r="S5" s="891"/>
      <c r="T5" s="43"/>
    </row>
    <row r="6" spans="1:20" x14ac:dyDescent="0.3">
      <c r="G6" s="43"/>
      <c r="H6" s="14">
        <f xml:space="preserve"> G6 + 1</f>
        <v>1</v>
      </c>
      <c r="I6" s="14">
        <f t="shared" ref="I6:S6" si="0" xml:space="preserve"> H6 + 1</f>
        <v>2</v>
      </c>
      <c r="J6" s="14">
        <f t="shared" si="0"/>
        <v>3</v>
      </c>
      <c r="K6" s="14">
        <f t="shared" si="0"/>
        <v>4</v>
      </c>
      <c r="L6" s="14">
        <f t="shared" si="0"/>
        <v>5</v>
      </c>
      <c r="M6" s="14">
        <f t="shared" si="0"/>
        <v>6</v>
      </c>
      <c r="N6" s="14">
        <f t="shared" si="0"/>
        <v>7</v>
      </c>
      <c r="O6" s="14">
        <f t="shared" si="0"/>
        <v>8</v>
      </c>
      <c r="P6" s="14">
        <f t="shared" si="0"/>
        <v>9</v>
      </c>
      <c r="Q6" s="14">
        <f t="shared" si="0"/>
        <v>10</v>
      </c>
      <c r="R6" s="14">
        <f t="shared" si="0"/>
        <v>11</v>
      </c>
      <c r="S6" s="14">
        <f t="shared" si="0"/>
        <v>12</v>
      </c>
      <c r="T6" s="43"/>
    </row>
    <row r="7" spans="1:20" ht="28.8" x14ac:dyDescent="0.3">
      <c r="B7" s="908" t="str">
        <f xml:space="preserve"> Dashboard!C$7</f>
        <v xml:space="preserve">Scenario </v>
      </c>
      <c r="C7" s="908" t="str">
        <f xml:space="preserve"> Dashboard!D$7</f>
        <v>Base</v>
      </c>
      <c r="D7" s="908" t="str">
        <f xml:space="preserve"> Dashboard!E$7</f>
        <v>selected</v>
      </c>
      <c r="E7" s="892"/>
      <c r="F7" s="892"/>
      <c r="G7" s="43"/>
      <c r="H7" s="893" t="s">
        <v>878</v>
      </c>
      <c r="I7" s="893" t="s">
        <v>879</v>
      </c>
      <c r="J7" s="893" t="s">
        <v>880</v>
      </c>
      <c r="K7" s="893" t="s">
        <v>963</v>
      </c>
      <c r="L7" s="893"/>
      <c r="M7" s="893"/>
      <c r="N7" s="893"/>
      <c r="O7" s="893"/>
      <c r="P7" s="893"/>
      <c r="Q7" s="893"/>
      <c r="R7" s="893"/>
      <c r="S7" s="893"/>
      <c r="T7" s="43"/>
    </row>
    <row r="8" spans="1:20" x14ac:dyDescent="0.3">
      <c r="C8" s="14">
        <v>2</v>
      </c>
      <c r="G8" s="43"/>
      <c r="T8" s="43"/>
    </row>
    <row r="9" spans="1:20" x14ac:dyDescent="0.3">
      <c r="B9" s="894" t="s">
        <v>881</v>
      </c>
      <c r="C9" s="894"/>
      <c r="D9" s="894"/>
      <c r="E9" s="894" t="s">
        <v>882</v>
      </c>
      <c r="F9" s="894"/>
      <c r="G9" s="894"/>
      <c r="H9" s="894"/>
      <c r="I9" s="894"/>
      <c r="J9" s="894"/>
      <c r="K9" s="894"/>
      <c r="L9" s="894"/>
      <c r="M9" s="894"/>
      <c r="N9" s="894"/>
      <c r="O9" s="894"/>
      <c r="P9" s="894"/>
      <c r="Q9" s="894"/>
      <c r="R9" s="894"/>
      <c r="S9" s="894"/>
      <c r="T9" s="43"/>
    </row>
    <row r="10" spans="1:20" x14ac:dyDescent="0.3">
      <c r="C10" s="895" t="s">
        <v>883</v>
      </c>
      <c r="G10" s="43"/>
      <c r="T10" s="43"/>
    </row>
    <row r="11" spans="1:20" s="37" customFormat="1" x14ac:dyDescent="0.3">
      <c r="B11" s="917" t="s">
        <v>499</v>
      </c>
      <c r="C11" s="918" t="str" cm="1">
        <f t="array" ref="C11" xml:space="preserve"> IF( E11 &lt;&gt; "sens", E11, INDEX(G11:T11, ,$C$8))</f>
        <v>IMF_WEO</v>
      </c>
      <c r="D11" s="919" t="s">
        <v>501</v>
      </c>
      <c r="E11" s="927" t="s">
        <v>884</v>
      </c>
      <c r="F11" s="909"/>
      <c r="G11" s="910"/>
      <c r="H11" s="932" t="s">
        <v>500</v>
      </c>
      <c r="I11" s="932" t="s">
        <v>500</v>
      </c>
      <c r="J11" s="932" t="s">
        <v>607</v>
      </c>
      <c r="K11" s="614" t="s">
        <v>500</v>
      </c>
      <c r="L11" s="911"/>
      <c r="M11" s="911"/>
      <c r="N11" s="911"/>
      <c r="O11" s="911"/>
      <c r="P11" s="911"/>
      <c r="Q11" s="911"/>
      <c r="R11" s="911"/>
      <c r="S11" s="911"/>
      <c r="T11" s="910"/>
    </row>
    <row r="12" spans="1:20" s="37" customFormat="1" x14ac:dyDescent="0.3">
      <c r="B12" s="521" t="s">
        <v>175</v>
      </c>
      <c r="C12" s="920" t="str" cm="1">
        <f t="array" ref="C12" xml:space="preserve"> IF( E12 &lt;&gt; "sens", E12, INDEX(G12:T12, ,$C$8))</f>
        <v>IMF_WEO</v>
      </c>
      <c r="D12" s="921" t="s">
        <v>501</v>
      </c>
      <c r="E12" s="652" t="s">
        <v>884</v>
      </c>
      <c r="F12" s="912"/>
      <c r="G12" s="913"/>
      <c r="H12" s="933" t="s">
        <v>500</v>
      </c>
      <c r="I12" s="933" t="s">
        <v>500</v>
      </c>
      <c r="J12" s="933" t="s">
        <v>500</v>
      </c>
      <c r="K12" s="614" t="s">
        <v>500</v>
      </c>
      <c r="L12" s="914"/>
      <c r="M12" s="914"/>
      <c r="N12" s="914"/>
      <c r="O12" s="914"/>
      <c r="P12" s="914"/>
      <c r="Q12" s="914"/>
      <c r="R12" s="914"/>
      <c r="S12" s="914"/>
      <c r="T12" s="913"/>
    </row>
    <row r="13" spans="1:20" s="37" customFormat="1" x14ac:dyDescent="0.3">
      <c r="B13" s="521" t="s">
        <v>502</v>
      </c>
      <c r="C13" s="922" t="str" cm="1">
        <f t="array" ref="C13" xml:space="preserve"> IF( E13 &lt;&gt; "sens", E13, INDEX(G13:T13, ,$C$8))</f>
        <v>SOM_Contract</v>
      </c>
      <c r="D13" s="921" t="s">
        <v>280</v>
      </c>
      <c r="E13" s="652" t="s">
        <v>884</v>
      </c>
      <c r="F13" s="912"/>
      <c r="G13" s="913"/>
      <c r="H13" s="934" t="s">
        <v>299</v>
      </c>
      <c r="I13" s="934" t="s">
        <v>625</v>
      </c>
      <c r="J13" s="934" t="s">
        <v>299</v>
      </c>
      <c r="K13" s="614" t="s">
        <v>625</v>
      </c>
      <c r="L13" s="896"/>
      <c r="M13" s="896"/>
      <c r="N13" s="896"/>
      <c r="O13" s="896"/>
      <c r="P13" s="896"/>
      <c r="Q13" s="896"/>
      <c r="R13" s="896"/>
      <c r="S13" s="896"/>
      <c r="T13" s="913"/>
    </row>
    <row r="14" spans="1:20" s="37" customFormat="1" x14ac:dyDescent="0.3">
      <c r="B14" s="521" t="s">
        <v>885</v>
      </c>
      <c r="C14" s="923" cm="1">
        <f t="array" ref="C14" xml:space="preserve"> IF( E14 &lt;&gt; "sens", E14, INDEX(G14:T14, ,$C$8))</f>
        <v>0.95</v>
      </c>
      <c r="D14" s="243" t="s">
        <v>34</v>
      </c>
      <c r="E14" s="652" t="s">
        <v>884</v>
      </c>
      <c r="F14" s="386"/>
      <c r="G14" s="913"/>
      <c r="H14" s="935">
        <v>0.95</v>
      </c>
      <c r="I14" s="935">
        <v>0.95</v>
      </c>
      <c r="J14" s="935">
        <v>0.95</v>
      </c>
      <c r="K14" s="509">
        <v>0.95</v>
      </c>
      <c r="L14" s="916"/>
      <c r="M14" s="916"/>
      <c r="N14" s="916"/>
      <c r="O14" s="916"/>
      <c r="P14" s="916"/>
      <c r="Q14" s="916"/>
      <c r="R14" s="916"/>
      <c r="S14" s="916"/>
      <c r="T14" s="913"/>
    </row>
    <row r="15" spans="1:20" s="37" customFormat="1" x14ac:dyDescent="0.3">
      <c r="B15" s="521" t="s">
        <v>503</v>
      </c>
      <c r="C15" s="922" t="str" cm="1">
        <f t="array" ref="C15" xml:space="preserve"> IF( E15 &lt;&gt; "sens", E15, INDEX(G15:T15, ,$C$8))</f>
        <v>SOM_Contract</v>
      </c>
      <c r="D15" s="921" t="s">
        <v>280</v>
      </c>
      <c r="E15" s="652" t="s">
        <v>884</v>
      </c>
      <c r="F15" s="912"/>
      <c r="G15" s="913"/>
      <c r="H15" s="934" t="s">
        <v>299</v>
      </c>
      <c r="I15" s="934" t="s">
        <v>625</v>
      </c>
      <c r="J15" s="934" t="s">
        <v>630</v>
      </c>
      <c r="K15" s="614" t="s">
        <v>625</v>
      </c>
      <c r="L15" s="896"/>
      <c r="M15" s="896"/>
      <c r="N15" s="896"/>
      <c r="O15" s="896"/>
      <c r="P15" s="896"/>
      <c r="Q15" s="896"/>
      <c r="R15" s="896"/>
      <c r="S15" s="896"/>
      <c r="T15" s="913"/>
    </row>
    <row r="16" spans="1:20" s="211" customFormat="1" x14ac:dyDescent="0.3">
      <c r="B16" s="521" t="s">
        <v>1027</v>
      </c>
      <c r="C16" s="1083" cm="1">
        <f t="array" ref="C16" xml:space="preserve"> IF( E16 &lt;&gt; "sens", E16, INDEX(G16:T16, ,$C$8))</f>
        <v>1</v>
      </c>
      <c r="D16" s="168" t="s">
        <v>160</v>
      </c>
      <c r="E16" s="652" t="s">
        <v>884</v>
      </c>
      <c r="F16" s="921"/>
      <c r="G16" s="938"/>
      <c r="H16" s="934">
        <v>1</v>
      </c>
      <c r="I16" s="934">
        <v>1</v>
      </c>
      <c r="J16" s="934">
        <v>1</v>
      </c>
      <c r="K16" s="934">
        <v>1</v>
      </c>
      <c r="L16" s="934"/>
      <c r="M16" s="934"/>
      <c r="N16" s="934"/>
      <c r="O16" s="934"/>
      <c r="P16" s="934"/>
      <c r="Q16" s="934"/>
      <c r="R16" s="934"/>
      <c r="S16" s="934"/>
      <c r="T16" s="938"/>
    </row>
    <row r="17" spans="2:20" s="211" customFormat="1" x14ac:dyDescent="0.3">
      <c r="B17" s="521" t="s">
        <v>1023</v>
      </c>
      <c r="C17" s="898" cm="1">
        <f t="array" ref="C17" xml:space="preserve"> IF( E17 &lt;&gt; "sens", E17, INDEX(G17:T17, ,$C$8))</f>
        <v>8.0000000000000002E-3</v>
      </c>
      <c r="D17" s="921" t="s">
        <v>34</v>
      </c>
      <c r="E17" s="652" t="s">
        <v>884</v>
      </c>
      <c r="F17" s="921"/>
      <c r="G17" s="938"/>
      <c r="H17" s="509">
        <v>8.0000000000000002E-3</v>
      </c>
      <c r="I17" s="509">
        <v>8.0000000000000002E-3</v>
      </c>
      <c r="J17" s="509">
        <v>8.0000000000000002E-3</v>
      </c>
      <c r="K17" s="509">
        <v>8.0000000000000002E-3</v>
      </c>
      <c r="L17" s="934"/>
      <c r="M17" s="934"/>
      <c r="N17" s="934"/>
      <c r="O17" s="934"/>
      <c r="P17" s="934"/>
      <c r="Q17" s="934"/>
      <c r="R17" s="934"/>
      <c r="S17" s="934"/>
      <c r="T17" s="938"/>
    </row>
    <row r="18" spans="2:20" s="211" customFormat="1" x14ac:dyDescent="0.3">
      <c r="B18" s="521" t="s">
        <v>886</v>
      </c>
      <c r="C18" s="898" cm="1">
        <f t="array" ref="C18" xml:space="preserve"> IF( E18 &lt;&gt; "sens", E18, INDEX(G18:T18, ,$C$8))</f>
        <v>0.9</v>
      </c>
      <c r="D18" s="921" t="s">
        <v>34</v>
      </c>
      <c r="E18" s="652" t="s">
        <v>884</v>
      </c>
      <c r="F18" s="921"/>
      <c r="G18" s="938"/>
      <c r="H18" s="900">
        <v>0.9</v>
      </c>
      <c r="I18" s="900">
        <v>0.9</v>
      </c>
      <c r="J18" s="900">
        <v>0.9</v>
      </c>
      <c r="K18" s="466">
        <v>0.9</v>
      </c>
      <c r="L18" s="900"/>
      <c r="M18" s="900"/>
      <c r="N18" s="900"/>
      <c r="O18" s="900"/>
      <c r="P18" s="900"/>
      <c r="Q18" s="900"/>
      <c r="R18" s="900"/>
      <c r="S18" s="900"/>
      <c r="T18" s="938"/>
    </row>
    <row r="19" spans="2:20" s="211" customFormat="1" x14ac:dyDescent="0.3">
      <c r="B19" s="521" t="s">
        <v>795</v>
      </c>
      <c r="C19" s="924" t="str" cm="1">
        <f t="array" ref="C19" xml:space="preserve"> IF( E19 &lt;&gt; "sens", E19, INDEX(G19:T19, ,$C$8))</f>
        <v>no</v>
      </c>
      <c r="D19" s="615" t="s">
        <v>280</v>
      </c>
      <c r="E19" s="652" t="s">
        <v>884</v>
      </c>
      <c r="F19" s="615"/>
      <c r="G19" s="938"/>
      <c r="H19" s="936" t="s">
        <v>887</v>
      </c>
      <c r="I19" s="936" t="s">
        <v>887</v>
      </c>
      <c r="J19" s="936" t="s">
        <v>887</v>
      </c>
      <c r="K19" s="466" t="s">
        <v>556</v>
      </c>
      <c r="L19" s="936"/>
      <c r="M19" s="936"/>
      <c r="N19" s="936"/>
      <c r="O19" s="936"/>
      <c r="P19" s="936"/>
      <c r="Q19" s="936"/>
      <c r="R19" s="936"/>
      <c r="S19" s="936"/>
      <c r="T19" s="938"/>
    </row>
    <row r="20" spans="2:20" s="211" customFormat="1" x14ac:dyDescent="0.3">
      <c r="B20" s="521" t="s">
        <v>888</v>
      </c>
      <c r="C20" s="923" cm="1">
        <f t="array" ref="C20" xml:space="preserve"> IF( E20 &lt;&gt; "sens", E20, INDEX(G20:T20, ,$C$8))</f>
        <v>0.7</v>
      </c>
      <c r="D20" s="921" t="s">
        <v>34</v>
      </c>
      <c r="E20" s="652" t="s">
        <v>884</v>
      </c>
      <c r="F20" s="921"/>
      <c r="G20" s="938"/>
      <c r="H20" s="935">
        <v>0.7</v>
      </c>
      <c r="I20" s="935">
        <v>0.7</v>
      </c>
      <c r="J20" s="935">
        <v>0.7</v>
      </c>
      <c r="K20" s="935">
        <v>0.7</v>
      </c>
      <c r="L20" s="935"/>
      <c r="M20" s="935"/>
      <c r="N20" s="935"/>
      <c r="O20" s="935"/>
      <c r="P20" s="935"/>
      <c r="Q20" s="935"/>
      <c r="R20" s="935"/>
      <c r="S20" s="935"/>
      <c r="T20" s="938"/>
    </row>
    <row r="21" spans="2:20" s="1084" customFormat="1" x14ac:dyDescent="0.3">
      <c r="B21" s="521" t="s">
        <v>889</v>
      </c>
      <c r="C21" s="923" cm="1">
        <f t="array" ref="C21" xml:space="preserve"> IF( E21 &lt;&gt; "sens", E21, INDEX(G21:T21, ,$C$8))</f>
        <v>0.5</v>
      </c>
      <c r="D21" s="921" t="s">
        <v>34</v>
      </c>
      <c r="E21" s="652" t="s">
        <v>884</v>
      </c>
      <c r="F21" s="921"/>
      <c r="G21" s="938"/>
      <c r="H21" s="935">
        <v>0.5</v>
      </c>
      <c r="I21" s="935">
        <v>0.5</v>
      </c>
      <c r="J21" s="935">
        <v>0.5</v>
      </c>
      <c r="K21" s="935">
        <v>0.5</v>
      </c>
      <c r="L21" s="935"/>
      <c r="M21" s="935"/>
      <c r="N21" s="935"/>
      <c r="O21" s="935"/>
      <c r="P21" s="935"/>
      <c r="Q21" s="935"/>
      <c r="R21" s="935"/>
      <c r="S21" s="935"/>
      <c r="T21" s="938"/>
    </row>
    <row r="22" spans="2:20" s="211" customFormat="1" x14ac:dyDescent="0.3">
      <c r="B22" s="50" t="s">
        <v>890</v>
      </c>
      <c r="C22" s="923" cm="1">
        <f t="array" ref="C22" xml:space="preserve"> IF( E22 &lt;&gt; "sens", E22, INDEX(G22:T22, ,$C$8))</f>
        <v>0.9</v>
      </c>
      <c r="D22" s="142" t="s">
        <v>34</v>
      </c>
      <c r="E22" s="652" t="s">
        <v>884</v>
      </c>
      <c r="F22" s="142"/>
      <c r="G22" s="938"/>
      <c r="H22" s="935">
        <v>0.9</v>
      </c>
      <c r="I22" s="935">
        <v>0.5</v>
      </c>
      <c r="J22" s="935">
        <v>0.9</v>
      </c>
      <c r="K22" s="935">
        <v>0.9</v>
      </c>
      <c r="L22" s="935"/>
      <c r="M22" s="935"/>
      <c r="N22" s="935"/>
      <c r="O22" s="935"/>
      <c r="P22" s="935"/>
      <c r="Q22" s="935"/>
      <c r="R22" s="935"/>
      <c r="S22" s="935"/>
      <c r="T22" s="938"/>
    </row>
    <row r="23" spans="2:20" s="211" customFormat="1" x14ac:dyDescent="0.3">
      <c r="B23" s="917" t="s">
        <v>505</v>
      </c>
      <c r="C23" s="925" cm="1">
        <f t="array" ref="C23" xml:space="preserve"> IF( E23 &lt;&gt; "sens", E23, INDEX(G23:T23, ,$C$8))</f>
        <v>1</v>
      </c>
      <c r="D23" s="926" t="s">
        <v>34</v>
      </c>
      <c r="E23" s="927" t="s">
        <v>884</v>
      </c>
      <c r="F23" s="926"/>
      <c r="G23" s="945"/>
      <c r="H23" s="930">
        <v>1</v>
      </c>
      <c r="I23" s="930">
        <v>1</v>
      </c>
      <c r="J23" s="930">
        <v>1</v>
      </c>
      <c r="K23" s="930">
        <v>1</v>
      </c>
      <c r="L23" s="930"/>
      <c r="M23" s="930"/>
      <c r="N23" s="930"/>
      <c r="O23" s="930"/>
      <c r="P23" s="930"/>
      <c r="Q23" s="930"/>
      <c r="R23" s="930"/>
      <c r="S23" s="930"/>
      <c r="T23" s="945"/>
    </row>
    <row r="24" spans="2:20" s="211" customFormat="1" x14ac:dyDescent="0.3">
      <c r="B24" s="521" t="s">
        <v>506</v>
      </c>
      <c r="C24" s="923" cm="1">
        <f t="array" ref="C24" xml:space="preserve"> IF( E24 &lt;&gt; "sens", E24, INDEX(G24:T24, ,$C$8))</f>
        <v>1</v>
      </c>
      <c r="D24" s="36" t="s">
        <v>34</v>
      </c>
      <c r="E24" s="652" t="s">
        <v>884</v>
      </c>
      <c r="F24" s="36"/>
      <c r="G24" s="938"/>
      <c r="H24" s="935">
        <v>1</v>
      </c>
      <c r="I24" s="935">
        <v>1</v>
      </c>
      <c r="J24" s="935">
        <v>1</v>
      </c>
      <c r="K24" s="935">
        <v>1</v>
      </c>
      <c r="L24" s="935"/>
      <c r="M24" s="935"/>
      <c r="N24" s="935"/>
      <c r="O24" s="935"/>
      <c r="P24" s="935"/>
      <c r="Q24" s="935"/>
      <c r="R24" s="935"/>
      <c r="S24" s="935"/>
      <c r="T24" s="938"/>
    </row>
    <row r="25" spans="2:20" s="211" customFormat="1" x14ac:dyDescent="0.3">
      <c r="B25" s="50" t="s">
        <v>507</v>
      </c>
      <c r="C25" s="923" cm="1">
        <f t="array" ref="C25" xml:space="preserve"> IF( E25 &lt;&gt; "sens", E25, INDEX(G25:T25, ,$C$8))</f>
        <v>1</v>
      </c>
      <c r="D25" s="36" t="s">
        <v>34</v>
      </c>
      <c r="E25" s="652" t="s">
        <v>884</v>
      </c>
      <c r="F25" s="36"/>
      <c r="G25" s="938"/>
      <c r="H25" s="935">
        <v>1</v>
      </c>
      <c r="I25" s="935">
        <v>1</v>
      </c>
      <c r="J25" s="935">
        <v>1</v>
      </c>
      <c r="K25" s="935">
        <v>1</v>
      </c>
      <c r="L25" s="935"/>
      <c r="M25" s="935"/>
      <c r="N25" s="935"/>
      <c r="O25" s="935"/>
      <c r="P25" s="935"/>
      <c r="Q25" s="935"/>
      <c r="R25" s="935"/>
      <c r="S25" s="935"/>
      <c r="T25" s="938"/>
    </row>
    <row r="26" spans="2:20" s="211" customFormat="1" x14ac:dyDescent="0.3">
      <c r="B26" s="50" t="s">
        <v>508</v>
      </c>
      <c r="C26" s="923" cm="1">
        <f t="array" ref="C26" xml:space="preserve"> IF( E26 &lt;&gt; "sens", E26, INDEX(G26:T26, ,$C$8))</f>
        <v>1</v>
      </c>
      <c r="D26" s="36" t="s">
        <v>34</v>
      </c>
      <c r="E26" s="652" t="s">
        <v>884</v>
      </c>
      <c r="F26" s="36"/>
      <c r="G26" s="938"/>
      <c r="H26" s="935">
        <v>1</v>
      </c>
      <c r="I26" s="935">
        <v>1</v>
      </c>
      <c r="J26" s="935">
        <v>1</v>
      </c>
      <c r="K26" s="935">
        <v>1</v>
      </c>
      <c r="L26" s="935"/>
      <c r="M26" s="935"/>
      <c r="N26" s="935"/>
      <c r="O26" s="935"/>
      <c r="P26" s="935"/>
      <c r="Q26" s="935"/>
      <c r="R26" s="935"/>
      <c r="S26" s="935"/>
      <c r="T26" s="938"/>
    </row>
    <row r="27" spans="2:20" s="211" customFormat="1" x14ac:dyDescent="0.3">
      <c r="B27" s="521" t="s">
        <v>891</v>
      </c>
      <c r="C27" s="923" cm="1">
        <f t="array" ref="C27" xml:space="preserve"> IF( E27 &lt;&gt; "sens", E27, INDEX(G27:T27, ,$C$8))</f>
        <v>1</v>
      </c>
      <c r="D27" s="615" t="s">
        <v>34</v>
      </c>
      <c r="E27" s="652" t="s">
        <v>884</v>
      </c>
      <c r="F27" s="615"/>
      <c r="G27" s="938"/>
      <c r="H27" s="935">
        <v>1</v>
      </c>
      <c r="I27" s="935">
        <v>1</v>
      </c>
      <c r="J27" s="935">
        <v>1</v>
      </c>
      <c r="K27" s="935">
        <v>1</v>
      </c>
      <c r="L27" s="935"/>
      <c r="M27" s="935"/>
      <c r="N27" s="935"/>
      <c r="O27" s="935"/>
      <c r="P27" s="935"/>
      <c r="Q27" s="935"/>
      <c r="R27" s="935"/>
      <c r="S27" s="935"/>
      <c r="T27" s="938"/>
    </row>
    <row r="28" spans="2:20" s="1193" customFormat="1" x14ac:dyDescent="0.3">
      <c r="B28" s="1190" t="s">
        <v>1140</v>
      </c>
      <c r="C28" s="1196" t="str" cm="1">
        <f t="array" ref="C28" xml:space="preserve"> IF( E28 &lt;&gt; "sens", E28, INDEX(G28:T28, ,$C$8))</f>
        <v>FS</v>
      </c>
      <c r="D28" s="1198" t="s">
        <v>280</v>
      </c>
      <c r="E28" s="927" t="s">
        <v>884</v>
      </c>
      <c r="F28" s="1191"/>
      <c r="G28" s="945"/>
      <c r="H28" s="932" t="s">
        <v>552</v>
      </c>
      <c r="I28" s="932" t="s">
        <v>552</v>
      </c>
      <c r="J28" s="932" t="s">
        <v>552</v>
      </c>
      <c r="K28" s="932" t="s">
        <v>552</v>
      </c>
      <c r="L28" s="930"/>
      <c r="M28" s="930"/>
      <c r="N28" s="930"/>
      <c r="O28" s="930"/>
      <c r="P28" s="930"/>
      <c r="Q28" s="930"/>
      <c r="R28" s="930"/>
      <c r="S28" s="930"/>
      <c r="T28" s="945"/>
    </row>
    <row r="29" spans="2:20" s="1193" customFormat="1" x14ac:dyDescent="0.3">
      <c r="B29" s="168" t="s">
        <v>1143</v>
      </c>
      <c r="C29" s="1197" t="str" cm="1">
        <f t="array" ref="C29" xml:space="preserve"> IF( E29 &lt;&gt; "sens", E29, INDEX(G29:T29, ,$C$8))</f>
        <v>FS</v>
      </c>
      <c r="D29" s="470" t="s">
        <v>280</v>
      </c>
      <c r="E29" s="1194" t="s">
        <v>884</v>
      </c>
      <c r="F29" s="1195"/>
      <c r="G29" s="1192"/>
      <c r="H29" s="933" t="s">
        <v>552</v>
      </c>
      <c r="I29" s="933" t="s">
        <v>552</v>
      </c>
      <c r="J29" s="933" t="s">
        <v>552</v>
      </c>
      <c r="K29" s="933" t="s">
        <v>552</v>
      </c>
      <c r="L29" s="935"/>
      <c r="M29" s="935"/>
      <c r="N29" s="935"/>
      <c r="O29" s="935"/>
      <c r="P29" s="935"/>
      <c r="Q29" s="935"/>
      <c r="R29" s="935"/>
      <c r="S29" s="935"/>
      <c r="T29" s="1192"/>
    </row>
    <row r="30" spans="2:20" s="1193" customFormat="1" x14ac:dyDescent="0.3">
      <c r="B30" s="168" t="s">
        <v>1144</v>
      </c>
      <c r="C30" s="1197" t="str" cm="1">
        <f t="array" ref="C30" xml:space="preserve"> IF( E30 &lt;&gt; "sens", E30, INDEX(G30:T30, ,$C$8))</f>
        <v>FS</v>
      </c>
      <c r="D30" s="470" t="s">
        <v>280</v>
      </c>
      <c r="E30" s="1194" t="s">
        <v>884</v>
      </c>
      <c r="F30" s="1195"/>
      <c r="G30" s="1192"/>
      <c r="H30" s="933" t="s">
        <v>552</v>
      </c>
      <c r="I30" s="933" t="s">
        <v>552</v>
      </c>
      <c r="J30" s="933" t="s">
        <v>552</v>
      </c>
      <c r="K30" s="933" t="s">
        <v>552</v>
      </c>
      <c r="L30" s="935"/>
      <c r="M30" s="935"/>
      <c r="N30" s="935"/>
      <c r="O30" s="935"/>
      <c r="P30" s="935"/>
      <c r="Q30" s="935"/>
      <c r="R30" s="935"/>
      <c r="S30" s="935"/>
      <c r="T30" s="1192"/>
    </row>
    <row r="31" spans="2:20" s="1193" customFormat="1" x14ac:dyDescent="0.3">
      <c r="B31" s="168" t="s">
        <v>1139</v>
      </c>
      <c r="C31" s="1197" t="str" cm="1">
        <f t="array" ref="C31" xml:space="preserve"> IF( E31 &lt;&gt; "sens", E31, INDEX(G31:T31, ,$C$8))</f>
        <v>Calculated</v>
      </c>
      <c r="D31" s="470" t="s">
        <v>280</v>
      </c>
      <c r="E31" s="1194" t="s">
        <v>884</v>
      </c>
      <c r="F31" s="1195"/>
      <c r="G31" s="1192"/>
      <c r="H31" s="933" t="s">
        <v>1064</v>
      </c>
      <c r="I31" s="933" t="s">
        <v>1064</v>
      </c>
      <c r="J31" s="933" t="s">
        <v>1064</v>
      </c>
      <c r="K31" s="933" t="s">
        <v>1064</v>
      </c>
      <c r="L31" s="935"/>
      <c r="M31" s="935"/>
      <c r="N31" s="935"/>
      <c r="O31" s="935"/>
      <c r="P31" s="935"/>
      <c r="Q31" s="935"/>
      <c r="R31" s="935"/>
      <c r="S31" s="935"/>
      <c r="T31" s="1192"/>
    </row>
    <row r="32" spans="2:20" s="211" customFormat="1" x14ac:dyDescent="0.3">
      <c r="B32" s="941" t="s">
        <v>806</v>
      </c>
      <c r="C32" s="942" cm="1">
        <f t="array" ref="C32" xml:space="preserve"> IF( E32 &lt;&gt; "sens", E32, INDEX(G32:T32, ,$C$8))</f>
        <v>7</v>
      </c>
      <c r="D32" s="943" t="s">
        <v>124</v>
      </c>
      <c r="E32" s="944" t="s">
        <v>884</v>
      </c>
      <c r="F32" s="943"/>
      <c r="G32" s="945"/>
      <c r="H32" s="946">
        <v>7</v>
      </c>
      <c r="I32" s="946">
        <v>7</v>
      </c>
      <c r="J32" s="946">
        <v>7</v>
      </c>
      <c r="K32" s="946">
        <v>7</v>
      </c>
      <c r="L32" s="946"/>
      <c r="M32" s="946"/>
      <c r="N32" s="946"/>
      <c r="O32" s="946"/>
      <c r="P32" s="946"/>
      <c r="Q32" s="946"/>
      <c r="R32" s="946"/>
      <c r="S32" s="946"/>
      <c r="T32" s="945"/>
    </row>
    <row r="33" spans="2:20" s="211" customFormat="1" x14ac:dyDescent="0.3">
      <c r="B33" s="467" t="s">
        <v>1033</v>
      </c>
      <c r="C33" s="1073" cm="1">
        <f t="array" ref="C33" xml:space="preserve"> IF( E33 &lt;&gt; "sens", E33, INDEX(G33:T33, ,$C$8))</f>
        <v>0</v>
      </c>
      <c r="D33" s="465" t="s">
        <v>34</v>
      </c>
      <c r="E33" s="703" t="s">
        <v>884</v>
      </c>
      <c r="F33" s="1071"/>
      <c r="G33" s="1085"/>
      <c r="H33" s="1086">
        <v>0</v>
      </c>
      <c r="I33" s="1086">
        <v>0.02</v>
      </c>
      <c r="J33" s="1086">
        <v>0.02</v>
      </c>
      <c r="K33" s="1086">
        <v>0</v>
      </c>
      <c r="L33" s="1072"/>
      <c r="M33" s="1072"/>
      <c r="N33" s="1072"/>
      <c r="O33" s="1072"/>
      <c r="P33" s="1072"/>
      <c r="Q33" s="1072"/>
      <c r="R33" s="1072"/>
      <c r="S33" s="1072"/>
      <c r="T33" s="938"/>
    </row>
    <row r="34" spans="2:20" s="37" customFormat="1" x14ac:dyDescent="0.3">
      <c r="B34" s="50" t="s">
        <v>892</v>
      </c>
      <c r="C34" s="902" cm="1">
        <f t="array" ref="C34" xml:space="preserve"> IF( E34 &lt;&gt; "sens", E34, INDEX(G34:T34, ,$C$8))</f>
        <v>1</v>
      </c>
      <c r="D34" s="467" t="s">
        <v>160</v>
      </c>
      <c r="E34" s="901" t="s">
        <v>884</v>
      </c>
      <c r="F34" s="467"/>
      <c r="G34" s="938"/>
      <c r="H34" s="904">
        <v>1</v>
      </c>
      <c r="I34" s="904">
        <v>1</v>
      </c>
      <c r="J34" s="904">
        <v>1</v>
      </c>
      <c r="K34" s="904">
        <v>1</v>
      </c>
      <c r="L34" s="939"/>
      <c r="M34" s="939"/>
      <c r="N34" s="939"/>
      <c r="O34" s="939"/>
      <c r="P34" s="939"/>
      <c r="Q34" s="939"/>
      <c r="R34" s="939"/>
      <c r="S34" s="939"/>
      <c r="T34" s="913"/>
    </row>
    <row r="35" spans="2:20" s="211" customFormat="1" x14ac:dyDescent="0.3">
      <c r="B35" s="50" t="s">
        <v>969</v>
      </c>
      <c r="C35" s="1183" t="str" cm="1">
        <f t="array" ref="C35" xml:space="preserve"> IF( E35 &lt;&gt; "sens", E35, INDEX(G35:T35, ,$C$8))</f>
        <v>no</v>
      </c>
      <c r="D35" s="467" t="s">
        <v>280</v>
      </c>
      <c r="E35" s="901" t="s">
        <v>884</v>
      </c>
      <c r="F35" s="467"/>
      <c r="G35" s="938"/>
      <c r="H35" s="1182" t="s">
        <v>887</v>
      </c>
      <c r="I35" s="1182" t="s">
        <v>887</v>
      </c>
      <c r="J35" s="1182" t="s">
        <v>887</v>
      </c>
      <c r="K35" s="1182" t="s">
        <v>887</v>
      </c>
      <c r="L35" s="904"/>
      <c r="M35" s="904"/>
      <c r="N35" s="904"/>
      <c r="O35" s="904"/>
      <c r="P35" s="904"/>
      <c r="Q35" s="904"/>
      <c r="R35" s="904"/>
      <c r="S35" s="904"/>
      <c r="T35" s="938"/>
    </row>
    <row r="36" spans="2:20" s="211" customFormat="1" x14ac:dyDescent="0.3">
      <c r="B36" s="50" t="s">
        <v>1091</v>
      </c>
      <c r="C36" s="1183" t="str" cm="1">
        <f t="array" ref="C36" xml:space="preserve"> IF( E36 &lt;&gt; "sens", E36, INDEX(G36:T36, ,$C$8))</f>
        <v>FS</v>
      </c>
      <c r="D36" s="467" t="s">
        <v>280</v>
      </c>
      <c r="E36" s="901" t="s">
        <v>884</v>
      </c>
      <c r="F36" s="467"/>
      <c r="G36" s="938"/>
      <c r="H36" s="1182" t="s">
        <v>552</v>
      </c>
      <c r="I36" s="1182" t="s">
        <v>552</v>
      </c>
      <c r="J36" s="1182" t="s">
        <v>552</v>
      </c>
      <c r="K36" s="1182" t="s">
        <v>552</v>
      </c>
      <c r="L36" s="904"/>
      <c r="M36" s="904"/>
      <c r="N36" s="904"/>
      <c r="O36" s="904"/>
      <c r="P36" s="904"/>
      <c r="Q36" s="904"/>
      <c r="R36" s="904"/>
      <c r="S36" s="904"/>
      <c r="T36" s="938"/>
    </row>
    <row r="37" spans="2:20" s="211" customFormat="1" x14ac:dyDescent="0.3">
      <c r="B37" s="50" t="s">
        <v>720</v>
      </c>
      <c r="C37" s="947" cm="1">
        <f t="array" ref="C37" xml:space="preserve"> IF( E37 &lt;&gt; "sens", E37, INDEX(G37:T37, ,$C$8))</f>
        <v>1</v>
      </c>
      <c r="D37" s="36" t="s">
        <v>160</v>
      </c>
      <c r="E37" s="938" t="s">
        <v>884</v>
      </c>
      <c r="G37" s="938"/>
      <c r="H37" s="948">
        <v>1</v>
      </c>
      <c r="I37" s="948">
        <v>1</v>
      </c>
      <c r="J37" s="948">
        <v>1</v>
      </c>
      <c r="K37" s="948">
        <v>1</v>
      </c>
      <c r="L37" s="948"/>
      <c r="M37" s="948"/>
      <c r="N37" s="948"/>
      <c r="O37" s="948"/>
      <c r="P37" s="948"/>
      <c r="Q37" s="948"/>
      <c r="R37" s="948"/>
      <c r="S37" s="948"/>
      <c r="T37" s="938"/>
    </row>
    <row r="38" spans="2:20" s="211" customFormat="1" x14ac:dyDescent="0.3">
      <c r="B38" s="521" t="s">
        <v>521</v>
      </c>
      <c r="C38" s="898" cm="1">
        <f t="array" ref="C38" xml:space="preserve"> IF( E38 &lt;&gt; "sens", E38, INDEX(G38:T38, ,$C$8))</f>
        <v>0.1</v>
      </c>
      <c r="D38" s="243" t="s">
        <v>34</v>
      </c>
      <c r="E38" s="899" t="s">
        <v>884</v>
      </c>
      <c r="F38" s="243"/>
      <c r="G38" s="938"/>
      <c r="H38" s="900">
        <v>0.1</v>
      </c>
      <c r="I38" s="900">
        <v>0.1</v>
      </c>
      <c r="J38" s="900">
        <v>0.1</v>
      </c>
      <c r="K38" s="900">
        <v>0.1</v>
      </c>
      <c r="L38" s="900"/>
      <c r="M38" s="900"/>
      <c r="N38" s="900"/>
      <c r="O38" s="900"/>
      <c r="P38" s="900"/>
      <c r="Q38" s="900"/>
      <c r="R38" s="900"/>
      <c r="S38" s="900"/>
      <c r="T38" s="938"/>
    </row>
    <row r="39" spans="2:20" s="211" customFormat="1" x14ac:dyDescent="0.3">
      <c r="B39" s="521" t="s">
        <v>239</v>
      </c>
      <c r="C39" s="898" cm="1">
        <f t="array" ref="C39" xml:space="preserve"> IF( E39 &lt;&gt; "sens", E39, INDEX(G39:T39, ,$C$8))</f>
        <v>0.1</v>
      </c>
      <c r="D39" s="467" t="s">
        <v>34</v>
      </c>
      <c r="E39" s="901" t="s">
        <v>884</v>
      </c>
      <c r="F39" s="467"/>
      <c r="G39" s="938"/>
      <c r="H39" s="900">
        <v>0.1</v>
      </c>
      <c r="I39" s="900">
        <v>0.1</v>
      </c>
      <c r="J39" s="900">
        <v>0.1</v>
      </c>
      <c r="K39" s="900">
        <v>0.1</v>
      </c>
      <c r="L39" s="900"/>
      <c r="M39" s="900"/>
      <c r="N39" s="900"/>
      <c r="O39" s="900"/>
      <c r="P39" s="900"/>
      <c r="Q39" s="900"/>
      <c r="R39" s="900"/>
      <c r="S39" s="900"/>
      <c r="T39" s="938"/>
    </row>
    <row r="40" spans="2:20" s="211" customFormat="1" x14ac:dyDescent="0.3">
      <c r="B40" s="521" t="s">
        <v>970</v>
      </c>
      <c r="C40" s="898" cm="1">
        <f t="array" ref="C40" xml:space="preserve"> IF( E40 &lt;&gt; "sens", E40, INDEX(G40:T40, ,$C$8))</f>
        <v>0.14000000000000001</v>
      </c>
      <c r="D40" s="467" t="s">
        <v>34</v>
      </c>
      <c r="E40" s="901" t="s">
        <v>884</v>
      </c>
      <c r="F40" s="467"/>
      <c r="G40" s="938"/>
      <c r="H40" s="900">
        <v>0.14000000000000001</v>
      </c>
      <c r="I40" s="900">
        <v>0.14000000000000001</v>
      </c>
      <c r="J40" s="900">
        <v>0.14000000000000001</v>
      </c>
      <c r="K40" s="900">
        <v>0.14000000000000001</v>
      </c>
      <c r="L40" s="900"/>
      <c r="M40" s="900"/>
      <c r="N40" s="900"/>
      <c r="O40" s="900"/>
      <c r="P40" s="900"/>
      <c r="Q40" s="900"/>
      <c r="R40" s="900"/>
      <c r="S40" s="900"/>
      <c r="T40" s="938"/>
    </row>
    <row r="41" spans="2:20" s="37" customFormat="1" x14ac:dyDescent="0.3">
      <c r="B41" s="50" t="s">
        <v>728</v>
      </c>
      <c r="C41" s="947" cm="1">
        <f t="array" ref="C41" xml:space="preserve"> IF( E41 &lt;&gt; "sens", E41, INDEX(G41:T41, ,$C$8))</f>
        <v>1</v>
      </c>
      <c r="D41" s="36" t="s">
        <v>160</v>
      </c>
      <c r="E41" s="938" t="s">
        <v>884</v>
      </c>
      <c r="F41" s="211"/>
      <c r="G41" s="938"/>
      <c r="H41" s="948">
        <v>1</v>
      </c>
      <c r="I41" s="948">
        <v>1</v>
      </c>
      <c r="J41" s="948">
        <v>1</v>
      </c>
      <c r="K41" s="948">
        <v>1</v>
      </c>
      <c r="L41" s="940"/>
      <c r="M41" s="940"/>
      <c r="N41" s="940"/>
      <c r="O41" s="940"/>
      <c r="P41" s="940"/>
      <c r="Q41" s="940"/>
      <c r="R41" s="940"/>
      <c r="S41" s="940"/>
      <c r="T41" s="913"/>
    </row>
    <row r="42" spans="2:20" s="211" customFormat="1" x14ac:dyDescent="0.3">
      <c r="B42" s="36" t="s">
        <v>233</v>
      </c>
      <c r="C42" s="898" cm="1">
        <f t="array" ref="C42" xml:space="preserve"> IF( E42 &lt;&gt; "sens", E42, INDEX(G42:T42, ,$C$8))</f>
        <v>0.33</v>
      </c>
      <c r="D42" s="467" t="s">
        <v>34</v>
      </c>
      <c r="E42" s="938" t="s">
        <v>884</v>
      </c>
      <c r="G42" s="938"/>
      <c r="H42" s="1130">
        <v>0.33</v>
      </c>
      <c r="I42" s="1130">
        <v>0.33</v>
      </c>
      <c r="J42" s="1130">
        <v>0.33</v>
      </c>
      <c r="K42" s="1130">
        <v>0.33</v>
      </c>
      <c r="L42" s="948"/>
      <c r="M42" s="948"/>
      <c r="N42" s="948"/>
      <c r="O42" s="948"/>
      <c r="P42" s="948"/>
      <c r="Q42" s="948"/>
      <c r="R42" s="948"/>
      <c r="S42" s="948"/>
      <c r="T42" s="938"/>
    </row>
    <row r="43" spans="2:20" s="37" customFormat="1" x14ac:dyDescent="0.3">
      <c r="B43" s="521" t="s">
        <v>823</v>
      </c>
      <c r="C43" s="902" cm="1">
        <f t="array" ref="C43" xml:space="preserve"> IF( E43 &lt;&gt; "sens", E43, INDEX(G43:T43, ,$C$8))</f>
        <v>1</v>
      </c>
      <c r="D43" s="834" t="s">
        <v>160</v>
      </c>
      <c r="E43" s="903" t="s">
        <v>884</v>
      </c>
      <c r="F43" s="834"/>
      <c r="G43" s="938"/>
      <c r="H43" s="904">
        <v>1</v>
      </c>
      <c r="I43" s="904">
        <v>1</v>
      </c>
      <c r="J43" s="904">
        <v>1</v>
      </c>
      <c r="K43" s="904">
        <v>1</v>
      </c>
      <c r="L43" s="939"/>
      <c r="M43" s="939"/>
      <c r="N43" s="939"/>
      <c r="O43" s="939"/>
      <c r="P43" s="939"/>
      <c r="Q43" s="939"/>
      <c r="R43" s="939"/>
      <c r="S43" s="939"/>
      <c r="T43" s="913"/>
    </row>
    <row r="44" spans="2:20" s="37" customFormat="1" x14ac:dyDescent="0.3">
      <c r="B44" s="521" t="s">
        <v>824</v>
      </c>
      <c r="C44" s="902" cm="1">
        <f t="array" ref="C44" xml:space="preserve"> IF( E44 &lt;&gt; "sens", E44, INDEX(G44:T44, ,$C$8))</f>
        <v>1</v>
      </c>
      <c r="D44" s="834" t="s">
        <v>160</v>
      </c>
      <c r="E44" s="903" t="s">
        <v>884</v>
      </c>
      <c r="F44" s="834"/>
      <c r="G44" s="938"/>
      <c r="H44" s="1205">
        <v>1</v>
      </c>
      <c r="I44" s="1205">
        <v>1</v>
      </c>
      <c r="J44" s="1205">
        <v>1</v>
      </c>
      <c r="K44" s="1205">
        <v>1</v>
      </c>
      <c r="L44" s="1206"/>
      <c r="M44" s="1206"/>
      <c r="N44" s="1206"/>
      <c r="O44" s="1206"/>
      <c r="P44" s="1206"/>
      <c r="Q44" s="1206"/>
      <c r="R44" s="1206"/>
      <c r="S44" s="1206"/>
      <c r="T44" s="1207"/>
    </row>
    <row r="45" spans="2:20" s="37" customFormat="1" x14ac:dyDescent="0.3">
      <c r="B45" s="917" t="s">
        <v>251</v>
      </c>
      <c r="C45" s="930">
        <v>0.1</v>
      </c>
      <c r="D45" s="931" t="s">
        <v>893</v>
      </c>
      <c r="E45" s="917"/>
      <c r="F45" s="931"/>
      <c r="G45" s="211"/>
      <c r="H45" s="211"/>
      <c r="I45" s="211"/>
      <c r="J45" s="211"/>
      <c r="K45" s="211"/>
    </row>
    <row r="46" spans="2:20" s="37" customFormat="1" x14ac:dyDescent="0.3">
      <c r="B46" s="461" t="str">
        <f xml:space="preserve"> Dashboard!C$8</f>
        <v xml:space="preserve">Forecast / point forward year </v>
      </c>
      <c r="C46" s="461">
        <f xml:space="preserve"> Dashboard!D$8</f>
        <v>2025</v>
      </c>
      <c r="D46" s="461" t="str">
        <f xml:space="preserve"> Dashboard!E$8</f>
        <v>year</v>
      </c>
      <c r="E46" s="987"/>
      <c r="F46" s="93"/>
      <c r="J46" s="1155"/>
    </row>
    <row r="47" spans="2:20" s="37" customFormat="1" x14ac:dyDescent="0.3">
      <c r="B47" s="50" t="s">
        <v>894</v>
      </c>
      <c r="C47" s="1003">
        <v>1</v>
      </c>
      <c r="D47" s="142" t="s">
        <v>160</v>
      </c>
      <c r="E47" s="987"/>
      <c r="F47" s="93"/>
      <c r="J47" s="1155"/>
    </row>
    <row r="49" spans="1:20" x14ac:dyDescent="0.3">
      <c r="T49" s="43"/>
    </row>
    <row r="50" spans="1:20" x14ac:dyDescent="0.3">
      <c r="A50" s="891" t="s">
        <v>895</v>
      </c>
      <c r="B50" s="891"/>
      <c r="C50" s="891"/>
      <c r="D50" s="891"/>
      <c r="E50" s="891"/>
      <c r="F50" s="891"/>
      <c r="G50" s="891"/>
      <c r="H50" s="891" t="s">
        <v>896</v>
      </c>
      <c r="I50" s="891"/>
      <c r="J50" s="891"/>
      <c r="K50" s="891"/>
      <c r="L50" s="891"/>
      <c r="M50" s="891"/>
      <c r="N50" s="891"/>
      <c r="O50" s="891"/>
      <c r="P50" s="891"/>
      <c r="Q50" s="891"/>
      <c r="R50" s="891"/>
      <c r="S50" s="891"/>
    </row>
    <row r="51" spans="1:20" x14ac:dyDescent="0.3">
      <c r="B51" s="952" t="s">
        <v>897</v>
      </c>
      <c r="C51" s="42"/>
      <c r="D51" s="42"/>
      <c r="E51" s="42"/>
      <c r="F51" s="42"/>
      <c r="G51" s="42"/>
      <c r="H51" s="953"/>
      <c r="I51" s="953"/>
      <c r="J51" s="953"/>
    </row>
    <row r="52" spans="1:20" x14ac:dyDescent="0.3">
      <c r="B52" s="51" t="str">
        <f xml:space="preserve"> B$46</f>
        <v xml:space="preserve">Forecast / point forward year </v>
      </c>
      <c r="C52" s="51">
        <f xml:space="preserve"> C$46</f>
        <v>2025</v>
      </c>
      <c r="D52" s="51" t="str">
        <f xml:space="preserve"> D$46</f>
        <v>year</v>
      </c>
      <c r="E52" s="42"/>
      <c r="F52" s="42"/>
      <c r="G52" s="42"/>
      <c r="H52" s="953"/>
      <c r="I52" s="953"/>
      <c r="J52" s="953"/>
    </row>
    <row r="53" spans="1:20" s="37" customFormat="1" x14ac:dyDescent="0.3">
      <c r="B53" s="40" t="s">
        <v>898</v>
      </c>
      <c r="C53" s="949">
        <v>2022</v>
      </c>
      <c r="D53" s="40" t="s">
        <v>27</v>
      </c>
      <c r="E53" s="34"/>
      <c r="F53" s="34"/>
      <c r="G53" s="34"/>
      <c r="H53" s="954"/>
      <c r="I53" s="954"/>
      <c r="J53" s="954"/>
    </row>
    <row r="54" spans="1:20" x14ac:dyDescent="0.3">
      <c r="B54" s="42"/>
      <c r="C54" s="42"/>
      <c r="D54" s="42"/>
      <c r="E54" s="42"/>
      <c r="F54" s="42"/>
      <c r="G54" s="42"/>
      <c r="H54" s="42"/>
      <c r="I54" s="953"/>
      <c r="J54" s="953"/>
    </row>
    <row r="55" spans="1:20" x14ac:dyDescent="0.3">
      <c r="A55" s="14">
        <f xml:space="preserve"> MAX(A$50:A54) + 1</f>
        <v>1</v>
      </c>
      <c r="B55" s="1063" t="s">
        <v>899</v>
      </c>
      <c r="C55" s="1064">
        <f xml:space="preserve"> C$126</f>
        <v>2022</v>
      </c>
      <c r="D55" s="1065" t="str">
        <f xml:space="preserve"> D$126</f>
        <v>&gt;= 2025</v>
      </c>
      <c r="E55" s="107"/>
      <c r="F55" s="1066" t="str">
        <f>"DATA TABLE " &amp; A55</f>
        <v>DATA TABLE 1</v>
      </c>
      <c r="G55" s="107"/>
      <c r="H55" s="1067" t="s">
        <v>625</v>
      </c>
      <c r="I55" s="1068" t="s">
        <v>299</v>
      </c>
      <c r="J55" s="1067" t="s">
        <v>630</v>
      </c>
    </row>
    <row r="56" spans="1:20" x14ac:dyDescent="0.3">
      <c r="B56" s="988" t="s">
        <v>801</v>
      </c>
      <c r="C56" s="106" cm="1">
        <f t="array" ref="C56" xml:space="preserve"> INDEX(C$125:C$165, MATCH($B56, B$125:B$165, 0),)</f>
        <v>938.45274099999995</v>
      </c>
      <c r="D56" s="106" cm="1">
        <f t="array" ref="D56" xml:space="preserve"> INDEX(D$125:D$165, MATCH($B56, B$125:B$165, 0),)</f>
        <v>6407.5023535756927</v>
      </c>
      <c r="E56" s="106"/>
      <c r="F56" s="106"/>
      <c r="G56" s="106">
        <f xml:space="preserve"> C56</f>
        <v>938.45274099999995</v>
      </c>
      <c r="H56" s="1062">
        <f t="dataTable" ref="H56:J57" dt2D="0" dtr="1" r1="E13" ca="1"/>
        <v>938.45274099999995</v>
      </c>
      <c r="I56" s="1062">
        <v>938.45274099999995</v>
      </c>
      <c r="J56" s="1062">
        <v>938.45274099999995</v>
      </c>
    </row>
    <row r="57" spans="1:20" x14ac:dyDescent="0.3">
      <c r="B57" s="106"/>
      <c r="C57" s="106"/>
      <c r="D57" s="106"/>
      <c r="E57" s="106"/>
      <c r="F57" s="106"/>
      <c r="G57" s="106">
        <f xml:space="preserve"> D56</f>
        <v>6407.5023535756927</v>
      </c>
      <c r="H57" s="1062">
        <v>5989.3258284566218</v>
      </c>
      <c r="I57" s="1062">
        <v>6407.5023535756927</v>
      </c>
      <c r="J57" s="1062">
        <v>6342.024116735658</v>
      </c>
    </row>
    <row r="58" spans="1:20" x14ac:dyDescent="0.3">
      <c r="B58" s="960" t="s">
        <v>706</v>
      </c>
      <c r="C58" s="161"/>
      <c r="D58" s="161"/>
      <c r="E58" s="161"/>
      <c r="F58" s="161"/>
      <c r="G58" s="161"/>
      <c r="H58" s="161"/>
      <c r="I58" s="161"/>
      <c r="J58" s="161"/>
    </row>
    <row r="59" spans="1:20" x14ac:dyDescent="0.3">
      <c r="B59" s="1059"/>
      <c r="C59" s="42"/>
      <c r="D59" s="42"/>
      <c r="E59" s="42"/>
      <c r="F59" s="42"/>
      <c r="G59" s="42"/>
      <c r="H59" s="42"/>
      <c r="I59" s="42"/>
      <c r="J59" s="42"/>
    </row>
    <row r="60" spans="1:20" x14ac:dyDescent="0.3">
      <c r="A60" s="14">
        <f xml:space="preserve"> MAX(A$50:A58) + 1</f>
        <v>2</v>
      </c>
      <c r="B60" s="1063" t="s">
        <v>900</v>
      </c>
      <c r="C60" s="1064">
        <f xml:space="preserve"> C$126</f>
        <v>2022</v>
      </c>
      <c r="D60" s="1065" t="str">
        <f xml:space="preserve"> D$126</f>
        <v>&gt;= 2025</v>
      </c>
      <c r="E60" s="107"/>
      <c r="F60" s="1066" t="str">
        <f>"DATA TABLE " &amp; A60</f>
        <v>DATA TABLE 2</v>
      </c>
      <c r="G60" s="107"/>
      <c r="H60" s="1067" t="s">
        <v>625</v>
      </c>
      <c r="I60" s="1067" t="s">
        <v>299</v>
      </c>
      <c r="J60" s="1067" t="s">
        <v>299</v>
      </c>
    </row>
    <row r="61" spans="1:20" x14ac:dyDescent="0.3">
      <c r="B61" s="988" t="s">
        <v>802</v>
      </c>
      <c r="C61" s="106" cm="1">
        <f t="array" ref="C61" xml:space="preserve"> INDEX(C$125:C$165, MATCH($B61, B$125:B$165, 0),)</f>
        <v>104.42579902523998</v>
      </c>
      <c r="D61" s="106" cm="1">
        <f t="array" ref="D61" xml:space="preserve"> INDEX(D$125:D$165, MATCH($B61, B$125:B$165, 0),)</f>
        <v>327.94017984808022</v>
      </c>
      <c r="E61" s="106"/>
      <c r="F61" s="106"/>
      <c r="G61" s="106">
        <f xml:space="preserve"> C61</f>
        <v>104.42579902523998</v>
      </c>
      <c r="H61" s="1062">
        <f t="dataTable" ref="H61:J62" dt2D="0" dtr="1" r1="E15"/>
        <v>104.42579902523998</v>
      </c>
      <c r="I61" s="1062">
        <v>104.42579902523998</v>
      </c>
      <c r="J61" s="1062">
        <v>104.42579902523998</v>
      </c>
    </row>
    <row r="62" spans="1:20" x14ac:dyDescent="0.3">
      <c r="B62" s="106"/>
      <c r="C62" s="106"/>
      <c r="D62" s="106"/>
      <c r="E62" s="106"/>
      <c r="F62" s="106"/>
      <c r="G62" s="106">
        <f xml:space="preserve"> D61</f>
        <v>327.94017984808022</v>
      </c>
      <c r="H62" s="1062">
        <v>328.70652784401091</v>
      </c>
      <c r="I62" s="1062">
        <v>327.94017984808022</v>
      </c>
      <c r="J62" s="1062">
        <v>327.94017984808022</v>
      </c>
    </row>
    <row r="63" spans="1:20" x14ac:dyDescent="0.3">
      <c r="B63" s="960" t="s">
        <v>706</v>
      </c>
      <c r="C63" s="161"/>
      <c r="D63" s="161"/>
      <c r="E63" s="161"/>
      <c r="F63" s="161"/>
      <c r="G63" s="161"/>
      <c r="H63" s="1069"/>
      <c r="I63" s="1069"/>
      <c r="J63" s="1069"/>
    </row>
    <row r="64" spans="1:20" x14ac:dyDescent="0.3">
      <c r="B64" s="1059"/>
      <c r="C64" s="106"/>
      <c r="D64" s="106"/>
      <c r="E64" s="106"/>
      <c r="F64" s="106"/>
      <c r="G64" s="106"/>
      <c r="H64" s="172"/>
      <c r="I64" s="172"/>
      <c r="J64" s="172"/>
    </row>
    <row r="65" spans="1:15" x14ac:dyDescent="0.3">
      <c r="B65" s="1070" t="str">
        <f xml:space="preserve"> OnePager!C$5</f>
        <v>Realised Price Risk: Co</v>
      </c>
      <c r="C65" s="107"/>
      <c r="D65" s="107"/>
      <c r="E65" s="107"/>
      <c r="F65" s="107"/>
      <c r="G65" s="107"/>
      <c r="H65" s="107"/>
      <c r="I65" s="107"/>
      <c r="J65" s="107"/>
    </row>
    <row r="66" spans="1:15" x14ac:dyDescent="0.3">
      <c r="A66" s="14">
        <f xml:space="preserve"> MAX(A$50:A65) + 1</f>
        <v>3</v>
      </c>
      <c r="B66" s="1060" t="str">
        <f xml:space="preserve"> B20</f>
        <v>Cobalt Payable Rate applied in model</v>
      </c>
      <c r="C66" s="971">
        <f xml:space="preserve"> C$126</f>
        <v>2022</v>
      </c>
      <c r="D66" s="972" t="str">
        <f xml:space="preserve"> D$126</f>
        <v>&gt;= 2025</v>
      </c>
      <c r="E66" s="106"/>
      <c r="F66" s="1061" t="str">
        <f>"DATA TABLE " &amp; A66</f>
        <v>DATA TABLE 3</v>
      </c>
      <c r="G66" s="106"/>
      <c r="H66" s="897">
        <v>0.6</v>
      </c>
      <c r="I66" s="897">
        <v>0.7</v>
      </c>
      <c r="J66" s="897">
        <v>0.95</v>
      </c>
    </row>
    <row r="67" spans="1:15" x14ac:dyDescent="0.3">
      <c r="B67" s="988" t="s">
        <v>802</v>
      </c>
      <c r="C67" s="106" cm="1">
        <f t="array" ref="C67" xml:space="preserve"> INDEX(C$125:C$165, MATCH($B67, B$125:B$165, 0),)</f>
        <v>104.42579902523998</v>
      </c>
      <c r="D67" s="106" cm="1">
        <f t="array" ref="D67" xml:space="preserve"> INDEX(D$125:D$165, MATCH($B67, B$125:B$165, 0),)</f>
        <v>327.94017984808022</v>
      </c>
      <c r="E67" s="106"/>
      <c r="F67" s="106"/>
      <c r="G67" s="106">
        <f xml:space="preserve"> C67</f>
        <v>104.42579902523998</v>
      </c>
      <c r="H67" s="1062">
        <f t="dataTable" ref="H67:J68" dt2D="0" dtr="1" r1="E20" ca="1"/>
        <v>104.42579902523998</v>
      </c>
      <c r="I67" s="1062">
        <v>104.42579902523998</v>
      </c>
      <c r="J67" s="1062">
        <v>104.42579902523998</v>
      </c>
    </row>
    <row r="68" spans="1:15" s="37" customFormat="1" x14ac:dyDescent="0.3">
      <c r="B68" s="540"/>
      <c r="C68" s="540"/>
      <c r="D68" s="540"/>
      <c r="E68" s="540"/>
      <c r="F68" s="540"/>
      <c r="G68" s="540">
        <f xml:space="preserve"> D67</f>
        <v>327.94017984808022</v>
      </c>
      <c r="H68" s="1162">
        <v>277.77247806902784</v>
      </c>
      <c r="I68" s="1162">
        <v>327.94017984808022</v>
      </c>
      <c r="J68" s="1162">
        <v>453.35943429571114</v>
      </c>
    </row>
    <row r="69" spans="1:15" x14ac:dyDescent="0.3">
      <c r="A69" s="42"/>
      <c r="B69" s="960" t="s">
        <v>706</v>
      </c>
      <c r="C69" s="161"/>
      <c r="D69" s="161"/>
      <c r="E69" s="161"/>
      <c r="F69" s="161"/>
      <c r="G69" s="161"/>
      <c r="H69" s="161"/>
      <c r="I69" s="161"/>
      <c r="J69" s="161"/>
      <c r="K69" s="42"/>
      <c r="L69" s="42"/>
      <c r="M69" s="42"/>
      <c r="N69" s="42"/>
      <c r="O69" s="42"/>
    </row>
    <row r="70" spans="1:15" customFormat="1" x14ac:dyDescent="0.3">
      <c r="A70" s="88"/>
      <c r="B70" s="1058" t="str">
        <f xml:space="preserve"> OnePager!C$7</f>
        <v>Marketing Fee Risk</v>
      </c>
      <c r="C70" s="851"/>
      <c r="D70" s="851"/>
      <c r="E70" s="851"/>
      <c r="F70" s="851"/>
      <c r="G70" s="851"/>
      <c r="H70" s="851"/>
      <c r="I70" s="851"/>
      <c r="J70" s="851"/>
      <c r="K70" s="88"/>
      <c r="L70" s="88"/>
      <c r="M70" s="88"/>
      <c r="N70" s="88"/>
      <c r="O70" s="88"/>
    </row>
    <row r="71" spans="1:15" customFormat="1" x14ac:dyDescent="0.3">
      <c r="A71" s="88">
        <f xml:space="preserve"> MAX(A$55:A70) + 1</f>
        <v>4</v>
      </c>
      <c r="B71" s="962" t="str">
        <f xml:space="preserve"> B16</f>
        <v>Apply Cu transport / quality discount (1 = yes)</v>
      </c>
      <c r="C71" s="971">
        <f xml:space="preserve"> C$126</f>
        <v>2022</v>
      </c>
      <c r="D71" s="972" t="str">
        <f xml:space="preserve"> D$126</f>
        <v>&gt;= 2025</v>
      </c>
      <c r="E71" s="851"/>
      <c r="F71" s="973" t="str">
        <f>"DATA TABLE " &amp; A71</f>
        <v>DATA TABLE 4</v>
      </c>
      <c r="G71" s="851"/>
      <c r="H71" s="897">
        <v>0</v>
      </c>
      <c r="I71" s="959">
        <v>1</v>
      </c>
      <c r="J71" s="897">
        <v>0</v>
      </c>
      <c r="K71" s="88"/>
      <c r="L71" s="88"/>
      <c r="M71" s="88"/>
      <c r="N71" s="88"/>
      <c r="O71" s="88"/>
    </row>
    <row r="72" spans="1:15" customFormat="1" x14ac:dyDescent="0.3">
      <c r="A72" s="88"/>
      <c r="B72" s="974" t="s">
        <v>801</v>
      </c>
      <c r="C72" s="851" cm="1">
        <f t="array" ref="C72" xml:space="preserve"> INDEX(C$127:C$164, MATCH($B72, B$127:B$164, 0),)</f>
        <v>938.45274099999995</v>
      </c>
      <c r="D72" s="851" cm="1">
        <f t="array" ref="D72" xml:space="preserve"> INDEX(D$127:D$164, MATCH($B72, B$127:B$164, 0),)</f>
        <v>6407.5023535756927</v>
      </c>
      <c r="E72" s="851"/>
      <c r="F72" s="851"/>
      <c r="G72" s="851">
        <f xml:space="preserve"> C72</f>
        <v>938.45274099999995</v>
      </c>
      <c r="H72" s="975">
        <f t="dataTable" ref="H72:J73" dt2D="0" dtr="1" r1="E16" ca="1"/>
        <v>938.45274099999995</v>
      </c>
      <c r="I72" s="975">
        <v>938.45274099999995</v>
      </c>
      <c r="J72" s="975">
        <v>938.45274099999995</v>
      </c>
      <c r="K72" s="88"/>
      <c r="L72" s="88"/>
      <c r="M72" s="88"/>
      <c r="N72" s="88"/>
      <c r="O72" s="88"/>
    </row>
    <row r="73" spans="1:15" s="70" customFormat="1" x14ac:dyDescent="0.3">
      <c r="A73" s="408"/>
      <c r="B73" s="1090"/>
      <c r="C73" s="1090"/>
      <c r="D73" s="1090"/>
      <c r="E73" s="1090"/>
      <c r="F73" s="1090"/>
      <c r="G73" s="1090">
        <f xml:space="preserve"> D72</f>
        <v>6407.5023535756927</v>
      </c>
      <c r="H73" s="1163">
        <v>6649.1116002828594</v>
      </c>
      <c r="I73" s="1163">
        <v>6407.5023535756927</v>
      </c>
      <c r="J73" s="1163">
        <v>6649.1116002828594</v>
      </c>
      <c r="K73" s="408"/>
      <c r="L73" s="408"/>
      <c r="M73" s="408"/>
      <c r="N73" s="408"/>
      <c r="O73" s="408"/>
    </row>
    <row r="74" spans="1:15" customFormat="1" x14ac:dyDescent="0.3">
      <c r="A74" s="88"/>
      <c r="B74" s="963" t="s">
        <v>706</v>
      </c>
      <c r="C74" s="976"/>
      <c r="D74" s="976"/>
      <c r="E74" s="976"/>
      <c r="F74" s="976"/>
      <c r="G74" s="976"/>
      <c r="H74" s="976">
        <f>H73 - $I$81</f>
        <v>6649.1116002828594</v>
      </c>
      <c r="I74" s="976">
        <f>I73 - $I$81</f>
        <v>6407.5023535756927</v>
      </c>
      <c r="J74" s="976">
        <f>J73 - $I$81</f>
        <v>6649.1116002828594</v>
      </c>
      <c r="K74" s="88"/>
      <c r="L74" s="88"/>
      <c r="M74" s="88"/>
      <c r="N74" s="88"/>
      <c r="O74" s="88"/>
    </row>
    <row r="75" spans="1:15" customFormat="1" x14ac:dyDescent="0.3">
      <c r="A75" s="88"/>
      <c r="B75" s="1058" t="str">
        <f xml:space="preserve"> OnePager!C$7</f>
        <v>Marketing Fee Risk</v>
      </c>
      <c r="C75" s="88"/>
      <c r="D75" s="88"/>
      <c r="E75" s="88"/>
      <c r="F75" s="88"/>
      <c r="G75" s="88"/>
      <c r="H75" s="88"/>
      <c r="I75" s="88"/>
      <c r="J75" s="88"/>
      <c r="K75" s="88"/>
      <c r="L75" s="88"/>
      <c r="M75" s="88"/>
      <c r="N75" s="88"/>
      <c r="O75" s="88"/>
    </row>
    <row r="76" spans="1:15" customFormat="1" x14ac:dyDescent="0.3">
      <c r="A76" s="88">
        <f xml:space="preserve"> MAX(A$55:A75) + 1</f>
        <v>5</v>
      </c>
      <c r="B76" s="905" t="str">
        <f>B17</f>
        <v>Third Party Marketing Charge: Cu &amp; Co</v>
      </c>
      <c r="C76" s="971">
        <f xml:space="preserve"> C$126</f>
        <v>2022</v>
      </c>
      <c r="D76" s="972" t="str">
        <f xml:space="preserve"> D$126</f>
        <v>&gt;= 2025</v>
      </c>
      <c r="E76" s="851"/>
      <c r="F76" s="973" t="str">
        <f>"DATA TABLE " &amp; A76</f>
        <v>DATA TABLE 5</v>
      </c>
      <c r="G76" s="851"/>
      <c r="H76" s="897">
        <v>0.02</v>
      </c>
      <c r="I76" s="897">
        <v>8.0000000000000002E-3</v>
      </c>
      <c r="J76" s="897">
        <v>0</v>
      </c>
      <c r="K76" s="88"/>
      <c r="L76" s="88"/>
      <c r="M76" s="88"/>
      <c r="N76" s="88"/>
      <c r="O76" s="88"/>
    </row>
    <row r="77" spans="1:15" customFormat="1" x14ac:dyDescent="0.3">
      <c r="A77" s="88"/>
      <c r="B77" s="974" t="s">
        <v>803</v>
      </c>
      <c r="C77" s="851" cm="1">
        <f t="array" ref="C77" xml:space="preserve"> INDEX(C$127:C$164, MATCH($B77, B$127:B$164, 0),)</f>
        <v>1042.87854002524</v>
      </c>
      <c r="D77" s="851" cm="1">
        <f t="array" ref="D77" xml:space="preserve"> INDEX(D$127:D$164, MATCH($B77, B$127:B$164, 0),)</f>
        <v>6735.4425334237731</v>
      </c>
      <c r="E77" s="851"/>
      <c r="F77" s="851"/>
      <c r="G77" s="851">
        <f xml:space="preserve"> C77</f>
        <v>1042.87854002524</v>
      </c>
      <c r="H77" s="975">
        <f t="dataTable" ref="H77:J78" dt2D="0" dtr="1" r1="E17" ca="1"/>
        <v>1042.87854002524</v>
      </c>
      <c r="I77" s="975">
        <v>1042.87854002524</v>
      </c>
      <c r="J77" s="975">
        <v>1042.87854002524</v>
      </c>
      <c r="K77" s="88"/>
      <c r="L77" s="88"/>
      <c r="M77" s="88"/>
      <c r="N77" s="88"/>
      <c r="O77" s="88"/>
    </row>
    <row r="78" spans="1:15" s="70" customFormat="1" x14ac:dyDescent="0.3">
      <c r="A78" s="408"/>
      <c r="B78" s="1090"/>
      <c r="C78" s="1090"/>
      <c r="D78" s="1090"/>
      <c r="E78" s="1090"/>
      <c r="F78" s="1090"/>
      <c r="G78" s="1090">
        <f xml:space="preserve"> D77</f>
        <v>6735.4425334237731</v>
      </c>
      <c r="H78" s="1163">
        <v>6691.8202047586346</v>
      </c>
      <c r="I78" s="1163">
        <v>6735.4425334237731</v>
      </c>
      <c r="J78" s="1163">
        <v>6764.5240858671987</v>
      </c>
      <c r="K78" s="408"/>
      <c r="L78" s="408"/>
      <c r="M78" s="408"/>
      <c r="N78" s="408"/>
      <c r="O78" s="408"/>
    </row>
    <row r="79" spans="1:15" customFormat="1" x14ac:dyDescent="0.3">
      <c r="A79" s="88"/>
      <c r="B79" s="963" t="s">
        <v>706</v>
      </c>
      <c r="C79" s="976"/>
      <c r="D79" s="976"/>
      <c r="E79" s="976"/>
      <c r="F79" s="976"/>
      <c r="G79" s="1096"/>
      <c r="H79" s="1096">
        <f t="shared" ref="H79" si="1">H78 - $I78</f>
        <v>-43.622328665138411</v>
      </c>
      <c r="I79" s="1096">
        <f>I78 - $I78</f>
        <v>0</v>
      </c>
      <c r="J79" s="1096">
        <f t="shared" ref="J79" si="2">J78 - $I78</f>
        <v>29.081552443425608</v>
      </c>
      <c r="K79" s="88"/>
      <c r="L79" s="88"/>
      <c r="M79" s="88"/>
      <c r="N79" s="88"/>
      <c r="O79" s="88"/>
    </row>
    <row r="80" spans="1:15" customFormat="1" x14ac:dyDescent="0.3">
      <c r="A80" s="88"/>
      <c r="B80" s="964"/>
      <c r="C80" s="88"/>
      <c r="D80" s="88"/>
      <c r="E80" s="88"/>
      <c r="F80" s="88"/>
      <c r="G80" s="168"/>
      <c r="H80" s="168"/>
      <c r="I80" s="168"/>
      <c r="J80" s="168"/>
      <c r="K80" s="88"/>
      <c r="L80" s="88"/>
      <c r="M80" s="88"/>
      <c r="N80" s="88"/>
      <c r="O80" s="88"/>
    </row>
    <row r="81" spans="1:15" customFormat="1" x14ac:dyDescent="0.3">
      <c r="A81" s="88"/>
      <c r="B81" s="1057" t="str">
        <f xml:space="preserve"> OnePager!C$8</f>
        <v>Cu Vol Underreporting Risk</v>
      </c>
      <c r="C81" s="970"/>
      <c r="D81" s="970"/>
      <c r="E81" s="970"/>
      <c r="F81" s="970"/>
      <c r="G81" s="868"/>
      <c r="H81" s="868"/>
      <c r="I81" s="868"/>
      <c r="J81" s="868"/>
      <c r="K81" s="88"/>
      <c r="L81" s="88"/>
      <c r="M81" s="88"/>
      <c r="N81" s="88"/>
      <c r="O81" s="88"/>
    </row>
    <row r="82" spans="1:15" customFormat="1" x14ac:dyDescent="0.3">
      <c r="A82" s="88">
        <f xml:space="preserve"> MAX(A$55:A81) + 1</f>
        <v>6</v>
      </c>
      <c r="B82" s="962" t="str">
        <f>B23</f>
        <v>Copper production sensitivity (forecast period)</v>
      </c>
      <c r="C82" s="971">
        <f xml:space="preserve"> C$126</f>
        <v>2022</v>
      </c>
      <c r="D82" s="972" t="str">
        <f xml:space="preserve"> D$126</f>
        <v>&gt;= 2025</v>
      </c>
      <c r="E82" s="851"/>
      <c r="F82" s="973" t="str">
        <f>"DATA TABLE " &amp; A82</f>
        <v>DATA TABLE 6</v>
      </c>
      <c r="G82" s="1091"/>
      <c r="H82" s="935">
        <v>0.95</v>
      </c>
      <c r="I82" s="935">
        <v>1</v>
      </c>
      <c r="J82" s="935">
        <v>1.05</v>
      </c>
      <c r="K82" s="88"/>
      <c r="L82" s="88"/>
      <c r="M82" s="88"/>
      <c r="N82" s="88"/>
      <c r="O82" s="88"/>
    </row>
    <row r="83" spans="1:15" customFormat="1" x14ac:dyDescent="0.3">
      <c r="A83" s="88"/>
      <c r="B83" s="974" t="s">
        <v>801</v>
      </c>
      <c r="C83" s="851" cm="1">
        <f t="array" ref="C83" xml:space="preserve"> INDEX(C$127:C$164, MATCH($B83, B$127:B$164, 0),)</f>
        <v>938.45274099999995</v>
      </c>
      <c r="D83" s="851" cm="1">
        <f t="array" ref="D83" xml:space="preserve"> INDEX(D$127:D$164, MATCH($B83, B$127:B$164, 0),)</f>
        <v>6407.5023535756927</v>
      </c>
      <c r="E83" s="851"/>
      <c r="F83" s="851"/>
      <c r="G83" s="1091">
        <f xml:space="preserve"> C83</f>
        <v>938.45274099999995</v>
      </c>
      <c r="H83" s="1092">
        <f t="dataTable" ref="H83:J84" dt2D="0" dtr="1" r1="E23" ca="1"/>
        <v>938.45274099999995</v>
      </c>
      <c r="I83" s="1092">
        <v>938.45274099999995</v>
      </c>
      <c r="J83" s="1092">
        <v>938.45274099999995</v>
      </c>
      <c r="K83" s="88"/>
      <c r="L83" s="88"/>
      <c r="M83" s="88"/>
      <c r="N83" s="88"/>
      <c r="O83" s="88"/>
    </row>
    <row r="84" spans="1:15" s="70" customFormat="1" x14ac:dyDescent="0.3">
      <c r="A84" s="408"/>
      <c r="B84" s="1090"/>
      <c r="C84" s="1090"/>
      <c r="D84" s="1090"/>
      <c r="E84" s="1090"/>
      <c r="F84" s="1090"/>
      <c r="G84" s="1090">
        <f xml:space="preserve"> D83</f>
        <v>6407.5023535756927</v>
      </c>
      <c r="H84" s="1163">
        <v>6313.5185527799604</v>
      </c>
      <c r="I84" s="1163">
        <v>6407.5023535756927</v>
      </c>
      <c r="J84" s="1163">
        <v>6501.486154371426</v>
      </c>
      <c r="K84" s="408"/>
      <c r="L84" s="408"/>
      <c r="M84" s="408"/>
      <c r="N84" s="408"/>
      <c r="O84" s="408"/>
    </row>
    <row r="85" spans="1:15" customFormat="1" x14ac:dyDescent="0.3">
      <c r="A85" s="88"/>
      <c r="B85" s="963" t="s">
        <v>706</v>
      </c>
      <c r="C85" s="976"/>
      <c r="D85" s="976"/>
      <c r="E85" s="976"/>
      <c r="F85" s="976"/>
      <c r="G85" s="1096"/>
      <c r="H85" s="1096">
        <f t="shared" ref="H85" si="3">H84 - $I84</f>
        <v>-93.98380079573235</v>
      </c>
      <c r="I85" s="1096">
        <f>I84 - $I84</f>
        <v>0</v>
      </c>
      <c r="J85" s="1096">
        <f t="shared" ref="J85" si="4">J84 - $I84</f>
        <v>93.983800795733259</v>
      </c>
      <c r="K85" s="88"/>
      <c r="L85" s="88"/>
      <c r="M85" s="88"/>
      <c r="N85" s="88"/>
      <c r="O85" s="88"/>
    </row>
    <row r="86" spans="1:15" customFormat="1" x14ac:dyDescent="0.3">
      <c r="A86" s="88"/>
      <c r="B86" s="964"/>
      <c r="C86" s="88"/>
      <c r="D86" s="88"/>
      <c r="E86" s="88"/>
      <c r="F86" s="88"/>
      <c r="G86" s="168"/>
      <c r="H86" s="168"/>
      <c r="I86" s="168"/>
      <c r="J86" s="168"/>
      <c r="K86" s="88"/>
      <c r="L86" s="88"/>
      <c r="M86" s="88"/>
      <c r="N86" s="88"/>
      <c r="O86" s="88"/>
    </row>
    <row r="87" spans="1:15" customFormat="1" x14ac:dyDescent="0.3">
      <c r="A87" s="88"/>
      <c r="B87" s="1057" t="str">
        <f xml:space="preserve"> OnePager!C$9</f>
        <v>Co Vol Underreporting Risk</v>
      </c>
      <c r="C87" s="970"/>
      <c r="D87" s="970"/>
      <c r="E87" s="970"/>
      <c r="F87" s="970"/>
      <c r="G87" s="868"/>
      <c r="H87" s="868"/>
      <c r="I87" s="868"/>
      <c r="J87" s="868"/>
      <c r="K87" s="88"/>
      <c r="L87" s="88"/>
      <c r="M87" s="88"/>
      <c r="N87" s="88"/>
      <c r="O87" s="88"/>
    </row>
    <row r="88" spans="1:15" customFormat="1" x14ac:dyDescent="0.3">
      <c r="A88" s="88">
        <f xml:space="preserve"> MAX(A$55:A87) + 1</f>
        <v>7</v>
      </c>
      <c r="B88" s="962" t="str">
        <f>B24</f>
        <v>Cobalt production sensitivity (forecast period)</v>
      </c>
      <c r="C88" s="971">
        <f xml:space="preserve"> C$126</f>
        <v>2022</v>
      </c>
      <c r="D88" s="972" t="str">
        <f xml:space="preserve"> D$126</f>
        <v>&gt;= 2025</v>
      </c>
      <c r="E88" s="851"/>
      <c r="F88" s="973" t="str">
        <f>"DATA TABLE " &amp; A88</f>
        <v>DATA TABLE 7</v>
      </c>
      <c r="G88" s="1091"/>
      <c r="H88" s="935">
        <v>0.95</v>
      </c>
      <c r="I88" s="935">
        <v>1</v>
      </c>
      <c r="J88" s="935">
        <v>1.05</v>
      </c>
      <c r="K88" s="88"/>
      <c r="L88" s="88"/>
      <c r="M88" s="88"/>
      <c r="N88" s="88"/>
      <c r="O88" s="88"/>
    </row>
    <row r="89" spans="1:15" customFormat="1" x14ac:dyDescent="0.3">
      <c r="A89" s="88"/>
      <c r="B89" s="974" t="s">
        <v>802</v>
      </c>
      <c r="C89" s="851" cm="1">
        <f t="array" ref="C89" xml:space="preserve"> INDEX(C$127:C$164, MATCH($B89, B$127:B$164, 0),)</f>
        <v>104.42579902523998</v>
      </c>
      <c r="D89" s="851" cm="1">
        <f t="array" ref="D89" xml:space="preserve"> INDEX(D$124:D$153, MATCH($B89, B$124:B$153, 0),)</f>
        <v>327.94017984808022</v>
      </c>
      <c r="E89" s="851"/>
      <c r="F89" s="851"/>
      <c r="G89" s="1091">
        <f xml:space="preserve"> C89</f>
        <v>104.42579902523998</v>
      </c>
      <c r="H89" s="1092">
        <f t="dataTable" ref="H89:J90" dt2D="0" dtr="1" r1="E24" ca="1"/>
        <v>99.204509073977988</v>
      </c>
      <c r="I89" s="1092">
        <v>104.42579902523998</v>
      </c>
      <c r="J89" s="1092">
        <v>109.64708897650199</v>
      </c>
      <c r="K89" s="88"/>
      <c r="L89" s="88"/>
      <c r="M89" s="88"/>
      <c r="N89" s="88"/>
      <c r="O89" s="88"/>
    </row>
    <row r="90" spans="1:15" s="70" customFormat="1" x14ac:dyDescent="0.3">
      <c r="A90" s="408"/>
      <c r="B90" s="1090"/>
      <c r="C90" s="1090"/>
      <c r="D90" s="1090"/>
      <c r="E90" s="1090"/>
      <c r="F90" s="1090"/>
      <c r="G90" s="1090">
        <f xml:space="preserve"> D89</f>
        <v>327.94017984808022</v>
      </c>
      <c r="H90" s="1163">
        <v>311.54317085567624</v>
      </c>
      <c r="I90" s="1163">
        <v>327.94017984808022</v>
      </c>
      <c r="J90" s="1163">
        <v>344.33718884048426</v>
      </c>
      <c r="K90" s="408"/>
      <c r="L90" s="408"/>
      <c r="M90" s="408"/>
      <c r="N90" s="408"/>
      <c r="O90" s="408"/>
    </row>
    <row r="91" spans="1:15" customFormat="1" x14ac:dyDescent="0.3">
      <c r="A91" s="88"/>
      <c r="B91" s="963" t="s">
        <v>706</v>
      </c>
      <c r="C91" s="976"/>
      <c r="D91" s="976"/>
      <c r="E91" s="976"/>
      <c r="F91" s="976"/>
      <c r="G91" s="1096"/>
      <c r="H91" s="1096">
        <f t="shared" ref="H91" si="5">H90 - $I90</f>
        <v>-16.397008992403983</v>
      </c>
      <c r="I91" s="1096">
        <f>I90 - $I90</f>
        <v>0</v>
      </c>
      <c r="J91" s="1096">
        <f t="shared" ref="J91" si="6">J90 - $I90</f>
        <v>16.397008992404039</v>
      </c>
      <c r="K91" s="88"/>
      <c r="L91" s="88"/>
      <c r="M91" s="88"/>
      <c r="N91" s="88"/>
      <c r="O91" s="88"/>
    </row>
    <row r="92" spans="1:15" customFormat="1" x14ac:dyDescent="0.3">
      <c r="A92" s="88"/>
      <c r="B92" s="964"/>
      <c r="C92" s="88"/>
      <c r="D92" s="88"/>
      <c r="E92" s="88"/>
      <c r="F92" s="88"/>
      <c r="G92" s="168"/>
      <c r="H92" s="168"/>
      <c r="I92" s="168"/>
      <c r="J92" s="168"/>
      <c r="K92" s="88"/>
      <c r="L92" s="88"/>
      <c r="M92" s="88"/>
      <c r="N92" s="88"/>
      <c r="O92" s="88"/>
    </row>
    <row r="93" spans="1:15" customFormat="1" x14ac:dyDescent="0.3">
      <c r="A93" s="88"/>
      <c r="B93" s="1057" t="str">
        <f xml:space="preserve"> OnePager!C$10</f>
        <v>Co Grade Underreporting Risk</v>
      </c>
      <c r="C93" s="970"/>
      <c r="D93" s="970"/>
      <c r="E93" s="970"/>
      <c r="F93" s="970"/>
      <c r="G93" s="868"/>
      <c r="H93" s="868"/>
      <c r="I93" s="868"/>
      <c r="J93" s="868"/>
      <c r="K93" s="88"/>
      <c r="L93" s="88"/>
      <c r="M93" s="88"/>
      <c r="N93" s="88"/>
      <c r="O93" s="88"/>
    </row>
    <row r="94" spans="1:15" customFormat="1" x14ac:dyDescent="0.3">
      <c r="A94" s="88">
        <f xml:space="preserve"> MAX(A$55:A93) + 1</f>
        <v>8</v>
      </c>
      <c r="B94" s="962" t="str">
        <f>B24</f>
        <v>Cobalt production sensitivity (forecast period)</v>
      </c>
      <c r="C94" s="971">
        <f xml:space="preserve"> C$126</f>
        <v>2022</v>
      </c>
      <c r="D94" s="972" t="str">
        <f xml:space="preserve"> D$126</f>
        <v>&gt;= 2025</v>
      </c>
      <c r="E94" s="851"/>
      <c r="F94" s="973" t="str">
        <f>"DATA TABLE " &amp; A94</f>
        <v>DATA TABLE 8</v>
      </c>
      <c r="G94" s="1091"/>
      <c r="H94" s="1107">
        <f xml:space="preserve"> L$95</f>
        <v>0.91666666666666674</v>
      </c>
      <c r="I94" s="935">
        <v>1</v>
      </c>
      <c r="J94" s="1107">
        <f xml:space="preserve"> N$95</f>
        <v>1.0833333333333335</v>
      </c>
      <c r="K94" s="88"/>
      <c r="L94" s="1030">
        <v>0.27500000000000002</v>
      </c>
      <c r="M94" s="1030">
        <v>0.3</v>
      </c>
      <c r="N94" s="1030">
        <v>0.32500000000000001</v>
      </c>
      <c r="O94" t="s">
        <v>972</v>
      </c>
    </row>
    <row r="95" spans="1:15" customFormat="1" x14ac:dyDescent="0.3">
      <c r="A95" s="88"/>
      <c r="B95" s="974" t="s">
        <v>802</v>
      </c>
      <c r="C95" s="851" cm="1">
        <f t="array" ref="C95" xml:space="preserve"> INDEX(C$127:C$164, MATCH($B95, B$127:B$164, 0),)</f>
        <v>104.42579902523998</v>
      </c>
      <c r="D95" s="851" cm="1">
        <f t="array" ref="D95" xml:space="preserve"> INDEX(D$127:D$164, MATCH($B95, B$127:B$164, 0),)</f>
        <v>327.94017984808022</v>
      </c>
      <c r="E95" s="851"/>
      <c r="F95" s="851"/>
      <c r="G95" s="1091">
        <f xml:space="preserve"> C95</f>
        <v>104.42579902523998</v>
      </c>
      <c r="H95" s="1092">
        <f t="dataTable" ref="H95:J96" dt2D="0" dtr="1" r1="E24" ca="1"/>
        <v>95.723649106469992</v>
      </c>
      <c r="I95" s="1092">
        <v>104.42579902523998</v>
      </c>
      <c r="J95" s="1092">
        <v>113.12794894400999</v>
      </c>
      <c r="K95" s="88"/>
      <c r="L95" s="1106">
        <f xml:space="preserve"> L94 / M94</f>
        <v>0.91666666666666674</v>
      </c>
      <c r="N95" s="1106">
        <f xml:space="preserve"> N94 / M94</f>
        <v>1.0833333333333335</v>
      </c>
    </row>
    <row r="96" spans="1:15" s="70" customFormat="1" x14ac:dyDescent="0.3">
      <c r="A96" s="408"/>
      <c r="B96" s="1090"/>
      <c r="C96" s="1090"/>
      <c r="D96" s="1090"/>
      <c r="E96" s="1090"/>
      <c r="F96" s="1090"/>
      <c r="G96" s="1090">
        <f xml:space="preserve"> D95</f>
        <v>327.94017984808022</v>
      </c>
      <c r="H96" s="1163">
        <v>300.61183152740688</v>
      </c>
      <c r="I96" s="1163">
        <v>327.94017984808022</v>
      </c>
      <c r="J96" s="1163">
        <v>355.26852816875351</v>
      </c>
      <c r="K96" s="408"/>
      <c r="L96" s="408"/>
      <c r="M96" s="408"/>
      <c r="N96" s="408"/>
      <c r="O96" s="408"/>
    </row>
    <row r="97" spans="1:15" customFormat="1" x14ac:dyDescent="0.3">
      <c r="A97" s="88"/>
      <c r="B97" s="963" t="s">
        <v>706</v>
      </c>
      <c r="C97" s="976"/>
      <c r="D97" s="976"/>
      <c r="E97" s="976"/>
      <c r="F97" s="976"/>
      <c r="G97" s="976"/>
      <c r="H97" s="976">
        <f t="shared" ref="H97" si="7">H96 - $I96</f>
        <v>-27.328348320673342</v>
      </c>
      <c r="I97" s="976">
        <f>I96 - $I96</f>
        <v>0</v>
      </c>
      <c r="J97" s="976">
        <f t="shared" ref="J97" si="8">J96 - $I96</f>
        <v>27.328348320673285</v>
      </c>
      <c r="K97" s="88"/>
      <c r="L97" s="88"/>
      <c r="M97" s="88"/>
      <c r="N97" s="88"/>
      <c r="O97" s="88"/>
    </row>
    <row r="98" spans="1:15" customFormat="1" x14ac:dyDescent="0.3">
      <c r="A98" s="88"/>
      <c r="B98" s="964"/>
      <c r="C98" s="88"/>
      <c r="D98" s="88"/>
      <c r="E98" s="88"/>
      <c r="F98" s="88"/>
      <c r="G98" s="88"/>
      <c r="H98" s="88"/>
      <c r="I98" s="88"/>
      <c r="J98" s="88"/>
      <c r="K98" s="88"/>
      <c r="L98" s="88"/>
      <c r="M98" s="88"/>
      <c r="N98" s="88"/>
      <c r="O98" s="88"/>
    </row>
    <row r="99" spans="1:15" customFormat="1" x14ac:dyDescent="0.3">
      <c r="A99" s="88"/>
      <c r="B99" s="1057"/>
      <c r="C99" s="970"/>
      <c r="D99" s="970"/>
      <c r="E99" s="970"/>
      <c r="F99" s="970"/>
      <c r="G99" s="970"/>
      <c r="H99" s="970"/>
      <c r="I99" s="970"/>
      <c r="J99" s="970"/>
      <c r="K99" s="88"/>
      <c r="L99" s="88"/>
      <c r="M99" s="88"/>
      <c r="N99" s="88"/>
      <c r="O99" s="88"/>
    </row>
    <row r="100" spans="1:15" customFormat="1" x14ac:dyDescent="0.3">
      <c r="A100" s="88">
        <f xml:space="preserve"> MAX(A$55:A99) + 1</f>
        <v>9</v>
      </c>
      <c r="B100" s="962" t="str">
        <f>B35</f>
        <v>EPT: Apply inflation to FS prices and Operating Surplus</v>
      </c>
      <c r="C100" s="971">
        <f xml:space="preserve"> C$126</f>
        <v>2022</v>
      </c>
      <c r="D100" s="972" t="str">
        <f xml:space="preserve"> D$126</f>
        <v>&gt;= 2025</v>
      </c>
      <c r="E100" s="851"/>
      <c r="F100" s="973" t="str">
        <f>"DATA TABLE " &amp; A100</f>
        <v>DATA TABLE 9</v>
      </c>
      <c r="G100" s="851"/>
      <c r="H100" s="961" t="s">
        <v>735</v>
      </c>
      <c r="I100" s="961" t="s">
        <v>887</v>
      </c>
      <c r="J100" s="961" t="s">
        <v>887</v>
      </c>
      <c r="K100" s="88"/>
      <c r="L100" s="88"/>
      <c r="M100" s="88"/>
      <c r="N100" s="88"/>
      <c r="O100" s="88"/>
    </row>
    <row r="101" spans="1:15" customFormat="1" x14ac:dyDescent="0.3">
      <c r="A101" s="88"/>
      <c r="B101" s="974" t="s">
        <v>1031</v>
      </c>
      <c r="C101" s="851" cm="1">
        <f t="array" ref="C101" xml:space="preserve"> INDEX(C$127:C$164, MATCH($B101, B$127:B$164, 0),)</f>
        <v>427.01229881364964</v>
      </c>
      <c r="D101" s="851" cm="1">
        <f t="array" ref="D101" xml:space="preserve"> INDEX(D$127:D$164, MATCH($B101, B$127:B$164, 0),)</f>
        <v>2043.6175351498887</v>
      </c>
      <c r="E101" s="851"/>
      <c r="F101" s="851"/>
      <c r="G101" s="851">
        <f xml:space="preserve"> C101</f>
        <v>427.01229881364964</v>
      </c>
      <c r="H101" s="975">
        <f t="dataTable" ref="H101:J102" dt2D="0" dtr="1" r1="E35" ca="1"/>
        <v>427.01229881364964</v>
      </c>
      <c r="I101" s="975">
        <v>427.01229881364964</v>
      </c>
      <c r="J101" s="975">
        <v>427.01229881364964</v>
      </c>
      <c r="K101" s="88"/>
      <c r="L101" s="88"/>
      <c r="M101" s="88"/>
      <c r="N101" s="88"/>
      <c r="O101" s="88"/>
    </row>
    <row r="102" spans="1:15" customFormat="1" x14ac:dyDescent="0.3">
      <c r="A102" s="88"/>
      <c r="B102" s="851"/>
      <c r="C102" s="851"/>
      <c r="D102" s="851"/>
      <c r="E102" s="851"/>
      <c r="F102" s="851"/>
      <c r="G102" s="851">
        <f xml:space="preserve"> D101</f>
        <v>2043.6175351498887</v>
      </c>
      <c r="H102" s="975">
        <v>2043.6175351498887</v>
      </c>
      <c r="I102" s="975">
        <v>2043.6175351498887</v>
      </c>
      <c r="J102" s="975">
        <v>2043.6175351498887</v>
      </c>
      <c r="K102" s="88"/>
      <c r="L102" s="88"/>
      <c r="M102" s="88"/>
      <c r="N102" s="88"/>
      <c r="O102" s="88"/>
    </row>
    <row r="103" spans="1:15" s="143" customFormat="1" x14ac:dyDescent="0.3">
      <c r="A103" s="168"/>
      <c r="B103" s="1112" t="s">
        <v>706</v>
      </c>
      <c r="C103" s="1096"/>
      <c r="D103" s="1096"/>
      <c r="E103" s="1096"/>
      <c r="F103" s="1096"/>
      <c r="G103" s="1096"/>
      <c r="H103" s="1113">
        <f>H102 - $I102</f>
        <v>0</v>
      </c>
      <c r="I103" s="1113">
        <f>I102 - $I102</f>
        <v>0</v>
      </c>
      <c r="J103" s="1113">
        <f t="shared" ref="J103" si="9">J102 - $I102</f>
        <v>0</v>
      </c>
      <c r="K103" s="168"/>
      <c r="L103" s="168"/>
      <c r="M103" s="168"/>
      <c r="N103" s="168"/>
      <c r="O103" s="168"/>
    </row>
    <row r="104" spans="1:15" customFormat="1" x14ac:dyDescent="0.3">
      <c r="A104" s="88"/>
      <c r="B104" s="1104"/>
      <c r="C104" s="851"/>
      <c r="D104" s="851"/>
      <c r="E104" s="851"/>
      <c r="F104" s="851"/>
      <c r="G104" s="851"/>
      <c r="H104" s="851"/>
      <c r="I104" s="851"/>
      <c r="J104" s="851"/>
      <c r="K104" s="88"/>
      <c r="L104" s="88"/>
      <c r="M104" s="88"/>
      <c r="N104" s="88"/>
      <c r="O104" s="88"/>
    </row>
    <row r="105" spans="1:15" customFormat="1" x14ac:dyDescent="0.3">
      <c r="A105" s="88"/>
      <c r="B105" s="1057" t="str">
        <f xml:space="preserve"> OnePager!C$16</f>
        <v>Opex cost reporting risk</v>
      </c>
      <c r="C105" s="970"/>
      <c r="D105" s="970"/>
      <c r="E105" s="970"/>
      <c r="F105" s="970"/>
      <c r="G105" s="970"/>
      <c r="H105" s="970"/>
      <c r="I105" s="970"/>
      <c r="J105" s="970"/>
      <c r="K105" s="88"/>
      <c r="L105" s="88"/>
      <c r="M105" s="88"/>
      <c r="N105" s="88"/>
      <c r="O105" s="88"/>
    </row>
    <row r="106" spans="1:15" customFormat="1" x14ac:dyDescent="0.3">
      <c r="A106" s="88">
        <v>10</v>
      </c>
      <c r="B106" s="1105" t="s">
        <v>1157</v>
      </c>
      <c r="C106" s="971">
        <f xml:space="preserve"> C$126</f>
        <v>2022</v>
      </c>
      <c r="D106" s="971" t="str">
        <f xml:space="preserve"> D$126</f>
        <v>&gt;= 2025</v>
      </c>
      <c r="E106" s="851"/>
      <c r="F106" s="973" t="str">
        <f>"DATA TABLE " &amp; A106</f>
        <v>DATA TABLE 10</v>
      </c>
      <c r="G106" s="851"/>
      <c r="H106" s="1012">
        <v>0</v>
      </c>
      <c r="I106" s="1012">
        <v>0.02</v>
      </c>
      <c r="J106" s="1012">
        <v>0.05</v>
      </c>
      <c r="K106" s="88"/>
      <c r="L106" s="88"/>
      <c r="M106" s="88"/>
      <c r="N106" s="88"/>
      <c r="O106" s="88"/>
    </row>
    <row r="107" spans="1:15" customFormat="1" x14ac:dyDescent="0.3">
      <c r="A107" s="88"/>
      <c r="B107" s="974" t="s">
        <v>1031</v>
      </c>
      <c r="C107" s="851" cm="1">
        <f t="array" ref="C107" xml:space="preserve"> INDEX(C$127:C$164, MATCH($B107, B$127:B$164, 0),)</f>
        <v>427.01229881364964</v>
      </c>
      <c r="D107" s="851" cm="1">
        <f t="array" ref="D107" xml:space="preserve"> INDEX(D$127:D$164, MATCH($B107, B$127:B$164, 0),)</f>
        <v>2043.6175351498887</v>
      </c>
      <c r="E107" s="851"/>
      <c r="F107" s="851"/>
      <c r="G107" s="851">
        <f xml:space="preserve"> C107</f>
        <v>427.01229881364964</v>
      </c>
      <c r="H107" s="975">
        <f t="dataTable" ref="H107:J108" dt2D="0" dtr="1" r1="E33" ca="1"/>
        <v>427.01229881364964</v>
      </c>
      <c r="I107" s="975">
        <v>424.89184900841042</v>
      </c>
      <c r="J107" s="975">
        <v>421.71117430055153</v>
      </c>
      <c r="K107" s="88"/>
      <c r="L107" s="88"/>
      <c r="M107" s="88"/>
      <c r="N107" s="88"/>
      <c r="O107" s="88"/>
    </row>
    <row r="108" spans="1:15" s="70" customFormat="1" x14ac:dyDescent="0.3">
      <c r="A108" s="408"/>
      <c r="B108" s="1090"/>
      <c r="C108" s="1090"/>
      <c r="D108" s="1090"/>
      <c r="E108" s="1090"/>
      <c r="F108" s="1090"/>
      <c r="G108" s="1090">
        <f xml:space="preserve"> D107</f>
        <v>2043.6175351498887</v>
      </c>
      <c r="H108" s="1163">
        <v>2043.6175351498887</v>
      </c>
      <c r="I108" s="1163">
        <v>2011.319360761938</v>
      </c>
      <c r="J108" s="1163">
        <v>1962.8720991800126</v>
      </c>
      <c r="K108" s="408"/>
      <c r="L108" s="408"/>
      <c r="M108" s="408"/>
      <c r="N108" s="408"/>
      <c r="O108" s="408"/>
    </row>
    <row r="109" spans="1:15" s="168" customFormat="1" x14ac:dyDescent="0.3">
      <c r="B109" s="1126" t="s">
        <v>706</v>
      </c>
      <c r="C109" s="1091"/>
      <c r="D109" s="1091"/>
      <c r="E109" s="1091"/>
      <c r="F109" s="1091"/>
      <c r="G109" s="1091"/>
      <c r="H109" s="1091"/>
      <c r="I109" s="1091">
        <f>I108 - $H108</f>
        <v>-32.298174387950667</v>
      </c>
      <c r="J109" s="1091">
        <f>J108 - $H108</f>
        <v>-80.745435969876098</v>
      </c>
    </row>
    <row r="110" spans="1:15" s="143" customFormat="1" x14ac:dyDescent="0.3">
      <c r="A110" s="168"/>
      <c r="B110" s="1156"/>
      <c r="C110" s="554"/>
      <c r="D110" s="554"/>
      <c r="E110" s="554"/>
      <c r="F110" s="554"/>
      <c r="G110" s="554"/>
      <c r="H110" s="554"/>
      <c r="I110" s="1142"/>
      <c r="J110" s="1142"/>
      <c r="K110" s="168"/>
      <c r="L110" s="168"/>
      <c r="M110" s="168"/>
      <c r="N110" s="168"/>
      <c r="O110" s="168"/>
    </row>
    <row r="111" spans="1:15" s="143" customFormat="1" x14ac:dyDescent="0.3">
      <c r="B111" s="1269" t="str">
        <f xml:space="preserve"> OnePager!C$15</f>
        <v>Deductibility of debt interest</v>
      </c>
      <c r="C111" s="1091"/>
      <c r="D111" s="1091"/>
      <c r="E111" s="1091"/>
      <c r="F111" s="1091"/>
      <c r="G111" s="1091"/>
      <c r="H111" s="1091"/>
      <c r="I111" s="1127"/>
      <c r="J111" s="1127"/>
      <c r="K111" s="168"/>
      <c r="L111" s="168"/>
      <c r="M111" s="168"/>
      <c r="N111" s="168"/>
      <c r="O111" s="168"/>
    </row>
    <row r="112" spans="1:15" s="143" customFormat="1" x14ac:dyDescent="0.3">
      <c r="A112" s="168">
        <v>11</v>
      </c>
      <c r="B112" s="1157" t="str">
        <f>B36</f>
        <v>FS or alternative debt interest rates</v>
      </c>
      <c r="C112" s="971">
        <f xml:space="preserve"> C$126</f>
        <v>2022</v>
      </c>
      <c r="D112" s="971" t="str">
        <f xml:space="preserve"> D$126</f>
        <v>&gt;= 2025</v>
      </c>
      <c r="E112" s="1091"/>
      <c r="F112" s="973" t="str">
        <f>"DATA TABLE " &amp; A112</f>
        <v>DATA TABLE 11</v>
      </c>
      <c r="G112" s="1091"/>
      <c r="H112" s="1012" t="s">
        <v>1082</v>
      </c>
      <c r="I112" s="1012" t="s">
        <v>552</v>
      </c>
      <c r="J112" s="1012" t="s">
        <v>552</v>
      </c>
      <c r="K112" s="168"/>
      <c r="L112" s="168"/>
      <c r="M112" s="168"/>
      <c r="N112" s="168"/>
      <c r="O112" s="168"/>
    </row>
    <row r="113" spans="1:19" s="143" customFormat="1" x14ac:dyDescent="0.3">
      <c r="A113" s="168"/>
      <c r="B113" s="974" t="s">
        <v>1031</v>
      </c>
      <c r="C113" s="1091" cm="1">
        <f t="array" ref="C113" xml:space="preserve"> INDEX(C$127:C$164, MATCH($B107, B$127:B$164, 0),)</f>
        <v>427.01229881364964</v>
      </c>
      <c r="D113" s="1091" cm="1">
        <f t="array" ref="D113" xml:space="preserve"> INDEX(D$127:D$164, MATCH($B107, B$127:B$164, 0),)</f>
        <v>2043.6175351498887</v>
      </c>
      <c r="E113" s="1091"/>
      <c r="F113" s="1091"/>
      <c r="G113" s="851">
        <f xml:space="preserve"> C113</f>
        <v>427.01229881364964</v>
      </c>
      <c r="H113" s="975">
        <f t="dataTable" ref="H113:J114" dt2D="0" dtr="1" r1="E36" ca="1"/>
        <v>426.59940955110244</v>
      </c>
      <c r="I113" s="975">
        <v>427.01229881364964</v>
      </c>
      <c r="J113" s="975">
        <v>427.01229881364964</v>
      </c>
      <c r="K113" s="168"/>
      <c r="L113" s="168"/>
      <c r="M113" s="168"/>
      <c r="N113" s="168"/>
      <c r="O113" s="168"/>
    </row>
    <row r="114" spans="1:19" s="143" customFormat="1" x14ac:dyDescent="0.3">
      <c r="A114" s="168"/>
      <c r="B114" s="1091"/>
      <c r="C114" s="1091"/>
      <c r="D114" s="1091"/>
      <c r="E114" s="1091"/>
      <c r="F114" s="1091"/>
      <c r="G114" s="851">
        <f xml:space="preserve"> D113</f>
        <v>2043.6175351498887</v>
      </c>
      <c r="H114" s="975">
        <v>2042.4024018150742</v>
      </c>
      <c r="I114" s="975">
        <v>2043.6175351498887</v>
      </c>
      <c r="J114" s="975">
        <v>2043.6175351498887</v>
      </c>
      <c r="K114" s="168"/>
      <c r="L114" s="168"/>
      <c r="M114" s="168"/>
      <c r="N114" s="168"/>
      <c r="O114" s="168"/>
    </row>
    <row r="115" spans="1:19" s="408" customFormat="1" x14ac:dyDescent="0.3">
      <c r="B115" s="1128" t="s">
        <v>706</v>
      </c>
      <c r="C115" s="1090"/>
      <c r="D115" s="1090"/>
      <c r="E115" s="1090"/>
      <c r="F115" s="1090"/>
      <c r="G115" s="1090"/>
      <c r="H115" s="1164">
        <f>H114 - $I114</f>
        <v>-1.2151333348144817</v>
      </c>
      <c r="I115" s="1164">
        <f>I114 - $I114</f>
        <v>0</v>
      </c>
      <c r="J115" s="1164">
        <f>J114 - $I114</f>
        <v>0</v>
      </c>
    </row>
    <row r="116" spans="1:19" s="143" customFormat="1" x14ac:dyDescent="0.3">
      <c r="A116" s="88"/>
      <c r="B116" s="1057" t="str">
        <f xml:space="preserve"> OnePager!C$27</f>
        <v>License Renewal Equity</v>
      </c>
      <c r="C116" s="970"/>
      <c r="D116" s="970"/>
      <c r="E116" s="970"/>
      <c r="F116" s="970"/>
      <c r="G116" s="970"/>
      <c r="H116" s="970"/>
      <c r="I116" s="970"/>
      <c r="J116" s="970"/>
      <c r="K116" s="168"/>
      <c r="L116" s="168"/>
      <c r="M116" s="168"/>
      <c r="N116" s="168"/>
      <c r="O116" s="168"/>
    </row>
    <row r="117" spans="1:19" s="143" customFormat="1" x14ac:dyDescent="0.3">
      <c r="A117" s="88">
        <v>12</v>
      </c>
      <c r="B117" s="1105" t="str">
        <f>COMMUS_Model!E943</f>
        <v>Gecamines share of project post 2024</v>
      </c>
      <c r="C117" s="971">
        <f xml:space="preserve"> C$126</f>
        <v>2022</v>
      </c>
      <c r="D117" s="971" t="str">
        <f xml:space="preserve"> D$126</f>
        <v>&gt;= 2025</v>
      </c>
      <c r="E117" s="851"/>
      <c r="F117" s="973" t="str">
        <f>"DATA TABLE " &amp; A117</f>
        <v>DATA TABLE 12</v>
      </c>
      <c r="G117" s="851"/>
      <c r="H117" s="1012"/>
      <c r="I117" s="1012">
        <v>0.28000000000000003</v>
      </c>
      <c r="J117" s="1012">
        <v>0.33</v>
      </c>
      <c r="K117" s="168"/>
      <c r="L117" s="168"/>
      <c r="M117" s="168"/>
      <c r="N117" s="168"/>
      <c r="O117" s="168"/>
    </row>
    <row r="118" spans="1:19" s="143" customFormat="1" x14ac:dyDescent="0.3">
      <c r="A118" s="88"/>
      <c r="B118" s="974" t="s">
        <v>1031</v>
      </c>
      <c r="C118" s="851" cm="1">
        <f t="array" ref="C118" xml:space="preserve"> INDEX(C$127:C$164, MATCH($B118, B$127:B$164, 0),)</f>
        <v>427.01229881364964</v>
      </c>
      <c r="D118" s="851" cm="1">
        <f t="array" ref="D118" xml:space="preserve"> INDEX(D$127:D$164, MATCH($B118, B$127:B$164, 0),)</f>
        <v>2043.6175351498887</v>
      </c>
      <c r="E118" s="851"/>
      <c r="F118" s="851"/>
      <c r="G118" s="851">
        <f xml:space="preserve"> C118</f>
        <v>427.01229881364964</v>
      </c>
      <c r="H118" s="975">
        <f t="dataTable" ref="H118:J119" dt2D="0" dtr="1" r1="E42"/>
        <v>427.01229881364964</v>
      </c>
      <c r="I118" s="975">
        <v>427.01229881364964</v>
      </c>
      <c r="J118" s="975">
        <v>427.01229881364964</v>
      </c>
      <c r="K118" s="168"/>
      <c r="L118" s="168"/>
      <c r="M118" s="168"/>
      <c r="N118" s="168"/>
      <c r="O118" s="168"/>
    </row>
    <row r="119" spans="1:19" s="70" customFormat="1" x14ac:dyDescent="0.3">
      <c r="A119" s="408"/>
      <c r="B119" s="1090"/>
      <c r="C119" s="1090"/>
      <c r="D119" s="1090"/>
      <c r="E119" s="1090"/>
      <c r="F119" s="1090"/>
      <c r="G119" s="1090">
        <f xml:space="preserve"> D118</f>
        <v>2043.6175351498887</v>
      </c>
      <c r="H119" s="1163">
        <v>1524.1375206718112</v>
      </c>
      <c r="I119" s="1163">
        <v>1964.9084420471497</v>
      </c>
      <c r="J119" s="1163">
        <v>2043.6175351498887</v>
      </c>
      <c r="K119" s="408"/>
      <c r="L119" s="408"/>
      <c r="M119" s="408"/>
      <c r="N119" s="408"/>
      <c r="O119" s="408"/>
    </row>
    <row r="120" spans="1:19" s="168" customFormat="1" x14ac:dyDescent="0.3">
      <c r="B120" s="1112" t="s">
        <v>706</v>
      </c>
      <c r="C120" s="1096"/>
      <c r="D120" s="1096"/>
      <c r="E120" s="1096"/>
      <c r="F120" s="1096"/>
      <c r="G120" s="1096"/>
      <c r="H120" s="1096"/>
      <c r="I120" s="1096"/>
      <c r="J120" s="1096">
        <f>J119 - $I119</f>
        <v>78.709093102738962</v>
      </c>
    </row>
    <row r="121" spans="1:19" s="143" customFormat="1" x14ac:dyDescent="0.3">
      <c r="A121" s="168"/>
      <c r="B121" s="1126"/>
      <c r="C121" s="1091"/>
      <c r="D121" s="1091"/>
      <c r="E121" s="1091"/>
      <c r="F121" s="1091"/>
      <c r="G121" s="1091"/>
      <c r="H121" s="1091"/>
      <c r="I121" s="1127"/>
      <c r="J121" s="1127"/>
      <c r="K121" s="168"/>
      <c r="L121" s="168"/>
      <c r="M121" s="168"/>
      <c r="N121" s="168"/>
      <c r="O121" s="168"/>
    </row>
    <row r="122" spans="1:19" s="70" customFormat="1" x14ac:dyDescent="0.3">
      <c r="A122" s="408"/>
      <c r="B122" s="1128"/>
      <c r="C122" s="1090"/>
      <c r="D122" s="1090"/>
      <c r="E122" s="1090"/>
      <c r="F122" s="806"/>
      <c r="G122" s="1090"/>
      <c r="H122" s="1090"/>
      <c r="I122" s="1129"/>
      <c r="J122" s="1129"/>
      <c r="K122" s="408"/>
      <c r="L122" s="408"/>
      <c r="M122" s="408"/>
      <c r="N122" s="408"/>
      <c r="O122" s="408"/>
    </row>
    <row r="123" spans="1:19" customFormat="1" x14ac:dyDescent="0.3">
      <c r="A123" s="88"/>
      <c r="B123" s="1104"/>
      <c r="C123" s="851"/>
      <c r="D123" s="851"/>
      <c r="E123" s="851"/>
      <c r="F123" s="851"/>
      <c r="G123" s="851"/>
      <c r="H123" s="851"/>
      <c r="I123" s="851"/>
      <c r="J123" s="851"/>
      <c r="K123" s="88"/>
      <c r="L123" s="88"/>
      <c r="M123" s="88"/>
      <c r="N123" s="88"/>
      <c r="O123" s="88"/>
    </row>
    <row r="124" spans="1:19" x14ac:dyDescent="0.3">
      <c r="A124" s="965" t="s">
        <v>901</v>
      </c>
      <c r="B124" s="965"/>
      <c r="C124" s="965"/>
      <c r="D124" s="965"/>
      <c r="E124" s="965"/>
      <c r="F124" s="965"/>
      <c r="G124" s="965"/>
      <c r="H124" s="965"/>
      <c r="I124" s="965"/>
      <c r="J124" s="965"/>
      <c r="K124" s="965"/>
      <c r="L124" s="965"/>
      <c r="M124" s="965"/>
      <c r="N124" s="965"/>
      <c r="O124" s="965"/>
      <c r="P124" s="891"/>
      <c r="Q124" s="891"/>
      <c r="R124" s="891"/>
      <c r="S124" s="891"/>
    </row>
    <row r="125" spans="1:19" x14ac:dyDescent="0.3">
      <c r="A125" s="42"/>
      <c r="B125" s="966" t="s">
        <v>902</v>
      </c>
      <c r="C125" s="967"/>
      <c r="D125" s="967"/>
      <c r="E125" s="967"/>
      <c r="F125" s="967"/>
      <c r="G125" s="42"/>
      <c r="H125" s="42"/>
      <c r="I125" s="42"/>
      <c r="J125" s="42"/>
      <c r="K125" s="42"/>
      <c r="L125" s="42"/>
      <c r="M125" s="42"/>
      <c r="N125" s="42"/>
      <c r="O125" s="42"/>
    </row>
    <row r="126" spans="1:19" x14ac:dyDescent="0.3">
      <c r="A126" s="42"/>
      <c r="B126" s="374" t="str">
        <f xml:space="preserve"> COMMUS_Model!E$1064</f>
        <v>Project cashflows NOMINAL</v>
      </c>
      <c r="C126" s="1054">
        <f xml:space="preserve"> COMMUS_Model!F$1064</f>
        <v>2022</v>
      </c>
      <c r="D126" s="1055" t="str">
        <f xml:space="preserve"> COMMUS_Model!G$1064</f>
        <v>&gt;= 2025</v>
      </c>
      <c r="E126" s="293">
        <f xml:space="preserve"> COMMUS_Model!H$1064</f>
        <v>0</v>
      </c>
      <c r="F126" s="42"/>
      <c r="G126" s="42"/>
      <c r="H126" s="42"/>
      <c r="I126" s="42"/>
      <c r="J126" s="42"/>
      <c r="K126" s="42"/>
      <c r="L126" s="42"/>
      <c r="M126" s="42"/>
      <c r="N126" s="42"/>
      <c r="O126" s="42"/>
    </row>
    <row r="127" spans="1:19" x14ac:dyDescent="0.3">
      <c r="A127" s="42"/>
      <c r="B127" s="1056">
        <f xml:space="preserve"> COMMUS_Model!E$1065</f>
        <v>0</v>
      </c>
      <c r="C127" s="1056">
        <f xml:space="preserve"> COMMUS_Model!F$1065</f>
        <v>0</v>
      </c>
      <c r="D127" s="1056">
        <f xml:space="preserve"> COMMUS_Model!G$1065</f>
        <v>0</v>
      </c>
      <c r="E127" s="1056">
        <f xml:space="preserve"> COMMUS_Model!H$1065</f>
        <v>0</v>
      </c>
      <c r="F127" s="968"/>
      <c r="G127" s="42"/>
      <c r="H127" s="42"/>
      <c r="I127" s="42"/>
      <c r="J127" s="42"/>
      <c r="K127" s="42"/>
      <c r="L127" s="42"/>
      <c r="M127" s="42"/>
      <c r="N127" s="42"/>
      <c r="O127" s="42"/>
    </row>
    <row r="128" spans="1:19" x14ac:dyDescent="0.3">
      <c r="A128" s="42"/>
      <c r="B128" s="168" t="str">
        <f xml:space="preserve"> COMMUS_Model!E$1066</f>
        <v>Copper production incl Sens.</v>
      </c>
      <c r="C128" s="168">
        <f xml:space="preserve"> COMMUS_Model!F$1066</f>
        <v>147.09399999999999</v>
      </c>
      <c r="D128" s="168">
        <f xml:space="preserve"> COMMUS_Model!G$1066</f>
        <v>770.03049999999996</v>
      </c>
      <c r="E128" s="168" t="str">
        <f xml:space="preserve"> COMMUS_Model!H$1066</f>
        <v>KT Cu</v>
      </c>
      <c r="F128" s="88"/>
      <c r="G128" s="88"/>
      <c r="H128" s="42"/>
      <c r="I128" s="42"/>
      <c r="J128" s="42"/>
      <c r="K128" s="42"/>
      <c r="L128" s="42"/>
      <c r="M128" s="42"/>
      <c r="N128" s="42"/>
      <c r="O128" s="42"/>
    </row>
    <row r="129" spans="1:15" x14ac:dyDescent="0.3">
      <c r="A129" s="42"/>
      <c r="B129" s="168" t="str">
        <f xml:space="preserve"> COMMUS_Model!E$1067</f>
        <v>Cobalt production incl Sens.</v>
      </c>
      <c r="C129" s="168">
        <f xml:space="preserve"> COMMUS_Model!F$1067</f>
        <v>2.5061800000000001</v>
      </c>
      <c r="D129" s="168">
        <f xml:space="preserve"> COMMUS_Model!G$1067</f>
        <v>12.494162857142857</v>
      </c>
      <c r="E129" s="168" t="str">
        <f xml:space="preserve"> COMMUS_Model!H$1067</f>
        <v>KT Co</v>
      </c>
      <c r="F129" s="88"/>
      <c r="G129" s="88"/>
      <c r="H129" s="42"/>
      <c r="I129" s="42"/>
      <c r="J129" s="42"/>
      <c r="K129" s="42"/>
      <c r="L129" s="42"/>
      <c r="M129" s="42"/>
      <c r="N129" s="42"/>
      <c r="O129" s="42"/>
    </row>
    <row r="130" spans="1:15" x14ac:dyDescent="0.3">
      <c r="A130" s="42"/>
      <c r="B130" s="168">
        <f xml:space="preserve"> COMMUS_Model!E$1068</f>
        <v>0</v>
      </c>
      <c r="C130" s="168">
        <f xml:space="preserve"> COMMUS_Model!F$1068</f>
        <v>0</v>
      </c>
      <c r="D130" s="168">
        <f xml:space="preserve"> COMMUS_Model!G$1068</f>
        <v>0</v>
      </c>
      <c r="E130" s="168">
        <f xml:space="preserve"> COMMUS_Model!H$1068</f>
        <v>0</v>
      </c>
      <c r="F130" s="88"/>
      <c r="G130" s="88"/>
      <c r="H130" s="42"/>
      <c r="I130" s="42"/>
      <c r="J130" s="42"/>
      <c r="K130" s="42"/>
      <c r="L130" s="42"/>
      <c r="M130" s="42"/>
      <c r="N130" s="42"/>
      <c r="O130" s="42"/>
    </row>
    <row r="131" spans="1:15" x14ac:dyDescent="0.3">
      <c r="A131" s="42"/>
      <c r="B131" s="168" t="str">
        <f xml:space="preserve"> COMMUS_Model!E$1069</f>
        <v>Copper gross revenue</v>
      </c>
      <c r="C131" s="168">
        <f xml:space="preserve"> COMMUS_Model!F$1069</f>
        <v>938.45274099999995</v>
      </c>
      <c r="D131" s="168">
        <f xml:space="preserve"> COMMUS_Model!G$1069</f>
        <v>6407.5023535756927</v>
      </c>
      <c r="E131" s="168" t="str">
        <f xml:space="preserve"> COMMUS_Model!H$1069</f>
        <v>$ mn</v>
      </c>
      <c r="F131" s="88"/>
      <c r="G131" s="88"/>
      <c r="H131" s="42"/>
      <c r="I131" s="42"/>
      <c r="J131" s="42"/>
      <c r="K131" s="42"/>
      <c r="L131" s="42"/>
      <c r="M131" s="42"/>
      <c r="N131" s="42"/>
      <c r="O131" s="42"/>
    </row>
    <row r="132" spans="1:15" x14ac:dyDescent="0.3">
      <c r="A132" s="42"/>
      <c r="B132" s="168" t="str">
        <f xml:space="preserve"> COMMUS_Model!E$1070</f>
        <v>Cobalt gross revenue</v>
      </c>
      <c r="C132" s="168">
        <f xml:space="preserve"> COMMUS_Model!F$1070</f>
        <v>104.42579902523998</v>
      </c>
      <c r="D132" s="168">
        <f xml:space="preserve"> COMMUS_Model!G$1070</f>
        <v>327.94017984808022</v>
      </c>
      <c r="E132" s="168" t="str">
        <f xml:space="preserve"> COMMUS_Model!H$1070</f>
        <v>$ mn</v>
      </c>
      <c r="F132" s="88"/>
      <c r="G132" s="88"/>
      <c r="H132" s="42"/>
      <c r="I132" s="42"/>
      <c r="J132" s="42"/>
      <c r="K132" s="42"/>
      <c r="L132" s="42"/>
      <c r="M132" s="42"/>
      <c r="N132" s="42"/>
      <c r="O132" s="42"/>
    </row>
    <row r="133" spans="1:15" x14ac:dyDescent="0.3">
      <c r="A133" s="42"/>
      <c r="B133" s="168" t="str">
        <f xml:space="preserve"> COMMUS_Model!E$1071</f>
        <v>Total gross revenue</v>
      </c>
      <c r="C133" s="168">
        <f xml:space="preserve"> COMMUS_Model!F$1071</f>
        <v>1042.87854002524</v>
      </c>
      <c r="D133" s="168">
        <f xml:space="preserve"> COMMUS_Model!G$1071</f>
        <v>6735.4425334237731</v>
      </c>
      <c r="E133" s="168" t="str">
        <f xml:space="preserve"> COMMUS_Model!H$1071</f>
        <v>$ mn</v>
      </c>
      <c r="F133" s="88"/>
      <c r="G133" s="88"/>
      <c r="H133" s="42"/>
      <c r="I133" s="42"/>
      <c r="J133" s="42"/>
      <c r="K133" s="42"/>
      <c r="L133" s="42"/>
      <c r="M133" s="42"/>
      <c r="N133" s="42"/>
      <c r="O133" s="42"/>
    </row>
    <row r="134" spans="1:15" x14ac:dyDescent="0.3">
      <c r="A134" s="42"/>
      <c r="B134" s="168">
        <f xml:space="preserve"> COMMUS_Model!E$1072</f>
        <v>0</v>
      </c>
      <c r="C134" s="168">
        <f xml:space="preserve"> COMMUS_Model!F$1072</f>
        <v>0</v>
      </c>
      <c r="D134" s="168">
        <f xml:space="preserve"> COMMUS_Model!G$1072</f>
        <v>0</v>
      </c>
      <c r="E134" s="168">
        <f xml:space="preserve"> COMMUS_Model!H$1072</f>
        <v>0</v>
      </c>
      <c r="F134" s="88"/>
      <c r="G134" s="88"/>
      <c r="H134" s="42"/>
      <c r="I134" s="42"/>
      <c r="J134" s="42"/>
      <c r="K134" s="42"/>
      <c r="L134" s="42"/>
      <c r="M134" s="42"/>
      <c r="N134" s="42"/>
      <c r="O134" s="42"/>
    </row>
    <row r="135" spans="1:15" x14ac:dyDescent="0.3">
      <c r="A135" s="42"/>
      <c r="B135" s="168" t="str">
        <f xml:space="preserve"> COMMUS_Model!E$1073</f>
        <v>Selling costs</v>
      </c>
      <c r="C135" s="168">
        <f xml:space="preserve"> COMMUS_Model!F$1073</f>
        <v>0</v>
      </c>
      <c r="D135" s="168">
        <f xml:space="preserve"> COMMUS_Model!G$1073</f>
        <v>0</v>
      </c>
      <c r="E135" s="168" t="str">
        <f xml:space="preserve"> COMMUS_Model!H$1073</f>
        <v>$ mn</v>
      </c>
      <c r="F135" s="88"/>
      <c r="G135" s="88"/>
      <c r="H135" s="42"/>
      <c r="I135" s="42"/>
      <c r="J135" s="42"/>
      <c r="K135" s="42"/>
      <c r="L135" s="42"/>
      <c r="M135" s="42"/>
      <c r="N135" s="42"/>
      <c r="O135" s="42"/>
    </row>
    <row r="136" spans="1:15" x14ac:dyDescent="0.3">
      <c r="A136" s="42"/>
      <c r="B136" s="168">
        <f xml:space="preserve"> COMMUS_Model!E$1074</f>
        <v>0</v>
      </c>
      <c r="C136" s="168">
        <f xml:space="preserve"> COMMUS_Model!F$1074</f>
        <v>0</v>
      </c>
      <c r="D136" s="168">
        <f xml:space="preserve"> COMMUS_Model!G$1074</f>
        <v>0</v>
      </c>
      <c r="E136" s="168">
        <f xml:space="preserve"> COMMUS_Model!H$1074</f>
        <v>0</v>
      </c>
      <c r="F136" s="88"/>
      <c r="G136" s="88"/>
      <c r="H136" s="42"/>
      <c r="I136" s="42"/>
      <c r="J136" s="42"/>
      <c r="K136" s="42"/>
      <c r="L136" s="42"/>
      <c r="M136" s="42"/>
      <c r="N136" s="42"/>
      <c r="O136" s="42"/>
    </row>
    <row r="137" spans="1:15" x14ac:dyDescent="0.3">
      <c r="A137" s="42"/>
      <c r="B137" s="168" t="str">
        <f xml:space="preserve"> COMMUS_Model!E$1075</f>
        <v>Copper net revenue</v>
      </c>
      <c r="C137" s="168">
        <f xml:space="preserve"> COMMUS_Model!F$1075</f>
        <v>938.45274099999995</v>
      </c>
      <c r="D137" s="168">
        <f xml:space="preserve"> COMMUS_Model!G$1075</f>
        <v>6407.5023535756927</v>
      </c>
      <c r="E137" s="168" t="str">
        <f xml:space="preserve"> COMMUS_Model!H$1075</f>
        <v>$ mn</v>
      </c>
      <c r="F137" s="88"/>
      <c r="G137" s="88"/>
      <c r="H137" s="42"/>
      <c r="I137" s="42"/>
      <c r="J137" s="42"/>
      <c r="K137" s="42"/>
      <c r="L137" s="42"/>
      <c r="M137" s="42"/>
      <c r="N137" s="42"/>
      <c r="O137" s="42"/>
    </row>
    <row r="138" spans="1:15" x14ac:dyDescent="0.3">
      <c r="A138" s="42"/>
      <c r="B138" s="168" t="str">
        <f xml:space="preserve"> COMMUS_Model!E$1076</f>
        <v>Cobalt net revenue</v>
      </c>
      <c r="C138" s="168">
        <f xml:space="preserve"> COMMUS_Model!F$1076</f>
        <v>104.42579902523998</v>
      </c>
      <c r="D138" s="168">
        <f xml:space="preserve"> COMMUS_Model!G$1076</f>
        <v>327.94017984808022</v>
      </c>
      <c r="E138" s="168" t="str">
        <f xml:space="preserve"> COMMUS_Model!H$1076</f>
        <v>$ mn</v>
      </c>
      <c r="F138" s="88"/>
      <c r="G138" s="88"/>
      <c r="H138" s="42"/>
      <c r="I138" s="42"/>
      <c r="J138" s="42"/>
      <c r="K138" s="42"/>
      <c r="L138" s="42"/>
      <c r="M138" s="42"/>
      <c r="N138" s="42"/>
      <c r="O138" s="42"/>
    </row>
    <row r="139" spans="1:15" x14ac:dyDescent="0.3">
      <c r="A139" s="42"/>
      <c r="B139" s="168" t="str">
        <f xml:space="preserve"> COMMUS_Model!E$1077</f>
        <v>Total net revenue</v>
      </c>
      <c r="C139" s="168">
        <f xml:space="preserve"> COMMUS_Model!F$1077</f>
        <v>1042.87854002524</v>
      </c>
      <c r="D139" s="168">
        <f xml:space="preserve"> COMMUS_Model!G$1077</f>
        <v>6735.4425334237731</v>
      </c>
      <c r="E139" s="168" t="str">
        <f xml:space="preserve"> COMMUS_Model!H$1077</f>
        <v>$ mn</v>
      </c>
      <c r="F139" s="88"/>
      <c r="G139" s="88"/>
      <c r="H139" s="42"/>
      <c r="I139" s="42"/>
      <c r="J139" s="42"/>
      <c r="K139" s="42"/>
      <c r="L139" s="42"/>
      <c r="M139" s="42"/>
      <c r="N139" s="42"/>
      <c r="O139" s="42"/>
    </row>
    <row r="140" spans="1:15" x14ac:dyDescent="0.3">
      <c r="A140" s="42"/>
      <c r="B140" s="168">
        <f xml:space="preserve"> COMMUS_Model!E$1078</f>
        <v>0</v>
      </c>
      <c r="C140" s="168">
        <f xml:space="preserve"> COMMUS_Model!F$1078</f>
        <v>0</v>
      </c>
      <c r="D140" s="168">
        <f xml:space="preserve"> COMMUS_Model!G$1078</f>
        <v>0</v>
      </c>
      <c r="E140" s="168">
        <f xml:space="preserve"> COMMUS_Model!H$1078</f>
        <v>0</v>
      </c>
      <c r="F140" s="88"/>
      <c r="G140" s="88"/>
      <c r="H140" s="42"/>
      <c r="I140" s="42"/>
      <c r="J140" s="42"/>
      <c r="K140" s="42"/>
      <c r="L140" s="42"/>
      <c r="M140" s="42"/>
      <c r="N140" s="42"/>
      <c r="O140" s="42"/>
    </row>
    <row r="141" spans="1:15" x14ac:dyDescent="0.3">
      <c r="A141" s="42"/>
      <c r="B141" s="168">
        <f xml:space="preserve"> COMMUS_Model!E$1079</f>
        <v>0</v>
      </c>
      <c r="C141" s="168">
        <f xml:space="preserve"> COMMUS_Model!F$1079</f>
        <v>0</v>
      </c>
      <c r="D141" s="168">
        <f xml:space="preserve"> COMMUS_Model!G$1079</f>
        <v>0</v>
      </c>
      <c r="E141" s="168">
        <f xml:space="preserve"> COMMUS_Model!H$1079</f>
        <v>0</v>
      </c>
      <c r="F141" s="88"/>
      <c r="G141" s="88"/>
      <c r="H141" s="42"/>
      <c r="I141" s="42"/>
      <c r="J141" s="42"/>
      <c r="K141" s="42"/>
      <c r="L141" s="42"/>
      <c r="M141" s="42"/>
      <c r="N141" s="42"/>
      <c r="O141" s="42"/>
    </row>
    <row r="142" spans="1:15" x14ac:dyDescent="0.3">
      <c r="A142" s="42"/>
      <c r="B142" s="168" t="str">
        <f xml:space="preserve"> COMMUS_Model!E$1080</f>
        <v>Operating costs, including Sens.</v>
      </c>
      <c r="C142" s="168">
        <f xml:space="preserve"> COMMUS_Model!F$1080</f>
        <v>521.23181416247598</v>
      </c>
      <c r="D142" s="168">
        <f xml:space="preserve"> COMMUS_Model!G$1080</f>
        <v>4000.4893766404239</v>
      </c>
      <c r="E142" s="168" t="str">
        <f xml:space="preserve"> COMMUS_Model!H$1080</f>
        <v>$ mn</v>
      </c>
      <c r="F142" s="88"/>
      <c r="G142" s="88"/>
      <c r="H142" s="42"/>
      <c r="I142" s="42"/>
      <c r="J142" s="42"/>
      <c r="K142" s="42"/>
      <c r="L142" s="42"/>
      <c r="M142" s="42"/>
      <c r="N142" s="42"/>
      <c r="O142" s="42"/>
    </row>
    <row r="143" spans="1:15" x14ac:dyDescent="0.3">
      <c r="A143" s="42"/>
      <c r="B143" s="168" t="str">
        <f xml:space="preserve"> COMMUS_Model!E$1081</f>
        <v>Capital costs, including Sens.</v>
      </c>
      <c r="C143" s="168">
        <f xml:space="preserve"> COMMUS_Model!F$1081</f>
        <v>100.30613584</v>
      </c>
      <c r="D143" s="168">
        <f xml:space="preserve"> COMMUS_Model!G$1081</f>
        <v>0</v>
      </c>
      <c r="E143" s="168" t="str">
        <f xml:space="preserve"> COMMUS_Model!H$1081</f>
        <v>$ mn</v>
      </c>
      <c r="F143" s="88"/>
      <c r="G143" s="88"/>
      <c r="H143" s="42"/>
      <c r="I143" s="42"/>
      <c r="J143" s="42"/>
      <c r="K143" s="42"/>
      <c r="L143" s="42"/>
      <c r="M143" s="42"/>
      <c r="N143" s="42"/>
      <c r="O143" s="42"/>
    </row>
    <row r="144" spans="1:15" x14ac:dyDescent="0.3">
      <c r="A144" s="42"/>
      <c r="B144" s="168" t="str">
        <f xml:space="preserve"> COMMUS_Model!E$1082</f>
        <v>Project costs</v>
      </c>
      <c r="C144" s="168">
        <f xml:space="preserve"> COMMUS_Model!F$1082</f>
        <v>621.53795000247601</v>
      </c>
      <c r="D144" s="168">
        <f xml:space="preserve"> COMMUS_Model!G$1082</f>
        <v>4000.4893766404239</v>
      </c>
      <c r="E144" s="168" t="str">
        <f xml:space="preserve"> COMMUS_Model!H$1082</f>
        <v>$ mn</v>
      </c>
      <c r="F144" s="88"/>
      <c r="G144" s="88"/>
      <c r="H144" s="42"/>
      <c r="I144" s="42"/>
      <c r="J144" s="42"/>
      <c r="K144" s="42"/>
      <c r="L144" s="42"/>
      <c r="M144" s="42"/>
      <c r="N144" s="42"/>
      <c r="O144" s="42"/>
    </row>
    <row r="145" spans="1:15" x14ac:dyDescent="0.3">
      <c r="A145" s="42"/>
      <c r="B145" s="168">
        <f xml:space="preserve"> COMMUS_Model!E$1083</f>
        <v>0</v>
      </c>
      <c r="C145" s="168">
        <f xml:space="preserve"> COMMUS_Model!F$1083</f>
        <v>0</v>
      </c>
      <c r="D145" s="168">
        <f xml:space="preserve"> COMMUS_Model!G$1083</f>
        <v>0</v>
      </c>
      <c r="E145" s="168">
        <f xml:space="preserve"> COMMUS_Model!H$1083</f>
        <v>0</v>
      </c>
      <c r="F145" s="88"/>
      <c r="G145" s="88"/>
      <c r="H145" s="42"/>
      <c r="I145" s="42"/>
      <c r="J145" s="42"/>
      <c r="K145" s="42"/>
      <c r="L145" s="42"/>
      <c r="M145" s="42"/>
      <c r="N145" s="42"/>
      <c r="O145" s="42"/>
    </row>
    <row r="146" spans="1:15" x14ac:dyDescent="0.3">
      <c r="A146" s="42"/>
      <c r="B146" s="168" t="str">
        <f xml:space="preserve"> COMMUS_Model!E$1084</f>
        <v>Project cashflows before fiscal regime</v>
      </c>
      <c r="C146" s="168">
        <f xml:space="preserve"> COMMUS_Model!F$1084</f>
        <v>421.34059002276399</v>
      </c>
      <c r="D146" s="168">
        <f xml:space="preserve"> COMMUS_Model!G$1084</f>
        <v>2734.9531567833492</v>
      </c>
      <c r="E146" s="168" t="str">
        <f xml:space="preserve"> COMMUS_Model!H$1084</f>
        <v>$ mn</v>
      </c>
      <c r="F146" s="88"/>
      <c r="G146" s="88"/>
      <c r="H146" s="42"/>
      <c r="I146" s="42"/>
      <c r="J146" s="42"/>
      <c r="K146" s="42"/>
      <c r="L146" s="42"/>
      <c r="M146" s="42"/>
      <c r="N146" s="42"/>
      <c r="O146" s="42"/>
    </row>
    <row r="147" spans="1:15" x14ac:dyDescent="0.3">
      <c r="A147" s="42"/>
      <c r="B147" s="703"/>
      <c r="C147" s="703"/>
      <c r="D147" s="703"/>
      <c r="E147" s="703"/>
      <c r="F147" s="444"/>
      <c r="G147" s="88"/>
      <c r="H147" s="42"/>
      <c r="I147" s="42"/>
      <c r="J147" s="42"/>
      <c r="K147" s="42"/>
      <c r="L147" s="42"/>
      <c r="M147" s="42"/>
      <c r="N147" s="42"/>
      <c r="O147" s="42"/>
    </row>
    <row r="148" spans="1:15" x14ac:dyDescent="0.3">
      <c r="A148" s="42"/>
      <c r="B148" s="761" t="str">
        <f xml:space="preserve"> COMMUS_Model!E$1110</f>
        <v>Government revenues</v>
      </c>
      <c r="C148" s="1054">
        <f xml:space="preserve"> COMMUS_Model!F$1110</f>
        <v>2022</v>
      </c>
      <c r="D148" s="950" t="str">
        <f xml:space="preserve"> COMMUS_Model!G$1110</f>
        <v>&gt;= 2025</v>
      </c>
      <c r="E148" s="168">
        <f xml:space="preserve"> COMMUS_Model!H$1110</f>
        <v>0</v>
      </c>
      <c r="F148" s="88"/>
      <c r="G148" s="88"/>
      <c r="H148" s="42"/>
      <c r="I148" s="42"/>
      <c r="J148" s="42"/>
      <c r="K148" s="42"/>
      <c r="L148" s="42"/>
      <c r="M148" s="42"/>
      <c r="N148" s="42"/>
      <c r="O148" s="42"/>
    </row>
    <row r="149" spans="1:15" x14ac:dyDescent="0.3">
      <c r="A149" s="42"/>
      <c r="B149" s="703">
        <f xml:space="preserve"> COMMUS_Model!E$1111</f>
        <v>0</v>
      </c>
      <c r="C149" s="703">
        <f xml:space="preserve"> COMMUS_Model!F$1111</f>
        <v>0</v>
      </c>
      <c r="D149" s="703">
        <f xml:space="preserve"> COMMUS_Model!G$1111</f>
        <v>0</v>
      </c>
      <c r="E149" s="703">
        <f xml:space="preserve"> COMMUS_Model!H$1111</f>
        <v>0</v>
      </c>
      <c r="F149" s="444"/>
      <c r="G149" s="88"/>
      <c r="H149" s="42"/>
      <c r="I149" s="42"/>
      <c r="J149" s="42"/>
      <c r="K149" s="42"/>
      <c r="L149" s="42"/>
      <c r="M149" s="42"/>
      <c r="N149" s="42"/>
      <c r="O149" s="42"/>
    </row>
    <row r="150" spans="1:15" x14ac:dyDescent="0.3">
      <c r="A150" s="42"/>
      <c r="B150" s="168" t="str">
        <f xml:space="preserve"> COMMUS_Model!E$1112</f>
        <v>Total royalty 2022</v>
      </c>
      <c r="C150" s="168">
        <f xml:space="preserve"> COMMUS_Model!F$1112</f>
        <v>43.023062557888011</v>
      </c>
      <c r="D150" s="168">
        <f xml:space="preserve"> COMMUS_Model!G$1112</f>
        <v>257.05660035995732</v>
      </c>
      <c r="E150" s="168" t="str">
        <f xml:space="preserve"> COMMUS_Model!H$1112</f>
        <v>$ mn</v>
      </c>
      <c r="F150" s="88"/>
      <c r="G150" s="88"/>
      <c r="H150" s="42"/>
      <c r="I150" s="42"/>
      <c r="J150" s="42"/>
      <c r="K150" s="42"/>
      <c r="L150" s="42"/>
      <c r="M150" s="42"/>
      <c r="N150" s="42"/>
      <c r="O150" s="42"/>
    </row>
    <row r="151" spans="1:15" x14ac:dyDescent="0.3">
      <c r="B151" s="168" t="str">
        <f xml:space="preserve"> COMMUS_Model!E$1113</f>
        <v>Turnover tax (Chiffre d'Affaires 0.3PC) 2022</v>
      </c>
      <c r="C151" s="168">
        <f xml:space="preserve"> COMMUS_Model!F$1113</f>
        <v>3.3560971628366403</v>
      </c>
      <c r="D151" s="168">
        <f xml:space="preserve"> COMMUS_Model!G$1113</f>
        <v>20.206327600271319</v>
      </c>
      <c r="E151" s="168" t="str">
        <f xml:space="preserve"> COMMUS_Model!H$1113</f>
        <v>$ mn</v>
      </c>
      <c r="F151"/>
      <c r="G151"/>
    </row>
    <row r="152" spans="1:15" x14ac:dyDescent="0.3">
      <c r="B152" s="168" t="str">
        <f xml:space="preserve"> COMMUS_Model!E$1114</f>
        <v>CIT payable 2022</v>
      </c>
      <c r="C152" s="168">
        <f xml:space="preserve"> COMMUS_Model!F$1114</f>
        <v>229.8752354083783</v>
      </c>
      <c r="D152" s="168">
        <f xml:space="preserve"> COMMUS_Model!G$1114</f>
        <v>676.91717098447634</v>
      </c>
      <c r="E152" s="168" t="str">
        <f xml:space="preserve"> COMMUS_Model!H$1114</f>
        <v>$ mn</v>
      </c>
      <c r="F152"/>
      <c r="G152"/>
    </row>
    <row r="153" spans="1:15" x14ac:dyDescent="0.3">
      <c r="B153" s="168" t="str">
        <f xml:space="preserve"> COMMUS_Model!E$1115</f>
        <v>Special Tax On Excess Profits 2022</v>
      </c>
      <c r="C153" s="168">
        <f xml:space="preserve"> COMMUS_Model!F$1115</f>
        <v>0</v>
      </c>
      <c r="D153" s="168">
        <f xml:space="preserve"> COMMUS_Model!G$1115</f>
        <v>0</v>
      </c>
      <c r="E153" s="168" t="str">
        <f xml:space="preserve"> COMMUS_Model!H$1115</f>
        <v>$ mn</v>
      </c>
      <c r="F153"/>
      <c r="G153"/>
    </row>
    <row r="154" spans="1:15" x14ac:dyDescent="0.3">
      <c r="B154" s="168" t="str">
        <f xml:space="preserve"> COMMUS_Model!E$1116</f>
        <v>Signature Bonus (EITI) 2022</v>
      </c>
      <c r="C154" s="168">
        <f xml:space="preserve"> COMMUS_Model!F$1116</f>
        <v>0</v>
      </c>
      <c r="D154" s="168">
        <f xml:space="preserve"> COMMUS_Model!G$1116</f>
        <v>0</v>
      </c>
      <c r="E154" s="168" t="str">
        <f xml:space="preserve"> COMMUS_Model!H$1116</f>
        <v>$ mn</v>
      </c>
      <c r="F154"/>
      <c r="G154"/>
    </row>
    <row r="155" spans="1:15" x14ac:dyDescent="0.3">
      <c r="B155" s="168" t="str">
        <f xml:space="preserve"> COMMUS_Model!E$1117</f>
        <v>Payroll taxes (included in costs) 2022</v>
      </c>
      <c r="C155" s="168">
        <f xml:space="preserve"> COMMUS_Model!F$1117</f>
        <v>9.4736950976844803</v>
      </c>
      <c r="D155" s="168">
        <f xml:space="preserve"> COMMUS_Model!G$1117</f>
        <v>160.01957506561695</v>
      </c>
      <c r="E155" s="168" t="str">
        <f xml:space="preserve"> COMMUS_Model!H$1117</f>
        <v>$ mn</v>
      </c>
      <c r="F155"/>
      <c r="G155"/>
    </row>
    <row r="156" spans="1:15" x14ac:dyDescent="0.3">
      <c r="B156" s="168" t="str">
        <f xml:space="preserve"> COMMUS_Model!E$1118</f>
        <v>Import duties (included in costs) 2022</v>
      </c>
      <c r="C156" s="168">
        <f xml:space="preserve"> COMMUS_Model!F$1118</f>
        <v>15.932733392105598</v>
      </c>
      <c r="D156" s="168">
        <f xml:space="preserve"> COMMUS_Model!G$1118</f>
        <v>200.0244688320212</v>
      </c>
      <c r="E156" s="168" t="str">
        <f xml:space="preserve"> COMMUS_Model!H$1118</f>
        <v>$ mn</v>
      </c>
      <c r="F156"/>
      <c r="G156"/>
    </row>
    <row r="157" spans="1:15" x14ac:dyDescent="0.3">
      <c r="B157" s="168" t="str">
        <f xml:space="preserve"> COMMUS_Model!E$1119</f>
        <v>Interest withholding tax 2022</v>
      </c>
      <c r="C157" s="168">
        <f xml:space="preserve"> COMMUS_Model!F$1119</f>
        <v>0</v>
      </c>
      <c r="D157" s="168">
        <f xml:space="preserve"> COMMUS_Model!G$1119</f>
        <v>0</v>
      </c>
      <c r="E157" s="168" t="str">
        <f xml:space="preserve"> COMMUS_Model!H$1119</f>
        <v>$ mn</v>
      </c>
      <c r="F157"/>
      <c r="G157"/>
    </row>
    <row r="158" spans="1:15" x14ac:dyDescent="0.3">
      <c r="B158" s="168" t="str">
        <f xml:space="preserve"> COMMUS_Model!E$1120</f>
        <v>Dividend withholding tax 2022</v>
      </c>
      <c r="C158" s="168">
        <f xml:space="preserve"> COMMUS_Model!F$1120</f>
        <v>24.888187534151896</v>
      </c>
      <c r="D158" s="168">
        <f xml:space="preserve"> COMMUS_Model!G$1120</f>
        <v>117.18909417518921</v>
      </c>
      <c r="E158" s="168" t="str">
        <f xml:space="preserve"> COMMUS_Model!H$1120</f>
        <v>$ mn</v>
      </c>
      <c r="F158"/>
      <c r="G158"/>
    </row>
    <row r="159" spans="1:15" s="211" customFormat="1" x14ac:dyDescent="0.3">
      <c r="B159" s="168" t="str">
        <f xml:space="preserve"> COMMUS_Model!E$1121</f>
        <v>WHT on non-resident services 2022</v>
      </c>
      <c r="C159" s="168">
        <f xml:space="preserve"> COMMUS_Model!F$1121</f>
        <v>3.6758916944584801</v>
      </c>
      <c r="D159" s="168">
        <f xml:space="preserve"> COMMUS_Model!G$1121</f>
        <v>35.004282045603716</v>
      </c>
      <c r="E159" s="168" t="str">
        <f xml:space="preserve"> COMMUS_Model!H$1121</f>
        <v>$ mn</v>
      </c>
      <c r="F159" s="143"/>
      <c r="G159" s="143"/>
    </row>
    <row r="160" spans="1:15" x14ac:dyDescent="0.3">
      <c r="B160" s="703">
        <f xml:space="preserve"> COMMUS_Model!E$1122</f>
        <v>0</v>
      </c>
      <c r="C160" s="703">
        <f xml:space="preserve"> COMMUS_Model!F$1122</f>
        <v>0</v>
      </c>
      <c r="D160" s="703">
        <f xml:space="preserve"> COMMUS_Model!G$1122</f>
        <v>0</v>
      </c>
      <c r="E160" s="703">
        <f xml:space="preserve"> COMMUS_Model!H$1122</f>
        <v>0</v>
      </c>
      <c r="F160" s="444"/>
      <c r="G160"/>
    </row>
    <row r="161" spans="2:7" x14ac:dyDescent="0.3">
      <c r="B161" s="168" t="str">
        <f xml:space="preserve"> COMMUS_Model!E$1123</f>
        <v>Government revenues excl Gecamines participation 2022</v>
      </c>
      <c r="C161" s="168">
        <f xml:space="preserve"> COMMUS_Model!F$1123</f>
        <v>330.22490284750336</v>
      </c>
      <c r="D161" s="168">
        <f xml:space="preserve"> COMMUS_Model!G$1123</f>
        <v>1466.4175190631361</v>
      </c>
      <c r="E161" s="168" t="str">
        <f xml:space="preserve"> COMMUS_Model!H$1123</f>
        <v>$ mn</v>
      </c>
      <c r="F161"/>
      <c r="G161"/>
    </row>
    <row r="162" spans="2:7" x14ac:dyDescent="0.3">
      <c r="B162" s="168" t="str">
        <f xml:space="preserve"> COMMUS_Model!E$1124</f>
        <v>Gecamines share of cashflows after repaying loan 2022</v>
      </c>
      <c r="C162" s="168">
        <f xml:space="preserve"> COMMUS_Model!F$1124</f>
        <v>96.787395966146264</v>
      </c>
      <c r="D162" s="168">
        <f xml:space="preserve"> COMMUS_Model!G$1124</f>
        <v>577.20001608675273</v>
      </c>
      <c r="E162" s="168" t="str">
        <f xml:space="preserve"> COMMUS_Model!H$1124</f>
        <v>$ mn</v>
      </c>
      <c r="F162"/>
      <c r="G162"/>
    </row>
    <row r="163" spans="2:7" x14ac:dyDescent="0.3">
      <c r="B163" s="168" t="str">
        <f xml:space="preserve"> COMMUS_Model!E$1125</f>
        <v>Government revenues incl Gecamines 2022</v>
      </c>
      <c r="C163" s="168">
        <f xml:space="preserve"> COMMUS_Model!F$1125</f>
        <v>427.01229881364964</v>
      </c>
      <c r="D163" s="168">
        <f xml:space="preserve"> COMMUS_Model!G$1125</f>
        <v>2043.6175351498887</v>
      </c>
      <c r="E163" s="168" t="str">
        <f xml:space="preserve"> COMMUS_Model!H$1125</f>
        <v>$ mn</v>
      </c>
      <c r="F163" s="1048"/>
      <c r="G163"/>
    </row>
    <row r="164" spans="2:7" x14ac:dyDescent="0.3">
      <c r="B164" s="1053"/>
      <c r="C164" s="1053"/>
      <c r="D164" s="1053"/>
      <c r="E164" s="1053"/>
      <c r="F164" s="956"/>
      <c r="G164"/>
    </row>
    <row r="165" spans="2:7" x14ac:dyDescent="0.3">
      <c r="B165" s="957" t="s">
        <v>903</v>
      </c>
      <c r="C165" s="958"/>
      <c r="D165" s="958"/>
      <c r="E165" s="958"/>
      <c r="F165" s="958"/>
      <c r="G165"/>
    </row>
  </sheetData>
  <conditionalFormatting sqref="C2">
    <cfRule type="cellIs" dxfId="112" priority="3" stopIfTrue="1" operator="notEqual">
      <formula>0</formula>
    </cfRule>
    <cfRule type="cellIs" dxfId="111" priority="4" stopIfTrue="1" operator="equal">
      <formula>""</formula>
    </cfRule>
  </conditionalFormatting>
  <conditionalFormatting sqref="C3">
    <cfRule type="cellIs" dxfId="110" priority="1" stopIfTrue="1" operator="notEqual">
      <formula>0</formula>
    </cfRule>
    <cfRule type="cellIs" dxfId="109" priority="2" stopIfTrue="1" operator="equal">
      <formula>""</formula>
    </cfRule>
  </conditionalFormatting>
  <dataValidations count="5">
    <dataValidation type="list" allowBlank="1" showInputMessage="1" showErrorMessage="1" sqref="K19" xr:uid="{53F21F71-FE37-44A0-814A-11BE3E4FBA44}">
      <formula1>"Yes, No"</formula1>
    </dataValidation>
    <dataValidation type="list" allowBlank="1" showInputMessage="1" showErrorMessage="1" sqref="K11:K12" xr:uid="{3BA51AB5-BE0D-459F-96BE-1681109E2B70}">
      <formula1>"IMF_WEO, SOM_Contract"</formula1>
    </dataValidation>
    <dataValidation type="list" allowBlank="1" showInputMessage="1" showErrorMessage="1" sqref="B67 B61 B118 B107 B101 B95 B89 B83 B77 B72 B56 B113" xr:uid="{EFEB3725-7574-42CB-8C50-1F01EAC55D81}">
      <formula1>$B$125:$B$165</formula1>
    </dataValidation>
    <dataValidation type="list" allowBlank="1" showInputMessage="1" showErrorMessage="1" sqref="H28:K31" xr:uid="{31654552-CA4A-499B-B4E1-F876E7F8E452}">
      <formula1>"Original, FS"</formula1>
    </dataValidation>
    <dataValidation type="list" allowBlank="1" showInputMessage="1" showErrorMessage="1" sqref="H31:K31" xr:uid="{C5956378-5916-4E5C-B9E9-CD52935FA6B9}">
      <formula1>"Calculated, FS"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B37D3412-6AEF-4F0C-841B-15DA040C306F}">
          <x14:formula1>
            <xm:f>COMMUS_Model!$F$178:$F$182</xm:f>
          </x14:formula1>
          <xm:sqref>K13 H55:J55 K15</xm:sqref>
        </x14:dataValidation>
        <x14:dataValidation type="list" allowBlank="1" showInputMessage="1" showErrorMessage="1" xr:uid="{C27FD93D-8C69-468A-B322-1E1680B78820}">
          <x14:formula1>
            <xm:f>COMMUS_Model!$F$301:$F$305</xm:f>
          </x14:formula1>
          <xm:sqref>H60:J60</xm:sqref>
        </x14:dataValidation>
        <x14:dataValidation type="list" allowBlank="1" showInputMessage="1" showErrorMessage="1" xr:uid="{700EE9AD-D64F-45B9-B779-4E240E1BDA24}">
          <x14:formula1>
            <xm:f>COMMUS_Model!$F$903:$F$904</xm:f>
          </x14:formula1>
          <xm:sqref>H36:K36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07E751-BF29-4BF1-9241-61498226B6EA}">
  <sheetPr codeName="Sheet8">
    <tabColor theme="4"/>
    <pageSetUpPr autoPageBreaks="0"/>
  </sheetPr>
  <dimension ref="A1:AU1237"/>
  <sheetViews>
    <sheetView zoomScaleNormal="100" workbookViewId="0">
      <pane xSplit="10" ySplit="4" topLeftCell="K5" activePane="bottomRight" state="frozen"/>
      <selection pane="topRight" activeCell="K1" sqref="K1"/>
      <selection pane="bottomLeft" activeCell="A5" sqref="A5"/>
      <selection pane="bottomRight" activeCell="K5" sqref="K5"/>
    </sheetView>
  </sheetViews>
  <sheetFormatPr defaultColWidth="0" defaultRowHeight="15" customHeight="1" x14ac:dyDescent="0.3"/>
  <cols>
    <col min="1" max="2" width="1.33203125" style="112" customWidth="1"/>
    <col min="3" max="3" width="1.33203125" style="113" customWidth="1"/>
    <col min="4" max="4" width="1.33203125" style="42" customWidth="1"/>
    <col min="5" max="5" width="50.6640625" style="42" customWidth="1"/>
    <col min="6" max="6" width="15.6640625" style="42" customWidth="1"/>
    <col min="7" max="7" width="20.6640625" style="42" customWidth="1"/>
    <col min="8" max="8" width="25.109375" style="116" customWidth="1"/>
    <col min="9" max="9" width="12.6640625" style="42" customWidth="1" collapsed="1"/>
    <col min="10" max="10" width="1.6640625" style="127" customWidth="1"/>
    <col min="11" max="37" width="10.6640625" style="42" customWidth="1"/>
    <col min="38" max="38" width="10.6640625" style="88" customWidth="1"/>
    <col min="39" max="40" width="11.88671875" style="88" customWidth="1"/>
    <col min="41" max="45" width="11.88671875" customWidth="1"/>
    <col min="46" max="46" width="11.88671875" hidden="1" customWidth="1"/>
    <col min="47" max="47" width="10.6640625" hidden="1" customWidth="1"/>
  </cols>
  <sheetData>
    <row r="1" spans="1:45" ht="26.25" customHeight="1" x14ac:dyDescent="0.3">
      <c r="A1" s="1" t="str">
        <f ca="1" xml:space="preserve"> RIGHT(CELL("filename", $A$3), LEN(CELL("filename", $A$3)) - SEARCH("]", CELL("filename", $A$3)))</f>
        <v>COMMUS_Model</v>
      </c>
      <c r="F1" s="115"/>
      <c r="I1" s="116"/>
      <c r="J1" s="21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O1" s="88"/>
      <c r="AP1" s="88"/>
      <c r="AQ1" s="88"/>
      <c r="AR1" s="88"/>
      <c r="AS1" s="88"/>
    </row>
    <row r="2" spans="1:45" ht="15" customHeight="1" x14ac:dyDescent="0.3">
      <c r="A2" s="1"/>
      <c r="F2" s="883">
        <f xml:space="preserve"> Track!F$80</f>
        <v>0</v>
      </c>
      <c r="G2" s="7" t="s">
        <v>0</v>
      </c>
      <c r="I2" s="116"/>
      <c r="J2" s="21"/>
      <c r="K2" s="8">
        <f>'T&amp;E'!K9</f>
        <v>2006</v>
      </c>
      <c r="L2" s="8">
        <f>'T&amp;E'!L9</f>
        <v>2007</v>
      </c>
      <c r="M2" s="8">
        <f>'T&amp;E'!M9</f>
        <v>2008</v>
      </c>
      <c r="N2" s="8">
        <f>'T&amp;E'!N9</f>
        <v>2009</v>
      </c>
      <c r="O2" s="8">
        <f>'T&amp;E'!O9</f>
        <v>2010</v>
      </c>
      <c r="P2" s="8">
        <f>'T&amp;E'!P9</f>
        <v>2011</v>
      </c>
      <c r="Q2" s="8">
        <f>'T&amp;E'!Q9</f>
        <v>2012</v>
      </c>
      <c r="R2" s="8">
        <f>'T&amp;E'!R9</f>
        <v>2013</v>
      </c>
      <c r="S2" s="8">
        <f>'T&amp;E'!S9</f>
        <v>2014</v>
      </c>
      <c r="T2" s="8">
        <f>'T&amp;E'!T9</f>
        <v>2015</v>
      </c>
      <c r="U2" s="8">
        <f>'T&amp;E'!U9</f>
        <v>2016</v>
      </c>
      <c r="V2" s="8">
        <f>'T&amp;E'!V9</f>
        <v>2017</v>
      </c>
      <c r="W2" s="8">
        <f>'T&amp;E'!W9</f>
        <v>2018</v>
      </c>
      <c r="X2" s="8">
        <f>'T&amp;E'!X9</f>
        <v>2019</v>
      </c>
      <c r="Y2" s="8">
        <f>'T&amp;E'!Y9</f>
        <v>2020</v>
      </c>
      <c r="Z2" s="8">
        <f>'T&amp;E'!Z9</f>
        <v>2021</v>
      </c>
      <c r="AA2" s="8">
        <f>'T&amp;E'!AA9</f>
        <v>2022</v>
      </c>
      <c r="AB2" s="8">
        <f>'T&amp;E'!AB9</f>
        <v>2023</v>
      </c>
      <c r="AC2" s="8">
        <f>'T&amp;E'!AC9</f>
        <v>2024</v>
      </c>
      <c r="AD2" s="8">
        <f>'T&amp;E'!AD9</f>
        <v>2025</v>
      </c>
      <c r="AE2" s="8">
        <f>'T&amp;E'!AE9</f>
        <v>2026</v>
      </c>
      <c r="AF2" s="8">
        <f>'T&amp;E'!AF9</f>
        <v>2027</v>
      </c>
      <c r="AG2" s="8">
        <f>'T&amp;E'!AG9</f>
        <v>2028</v>
      </c>
      <c r="AH2" s="8">
        <f>'T&amp;E'!AH9</f>
        <v>2029</v>
      </c>
      <c r="AI2" s="8">
        <f>'T&amp;E'!AI9</f>
        <v>2030</v>
      </c>
      <c r="AJ2" s="8">
        <f>'T&amp;E'!AJ9</f>
        <v>2031</v>
      </c>
      <c r="AK2" s="8">
        <f>'T&amp;E'!AK9</f>
        <v>2032</v>
      </c>
      <c r="AL2" s="8">
        <f>'T&amp;E'!AL9</f>
        <v>2033</v>
      </c>
      <c r="AM2" s="8">
        <f>'T&amp;E'!AM9</f>
        <v>2034</v>
      </c>
      <c r="AN2" s="8">
        <f>'T&amp;E'!AN9</f>
        <v>2035</v>
      </c>
      <c r="AO2" s="8">
        <f>'T&amp;E'!AO9</f>
        <v>2036</v>
      </c>
      <c r="AP2" s="8">
        <f>'T&amp;E'!AP9</f>
        <v>2037</v>
      </c>
      <c r="AQ2" s="8">
        <f>'T&amp;E'!AQ9</f>
        <v>2038</v>
      </c>
      <c r="AR2" s="8">
        <f>'T&amp;E'!AR9</f>
        <v>2039</v>
      </c>
      <c r="AS2" s="8">
        <f>'T&amp;E'!AS9</f>
        <v>2040</v>
      </c>
    </row>
    <row r="3" spans="1:45" ht="15" customHeight="1" x14ac:dyDescent="0.3">
      <c r="A3" s="1"/>
      <c r="F3" s="881">
        <f>Track!F3</f>
        <v>0</v>
      </c>
      <c r="G3" s="9" t="s">
        <v>1</v>
      </c>
      <c r="I3" s="116"/>
      <c r="J3" s="21"/>
      <c r="K3" s="10" t="s">
        <v>2</v>
      </c>
      <c r="L3" s="10" t="s">
        <v>2</v>
      </c>
      <c r="M3" s="10" t="s">
        <v>2</v>
      </c>
      <c r="N3" s="10" t="s">
        <v>2</v>
      </c>
      <c r="O3" s="10" t="s">
        <v>2</v>
      </c>
      <c r="P3" s="10" t="s">
        <v>2</v>
      </c>
      <c r="Q3" s="10" t="s">
        <v>2</v>
      </c>
      <c r="R3" s="10" t="s">
        <v>2</v>
      </c>
      <c r="S3" s="10" t="s">
        <v>2</v>
      </c>
      <c r="T3" s="10" t="s">
        <v>2</v>
      </c>
      <c r="U3" s="10" t="s">
        <v>2</v>
      </c>
      <c r="V3" s="10" t="s">
        <v>2</v>
      </c>
      <c r="W3" s="10" t="s">
        <v>2</v>
      </c>
      <c r="X3" s="10" t="s">
        <v>2</v>
      </c>
      <c r="Y3" s="10" t="s">
        <v>2</v>
      </c>
      <c r="Z3" s="10" t="s">
        <v>2</v>
      </c>
      <c r="AA3" s="10" t="s">
        <v>2</v>
      </c>
      <c r="AB3" s="10" t="s">
        <v>2</v>
      </c>
      <c r="AC3" s="10" t="s">
        <v>2</v>
      </c>
      <c r="AD3" s="10" t="s">
        <v>3</v>
      </c>
      <c r="AE3" s="10" t="s">
        <v>3</v>
      </c>
      <c r="AF3" s="10" t="s">
        <v>3</v>
      </c>
      <c r="AG3" s="10" t="s">
        <v>3</v>
      </c>
      <c r="AH3" s="10" t="s">
        <v>3</v>
      </c>
      <c r="AI3" s="10" t="s">
        <v>3</v>
      </c>
      <c r="AJ3" s="10" t="s">
        <v>3</v>
      </c>
      <c r="AK3" s="10" t="s">
        <v>3</v>
      </c>
      <c r="AL3" s="10" t="s">
        <v>3</v>
      </c>
      <c r="AM3" s="10" t="s">
        <v>3</v>
      </c>
      <c r="AN3" s="10" t="s">
        <v>3</v>
      </c>
      <c r="AO3" s="10" t="s">
        <v>3</v>
      </c>
      <c r="AP3" s="10" t="s">
        <v>3</v>
      </c>
      <c r="AQ3" s="10" t="s">
        <v>3</v>
      </c>
      <c r="AR3" s="10" t="s">
        <v>3</v>
      </c>
      <c r="AS3" s="10" t="s">
        <v>3</v>
      </c>
    </row>
    <row r="4" spans="1:45" ht="15" customHeight="1" x14ac:dyDescent="0.3">
      <c r="A4" s="1"/>
      <c r="F4" s="117" t="s">
        <v>4</v>
      </c>
      <c r="G4" s="112" t="s">
        <v>5</v>
      </c>
      <c r="H4" s="118" t="s">
        <v>6</v>
      </c>
      <c r="I4" s="118"/>
      <c r="J4" s="21"/>
      <c r="K4" s="229">
        <f xml:space="preserve"> 'T&amp;E'!K11</f>
        <v>1</v>
      </c>
      <c r="L4" s="229">
        <f xml:space="preserve"> 'T&amp;E'!L11</f>
        <v>2</v>
      </c>
      <c r="M4" s="229">
        <f xml:space="preserve"> 'T&amp;E'!M11</f>
        <v>3</v>
      </c>
      <c r="N4" s="229">
        <f xml:space="preserve"> 'T&amp;E'!N11</f>
        <v>4</v>
      </c>
      <c r="O4" s="229">
        <f xml:space="preserve"> 'T&amp;E'!O11</f>
        <v>5</v>
      </c>
      <c r="P4" s="229">
        <f xml:space="preserve"> 'T&amp;E'!P11</f>
        <v>6</v>
      </c>
      <c r="Q4" s="229">
        <f xml:space="preserve"> 'T&amp;E'!Q11</f>
        <v>7</v>
      </c>
      <c r="R4" s="229">
        <f xml:space="preserve"> 'T&amp;E'!R11</f>
        <v>8</v>
      </c>
      <c r="S4" s="229">
        <f xml:space="preserve"> 'T&amp;E'!S11</f>
        <v>9</v>
      </c>
      <c r="T4" s="229">
        <f xml:space="preserve"> 'T&amp;E'!T11</f>
        <v>10</v>
      </c>
      <c r="U4" s="229">
        <f xml:space="preserve"> 'T&amp;E'!U11</f>
        <v>11</v>
      </c>
      <c r="V4" s="229">
        <f xml:space="preserve"> 'T&amp;E'!V11</f>
        <v>12</v>
      </c>
      <c r="W4" s="229">
        <f xml:space="preserve"> 'T&amp;E'!W11</f>
        <v>13</v>
      </c>
      <c r="X4" s="229">
        <f xml:space="preserve"> 'T&amp;E'!X11</f>
        <v>14</v>
      </c>
      <c r="Y4" s="229">
        <f xml:space="preserve"> 'T&amp;E'!Y11</f>
        <v>15</v>
      </c>
      <c r="Z4" s="229">
        <f xml:space="preserve"> 'T&amp;E'!Z11</f>
        <v>16</v>
      </c>
      <c r="AA4" s="229">
        <f xml:space="preserve"> 'T&amp;E'!AA11</f>
        <v>17</v>
      </c>
      <c r="AB4" s="229">
        <f xml:space="preserve"> 'T&amp;E'!AB11</f>
        <v>18</v>
      </c>
      <c r="AC4" s="229">
        <f xml:space="preserve"> 'T&amp;E'!AC11</f>
        <v>19</v>
      </c>
      <c r="AD4" s="229">
        <f xml:space="preserve"> 'T&amp;E'!AD11</f>
        <v>20</v>
      </c>
      <c r="AE4" s="229">
        <f xml:space="preserve"> 'T&amp;E'!AE11</f>
        <v>21</v>
      </c>
      <c r="AF4" s="229">
        <f xml:space="preserve"> 'T&amp;E'!AF11</f>
        <v>22</v>
      </c>
      <c r="AG4" s="229">
        <f xml:space="preserve"> 'T&amp;E'!AG11</f>
        <v>23</v>
      </c>
      <c r="AH4" s="229">
        <f xml:space="preserve"> 'T&amp;E'!AH11</f>
        <v>24</v>
      </c>
      <c r="AI4" s="229">
        <f xml:space="preserve"> 'T&amp;E'!AI11</f>
        <v>25</v>
      </c>
      <c r="AJ4" s="229">
        <f xml:space="preserve"> 'T&amp;E'!AJ11</f>
        <v>26</v>
      </c>
      <c r="AK4" s="229">
        <f xml:space="preserve"> 'T&amp;E'!AK11</f>
        <v>27</v>
      </c>
      <c r="AL4" s="229">
        <f xml:space="preserve"> 'T&amp;E'!AL11</f>
        <v>28</v>
      </c>
      <c r="AM4" s="229">
        <f xml:space="preserve"> 'T&amp;E'!AM11</f>
        <v>29</v>
      </c>
      <c r="AN4" s="229">
        <f xml:space="preserve"> 'T&amp;E'!AN11</f>
        <v>30</v>
      </c>
      <c r="AO4" s="229">
        <f xml:space="preserve"> 'T&amp;E'!AO11</f>
        <v>31</v>
      </c>
      <c r="AP4" s="229">
        <f xml:space="preserve"> 'T&amp;E'!AP11</f>
        <v>32</v>
      </c>
      <c r="AQ4" s="229">
        <f xml:space="preserve"> 'T&amp;E'!AQ11</f>
        <v>33</v>
      </c>
      <c r="AR4" s="229">
        <f xml:space="preserve"> 'T&amp;E'!AR11</f>
        <v>34</v>
      </c>
      <c r="AS4" s="229">
        <f xml:space="preserve"> 'T&amp;E'!AS11</f>
        <v>35</v>
      </c>
    </row>
    <row r="5" spans="1:45" ht="15" customHeight="1" x14ac:dyDescent="0.3">
      <c r="A5" s="1"/>
      <c r="F5" s="117"/>
      <c r="G5" s="112"/>
      <c r="H5" s="118"/>
      <c r="I5" s="118"/>
      <c r="J5" s="42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O5" s="88"/>
      <c r="AP5" s="88"/>
      <c r="AQ5" s="88"/>
      <c r="AR5" s="88"/>
      <c r="AS5" s="88"/>
    </row>
    <row r="6" spans="1:45" ht="15" customHeight="1" collapsed="1" x14ac:dyDescent="0.3">
      <c r="A6" s="15" t="s">
        <v>289</v>
      </c>
      <c r="B6" s="119"/>
      <c r="C6" s="120"/>
      <c r="D6" s="121"/>
      <c r="E6" s="119"/>
      <c r="F6" s="119"/>
      <c r="G6" s="119"/>
      <c r="H6" s="119"/>
      <c r="I6" s="119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</row>
    <row r="7" spans="1:45" ht="15" customHeight="1" x14ac:dyDescent="0.3">
      <c r="A7" s="1"/>
      <c r="D7" s="122"/>
      <c r="H7" s="42"/>
      <c r="J7" s="42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</row>
    <row r="8" spans="1:45" ht="15" customHeight="1" x14ac:dyDescent="0.3">
      <c r="A8" s="1"/>
      <c r="B8" s="112" t="s">
        <v>36</v>
      </c>
      <c r="I8" s="116"/>
      <c r="J8" s="21"/>
      <c r="AL8" s="42"/>
      <c r="AM8" s="42"/>
      <c r="AN8" s="42"/>
      <c r="AO8" s="42"/>
      <c r="AP8" s="42"/>
      <c r="AQ8" s="42"/>
      <c r="AR8" s="42"/>
      <c r="AS8" s="42"/>
    </row>
    <row r="9" spans="1:45" ht="15" customHeight="1" x14ac:dyDescent="0.3">
      <c r="A9" s="1"/>
      <c r="I9" s="116"/>
      <c r="J9" s="21"/>
      <c r="AL9" s="42"/>
      <c r="AM9" s="42"/>
      <c r="AN9" s="42"/>
      <c r="AO9" s="42"/>
      <c r="AP9" s="42"/>
      <c r="AQ9" s="42"/>
      <c r="AR9" s="42"/>
      <c r="AS9" s="42"/>
    </row>
    <row r="10" spans="1:45" ht="15" customHeight="1" x14ac:dyDescent="0.3">
      <c r="A10" s="1"/>
      <c r="C10" s="113" t="s">
        <v>164</v>
      </c>
      <c r="I10" s="116"/>
      <c r="J10" s="21"/>
      <c r="AL10" s="42"/>
      <c r="AM10" s="42"/>
      <c r="AN10" s="42"/>
      <c r="AO10" s="42"/>
      <c r="AP10" s="42"/>
      <c r="AQ10" s="42"/>
      <c r="AR10" s="42"/>
      <c r="AS10" s="42"/>
    </row>
    <row r="11" spans="1:45" ht="15" customHeight="1" x14ac:dyDescent="0.3">
      <c r="A11" s="1"/>
      <c r="E11" s="104" t="str">
        <f xml:space="preserve"> Inputs_TS!E$100</f>
        <v>Total historic copper production (Zijin annual reports)</v>
      </c>
      <c r="F11" s="104"/>
      <c r="G11" s="104" t="str">
        <f xml:space="preserve"> Inputs_TS!G$100</f>
        <v>tonnes</v>
      </c>
      <c r="H11" s="104" t="str">
        <f xml:space="preserve"> Inputs_TS!H$100</f>
        <v>IX</v>
      </c>
      <c r="I11" s="104"/>
      <c r="J11" s="61">
        <f xml:space="preserve"> Inputs_TS!J$100</f>
        <v>0</v>
      </c>
      <c r="K11" s="104">
        <f xml:space="preserve"> Inputs_TS!K$100</f>
        <v>0</v>
      </c>
      <c r="L11" s="104">
        <f xml:space="preserve"> Inputs_TS!L$100</f>
        <v>0</v>
      </c>
      <c r="M11" s="104">
        <f xml:space="preserve"> Inputs_TS!M$100</f>
        <v>0</v>
      </c>
      <c r="N11" s="104">
        <f xml:space="preserve"> Inputs_TS!N$100</f>
        <v>0</v>
      </c>
      <c r="O11" s="104">
        <f xml:space="preserve"> Inputs_TS!O$100</f>
        <v>0</v>
      </c>
      <c r="P11" s="104">
        <f xml:space="preserve"> Inputs_TS!P$100</f>
        <v>0</v>
      </c>
      <c r="Q11" s="104">
        <f xml:space="preserve"> Inputs_TS!Q$100</f>
        <v>0</v>
      </c>
      <c r="R11" s="104">
        <f xml:space="preserve"> Inputs_TS!R$100</f>
        <v>0</v>
      </c>
      <c r="S11" s="104">
        <f xml:space="preserve"> Inputs_TS!S$100</f>
        <v>0</v>
      </c>
      <c r="T11" s="104">
        <f xml:space="preserve"> Inputs_TS!T$100</f>
        <v>0</v>
      </c>
      <c r="U11" s="104">
        <f xml:space="preserve"> Inputs_TS!U$100</f>
        <v>0</v>
      </c>
      <c r="V11" s="104">
        <f xml:space="preserve"> Inputs_TS!V$100</f>
        <v>21940</v>
      </c>
      <c r="W11" s="104">
        <f xml:space="preserve"> Inputs_TS!W$100</f>
        <v>53235</v>
      </c>
      <c r="X11" s="104">
        <f xml:space="preserve"> Inputs_TS!X$100</f>
        <v>84286</v>
      </c>
      <c r="Y11" s="104">
        <f xml:space="preserve"> Inputs_TS!Y$100</f>
        <v>114265</v>
      </c>
      <c r="Z11" s="104">
        <f xml:space="preserve"> Inputs_TS!Z$100</f>
        <v>121072</v>
      </c>
      <c r="AA11" s="104">
        <f xml:space="preserve"> Inputs_TS!AA$100</f>
        <v>128233</v>
      </c>
      <c r="AB11" s="104">
        <f xml:space="preserve"> Inputs_TS!AB$100</f>
        <v>127018</v>
      </c>
      <c r="AC11" s="104">
        <f xml:space="preserve"> Inputs_TS!AC$100</f>
        <v>94584</v>
      </c>
      <c r="AD11" s="104">
        <f xml:space="preserve"> Inputs_TS!AD$100</f>
        <v>0</v>
      </c>
      <c r="AE11" s="104">
        <f xml:space="preserve"> Inputs_TS!AE$100</f>
        <v>0</v>
      </c>
      <c r="AF11" s="104">
        <f xml:space="preserve"> Inputs_TS!AF$100</f>
        <v>0</v>
      </c>
      <c r="AG11" s="104">
        <f xml:space="preserve"> Inputs_TS!AG$100</f>
        <v>0</v>
      </c>
      <c r="AH11" s="104">
        <f xml:space="preserve"> Inputs_TS!AH$100</f>
        <v>0</v>
      </c>
      <c r="AI11" s="104">
        <f xml:space="preserve"> Inputs_TS!AI$100</f>
        <v>0</v>
      </c>
      <c r="AJ11" s="104">
        <f xml:space="preserve"> Inputs_TS!AJ$100</f>
        <v>0</v>
      </c>
      <c r="AK11" s="104">
        <f xml:space="preserve"> Inputs_TS!AK$100</f>
        <v>0</v>
      </c>
      <c r="AL11" s="104">
        <f xml:space="preserve"> Inputs_TS!AL$100</f>
        <v>0</v>
      </c>
      <c r="AM11" s="104">
        <f xml:space="preserve"> Inputs_TS!AM$100</f>
        <v>0</v>
      </c>
      <c r="AN11" s="104">
        <f xml:space="preserve"> Inputs_TS!AN$100</f>
        <v>0</v>
      </c>
      <c r="AO11" s="104">
        <f xml:space="preserve"> Inputs_TS!AO$100</f>
        <v>0</v>
      </c>
      <c r="AP11" s="104">
        <f xml:space="preserve"> Inputs_TS!AP$100</f>
        <v>0</v>
      </c>
      <c r="AQ11" s="104">
        <f xml:space="preserve"> Inputs_TS!AQ$100</f>
        <v>0</v>
      </c>
      <c r="AR11" s="104">
        <f xml:space="preserve"> Inputs_TS!AR$100</f>
        <v>0</v>
      </c>
      <c r="AS11" s="104">
        <f xml:space="preserve"> Inputs_TS!AS$100</f>
        <v>0</v>
      </c>
    </row>
    <row r="12" spans="1:45" s="1180" customFormat="1" ht="15" customHeight="1" x14ac:dyDescent="0.3">
      <c r="A12" s="1178"/>
      <c r="B12" s="1178"/>
      <c r="C12" s="1179"/>
      <c r="D12" s="50"/>
      <c r="E12" s="50" t="s">
        <v>1135</v>
      </c>
      <c r="F12" s="50">
        <f xml:space="preserve"> SUM(K12:AS12)</f>
        <v>2024</v>
      </c>
      <c r="G12" s="50" t="s">
        <v>27</v>
      </c>
      <c r="H12" s="50"/>
      <c r="I12" s="50"/>
      <c r="J12" s="50"/>
      <c r="K12" s="50">
        <f t="shared" ref="K12:AS12" si="0" xml:space="preserve"> AND(K11 &gt; 0, L11 = 0) * K2</f>
        <v>0</v>
      </c>
      <c r="L12" s="50">
        <f t="shared" si="0"/>
        <v>0</v>
      </c>
      <c r="M12" s="50">
        <f t="shared" si="0"/>
        <v>0</v>
      </c>
      <c r="N12" s="50">
        <f t="shared" si="0"/>
        <v>0</v>
      </c>
      <c r="O12" s="50">
        <f t="shared" si="0"/>
        <v>0</v>
      </c>
      <c r="P12" s="50">
        <f t="shared" si="0"/>
        <v>0</v>
      </c>
      <c r="Q12" s="50">
        <f t="shared" si="0"/>
        <v>0</v>
      </c>
      <c r="R12" s="50">
        <f t="shared" si="0"/>
        <v>0</v>
      </c>
      <c r="S12" s="50">
        <f t="shared" si="0"/>
        <v>0</v>
      </c>
      <c r="T12" s="50">
        <f t="shared" si="0"/>
        <v>0</v>
      </c>
      <c r="U12" s="50">
        <f t="shared" si="0"/>
        <v>0</v>
      </c>
      <c r="V12" s="50">
        <f t="shared" si="0"/>
        <v>0</v>
      </c>
      <c r="W12" s="50">
        <f t="shared" si="0"/>
        <v>0</v>
      </c>
      <c r="X12" s="50">
        <f t="shared" si="0"/>
        <v>0</v>
      </c>
      <c r="Y12" s="50">
        <f t="shared" si="0"/>
        <v>0</v>
      </c>
      <c r="Z12" s="50">
        <f t="shared" si="0"/>
        <v>0</v>
      </c>
      <c r="AA12" s="50">
        <f t="shared" si="0"/>
        <v>0</v>
      </c>
      <c r="AB12" s="50">
        <f t="shared" si="0"/>
        <v>0</v>
      </c>
      <c r="AC12" s="50">
        <f t="shared" si="0"/>
        <v>2024</v>
      </c>
      <c r="AD12" s="50">
        <f t="shared" si="0"/>
        <v>0</v>
      </c>
      <c r="AE12" s="50">
        <f t="shared" si="0"/>
        <v>0</v>
      </c>
      <c r="AF12" s="50">
        <f t="shared" si="0"/>
        <v>0</v>
      </c>
      <c r="AG12" s="50">
        <f t="shared" si="0"/>
        <v>0</v>
      </c>
      <c r="AH12" s="50">
        <f t="shared" si="0"/>
        <v>0</v>
      </c>
      <c r="AI12" s="50">
        <f t="shared" si="0"/>
        <v>0</v>
      </c>
      <c r="AJ12" s="50">
        <f t="shared" si="0"/>
        <v>0</v>
      </c>
      <c r="AK12" s="50">
        <f t="shared" si="0"/>
        <v>0</v>
      </c>
      <c r="AL12" s="50">
        <f t="shared" si="0"/>
        <v>0</v>
      </c>
      <c r="AM12" s="50">
        <f t="shared" si="0"/>
        <v>0</v>
      </c>
      <c r="AN12" s="50">
        <f t="shared" si="0"/>
        <v>0</v>
      </c>
      <c r="AO12" s="50">
        <f t="shared" si="0"/>
        <v>0</v>
      </c>
      <c r="AP12" s="50">
        <f t="shared" si="0"/>
        <v>0</v>
      </c>
      <c r="AQ12" s="50">
        <f t="shared" si="0"/>
        <v>0</v>
      </c>
      <c r="AR12" s="50">
        <f t="shared" si="0"/>
        <v>0</v>
      </c>
      <c r="AS12" s="50">
        <f t="shared" si="0"/>
        <v>0</v>
      </c>
    </row>
    <row r="13" spans="1:45" ht="15" customHeight="1" x14ac:dyDescent="0.3">
      <c r="A13" s="1"/>
      <c r="I13" s="116"/>
      <c r="J13" s="21"/>
      <c r="AL13" s="42"/>
      <c r="AM13" s="42"/>
      <c r="AN13" s="42"/>
      <c r="AO13" s="42"/>
      <c r="AP13" s="42"/>
      <c r="AQ13" s="42"/>
      <c r="AR13" s="42"/>
      <c r="AS13" s="42"/>
    </row>
    <row r="14" spans="1:45" ht="15" customHeight="1" x14ac:dyDescent="0.3">
      <c r="A14" s="1"/>
      <c r="E14" s="104" t="str">
        <f xml:space="preserve"> Inputs_TS!E$57</f>
        <v>Copper reserves</v>
      </c>
      <c r="F14" s="179">
        <f xml:space="preserve"> Inputs_TS!F$57</f>
        <v>0.816218</v>
      </c>
      <c r="G14" s="104" t="str">
        <f xml:space="preserve"> Inputs_TS!G$57</f>
        <v>MT</v>
      </c>
      <c r="H14" s="104" t="str">
        <f xml:space="preserve"> Inputs_TS!H$57</f>
        <v>IX</v>
      </c>
      <c r="I14" s="104"/>
      <c r="J14" s="21"/>
      <c r="AL14" s="42"/>
      <c r="AM14" s="42"/>
      <c r="AN14" s="42"/>
      <c r="AO14" s="42"/>
      <c r="AP14" s="42"/>
      <c r="AQ14" s="42"/>
      <c r="AR14" s="42"/>
      <c r="AS14" s="42"/>
    </row>
    <row r="15" spans="1:45" ht="15" customHeight="1" x14ac:dyDescent="0.3">
      <c r="A15" s="1"/>
      <c r="E15" s="61" t="str">
        <f xml:space="preserve"> Inputs_TS!E$67</f>
        <v>Planned copper production average</v>
      </c>
      <c r="F15" s="61">
        <f xml:space="preserve"> Inputs_TS!F$67</f>
        <v>127000</v>
      </c>
      <c r="G15" s="61"/>
      <c r="H15" s="57"/>
      <c r="I15" s="57"/>
      <c r="J15" s="21"/>
      <c r="AL15" s="42"/>
      <c r="AM15" s="42"/>
      <c r="AN15" s="42"/>
      <c r="AO15" s="42"/>
      <c r="AP15" s="42"/>
      <c r="AQ15" s="42"/>
      <c r="AR15" s="42"/>
      <c r="AS15" s="42"/>
    </row>
    <row r="16" spans="1:45" ht="15" customHeight="1" x14ac:dyDescent="0.3">
      <c r="A16" s="1"/>
      <c r="E16" s="104" t="str">
        <f xml:space="preserve"> Inputs_TS!E$73</f>
        <v>Life of Mine (as of end 2024)</v>
      </c>
      <c r="F16" s="104">
        <f xml:space="preserve"> Inputs_TS!F$73</f>
        <v>9</v>
      </c>
      <c r="G16" s="104" t="str">
        <f xml:space="preserve"> Inputs_TS!G$73</f>
        <v>years</v>
      </c>
      <c r="H16" s="57" t="str">
        <f xml:space="preserve"> Inputs_TS!H$73</f>
        <v>IX</v>
      </c>
      <c r="I16" s="57"/>
      <c r="J16" s="21"/>
      <c r="AL16" s="42"/>
      <c r="AM16" s="42"/>
      <c r="AN16" s="42"/>
      <c r="AO16" s="42"/>
      <c r="AP16" s="42"/>
      <c r="AQ16" s="42"/>
      <c r="AR16" s="42"/>
      <c r="AS16" s="42"/>
    </row>
    <row r="17" spans="1:45" ht="15" customHeight="1" x14ac:dyDescent="0.3">
      <c r="A17" s="1"/>
      <c r="I17" s="116"/>
      <c r="J17" s="21"/>
      <c r="AL17" s="42"/>
      <c r="AM17" s="42"/>
      <c r="AN17" s="42"/>
      <c r="AO17" s="42"/>
      <c r="AP17" s="42"/>
      <c r="AQ17" s="42"/>
      <c r="AR17" s="42"/>
      <c r="AS17" s="42"/>
    </row>
    <row r="18" spans="1:45" ht="15" customHeight="1" x14ac:dyDescent="0.3">
      <c r="A18" s="1"/>
      <c r="E18" s="42" t="s">
        <v>167</v>
      </c>
      <c r="G18" s="42" t="s">
        <v>160</v>
      </c>
      <c r="I18" s="116"/>
      <c r="J18" s="21"/>
      <c r="K18" s="42">
        <f t="shared" ref="K18:AS18" si="1">IF(AND( K2 &gt; $F12, K2 &lt;= $F12 + $F16), 1, )</f>
        <v>0</v>
      </c>
      <c r="L18" s="42">
        <f t="shared" si="1"/>
        <v>0</v>
      </c>
      <c r="M18" s="42">
        <f t="shared" si="1"/>
        <v>0</v>
      </c>
      <c r="N18" s="42">
        <f t="shared" si="1"/>
        <v>0</v>
      </c>
      <c r="O18" s="42">
        <f t="shared" si="1"/>
        <v>0</v>
      </c>
      <c r="P18" s="42">
        <f t="shared" si="1"/>
        <v>0</v>
      </c>
      <c r="Q18" s="42">
        <f t="shared" si="1"/>
        <v>0</v>
      </c>
      <c r="R18" s="42">
        <f t="shared" si="1"/>
        <v>0</v>
      </c>
      <c r="S18" s="42">
        <f t="shared" si="1"/>
        <v>0</v>
      </c>
      <c r="T18" s="42">
        <f t="shared" si="1"/>
        <v>0</v>
      </c>
      <c r="U18" s="42">
        <f t="shared" si="1"/>
        <v>0</v>
      </c>
      <c r="V18" s="42">
        <f t="shared" si="1"/>
        <v>0</v>
      </c>
      <c r="W18" s="42">
        <f t="shared" si="1"/>
        <v>0</v>
      </c>
      <c r="X18" s="42">
        <f t="shared" si="1"/>
        <v>0</v>
      </c>
      <c r="Y18" s="42">
        <f t="shared" si="1"/>
        <v>0</v>
      </c>
      <c r="Z18" s="42">
        <f t="shared" si="1"/>
        <v>0</v>
      </c>
      <c r="AA18" s="42">
        <f t="shared" si="1"/>
        <v>0</v>
      </c>
      <c r="AB18" s="42">
        <f t="shared" si="1"/>
        <v>0</v>
      </c>
      <c r="AC18" s="42">
        <f t="shared" si="1"/>
        <v>0</v>
      </c>
      <c r="AD18" s="42">
        <f t="shared" si="1"/>
        <v>1</v>
      </c>
      <c r="AE18" s="42">
        <f t="shared" si="1"/>
        <v>1</v>
      </c>
      <c r="AF18" s="42">
        <f t="shared" si="1"/>
        <v>1</v>
      </c>
      <c r="AG18" s="42">
        <f t="shared" si="1"/>
        <v>1</v>
      </c>
      <c r="AH18" s="42">
        <f t="shared" si="1"/>
        <v>1</v>
      </c>
      <c r="AI18" s="42">
        <f t="shared" si="1"/>
        <v>1</v>
      </c>
      <c r="AJ18" s="42">
        <f t="shared" si="1"/>
        <v>1</v>
      </c>
      <c r="AK18" s="42">
        <f t="shared" si="1"/>
        <v>1</v>
      </c>
      <c r="AL18" s="42">
        <f t="shared" si="1"/>
        <v>1</v>
      </c>
      <c r="AM18" s="42">
        <f t="shared" si="1"/>
        <v>0</v>
      </c>
      <c r="AN18" s="42">
        <f t="shared" si="1"/>
        <v>0</v>
      </c>
      <c r="AO18" s="42">
        <f t="shared" si="1"/>
        <v>0</v>
      </c>
      <c r="AP18" s="42">
        <f t="shared" si="1"/>
        <v>0</v>
      </c>
      <c r="AQ18" s="42">
        <f t="shared" si="1"/>
        <v>0</v>
      </c>
      <c r="AR18" s="42">
        <f t="shared" si="1"/>
        <v>0</v>
      </c>
      <c r="AS18" s="42">
        <f t="shared" si="1"/>
        <v>0</v>
      </c>
    </row>
    <row r="19" spans="1:45" ht="15" customHeight="1" x14ac:dyDescent="0.3">
      <c r="A19" s="1"/>
      <c r="E19" s="42" t="s">
        <v>268</v>
      </c>
      <c r="G19" s="42" t="s">
        <v>38</v>
      </c>
      <c r="I19" s="116"/>
      <c r="J19" s="21"/>
      <c r="K19" s="42">
        <f t="shared" ref="K19:AS19" si="2">IF(K18 =1, $F15,)</f>
        <v>0</v>
      </c>
      <c r="L19" s="42">
        <f t="shared" si="2"/>
        <v>0</v>
      </c>
      <c r="M19" s="42">
        <f t="shared" si="2"/>
        <v>0</v>
      </c>
      <c r="N19" s="42">
        <f t="shared" si="2"/>
        <v>0</v>
      </c>
      <c r="O19" s="42">
        <f t="shared" si="2"/>
        <v>0</v>
      </c>
      <c r="P19" s="42">
        <f t="shared" si="2"/>
        <v>0</v>
      </c>
      <c r="Q19" s="42">
        <f t="shared" si="2"/>
        <v>0</v>
      </c>
      <c r="R19" s="42">
        <f t="shared" si="2"/>
        <v>0</v>
      </c>
      <c r="S19" s="42">
        <f t="shared" si="2"/>
        <v>0</v>
      </c>
      <c r="T19" s="42">
        <f t="shared" si="2"/>
        <v>0</v>
      </c>
      <c r="U19" s="42">
        <f t="shared" si="2"/>
        <v>0</v>
      </c>
      <c r="V19" s="42">
        <f t="shared" si="2"/>
        <v>0</v>
      </c>
      <c r="W19" s="42">
        <f t="shared" si="2"/>
        <v>0</v>
      </c>
      <c r="X19" s="42">
        <f t="shared" si="2"/>
        <v>0</v>
      </c>
      <c r="Y19" s="42">
        <f t="shared" si="2"/>
        <v>0</v>
      </c>
      <c r="Z19" s="42">
        <f t="shared" si="2"/>
        <v>0</v>
      </c>
      <c r="AA19" s="42">
        <f t="shared" si="2"/>
        <v>0</v>
      </c>
      <c r="AB19" s="42">
        <f t="shared" si="2"/>
        <v>0</v>
      </c>
      <c r="AC19" s="42">
        <f t="shared" si="2"/>
        <v>0</v>
      </c>
      <c r="AD19" s="42">
        <f t="shared" si="2"/>
        <v>127000</v>
      </c>
      <c r="AE19" s="42">
        <f t="shared" si="2"/>
        <v>127000</v>
      </c>
      <c r="AF19" s="42">
        <f t="shared" si="2"/>
        <v>127000</v>
      </c>
      <c r="AG19" s="42">
        <f t="shared" si="2"/>
        <v>127000</v>
      </c>
      <c r="AH19" s="42">
        <f t="shared" si="2"/>
        <v>127000</v>
      </c>
      <c r="AI19" s="42">
        <f t="shared" si="2"/>
        <v>127000</v>
      </c>
      <c r="AJ19" s="42">
        <f t="shared" si="2"/>
        <v>127000</v>
      </c>
      <c r="AK19" s="42">
        <f t="shared" si="2"/>
        <v>127000</v>
      </c>
      <c r="AL19" s="42">
        <f t="shared" si="2"/>
        <v>127000</v>
      </c>
      <c r="AM19" s="42">
        <f t="shared" si="2"/>
        <v>0</v>
      </c>
      <c r="AN19" s="42">
        <f t="shared" si="2"/>
        <v>0</v>
      </c>
      <c r="AO19" s="42">
        <f t="shared" si="2"/>
        <v>0</v>
      </c>
      <c r="AP19" s="42">
        <f t="shared" si="2"/>
        <v>0</v>
      </c>
      <c r="AQ19" s="42">
        <f t="shared" si="2"/>
        <v>0</v>
      </c>
      <c r="AR19" s="42">
        <f t="shared" si="2"/>
        <v>0</v>
      </c>
      <c r="AS19" s="42">
        <f t="shared" si="2"/>
        <v>0</v>
      </c>
    </row>
    <row r="20" spans="1:45" ht="15" customHeight="1" x14ac:dyDescent="0.3">
      <c r="A20" s="1"/>
      <c r="I20" s="116"/>
      <c r="J20" s="21"/>
      <c r="AL20" s="42"/>
      <c r="AM20" s="42"/>
      <c r="AN20" s="42"/>
      <c r="AO20" s="42"/>
      <c r="AP20" s="42"/>
      <c r="AQ20" s="42"/>
      <c r="AR20" s="42"/>
      <c r="AS20" s="42"/>
    </row>
    <row r="21" spans="1:45" ht="15" customHeight="1" x14ac:dyDescent="0.3">
      <c r="A21" s="1"/>
      <c r="E21" s="104" t="str">
        <f xml:space="preserve"> Inputs_TS!E$100</f>
        <v>Total historic copper production (Zijin annual reports)</v>
      </c>
      <c r="F21" s="104"/>
      <c r="G21" s="104" t="str">
        <f xml:space="preserve"> Inputs_TS!G$100</f>
        <v>tonnes</v>
      </c>
      <c r="H21" s="104" t="str">
        <f xml:space="preserve"> Inputs_TS!H$100</f>
        <v>IX</v>
      </c>
      <c r="I21" s="104"/>
      <c r="J21" s="61">
        <f xml:space="preserve"> Inputs_TS!J$100</f>
        <v>0</v>
      </c>
      <c r="K21" s="104">
        <f xml:space="preserve"> Inputs_TS!K$100</f>
        <v>0</v>
      </c>
      <c r="L21" s="104">
        <f xml:space="preserve"> Inputs_TS!L$100</f>
        <v>0</v>
      </c>
      <c r="M21" s="104">
        <f xml:space="preserve"> Inputs_TS!M$100</f>
        <v>0</v>
      </c>
      <c r="N21" s="104">
        <f xml:space="preserve"> Inputs_TS!N$100</f>
        <v>0</v>
      </c>
      <c r="O21" s="104">
        <f xml:space="preserve"> Inputs_TS!O$100</f>
        <v>0</v>
      </c>
      <c r="P21" s="104">
        <f xml:space="preserve"> Inputs_TS!P$100</f>
        <v>0</v>
      </c>
      <c r="Q21" s="104">
        <f xml:space="preserve"> Inputs_TS!Q$100</f>
        <v>0</v>
      </c>
      <c r="R21" s="104">
        <f xml:space="preserve"> Inputs_TS!R$100</f>
        <v>0</v>
      </c>
      <c r="S21" s="104">
        <f xml:space="preserve"> Inputs_TS!S$100</f>
        <v>0</v>
      </c>
      <c r="T21" s="104">
        <f xml:space="preserve"> Inputs_TS!T$100</f>
        <v>0</v>
      </c>
      <c r="U21" s="104">
        <f xml:space="preserve"> Inputs_TS!U$100</f>
        <v>0</v>
      </c>
      <c r="V21" s="104">
        <f xml:space="preserve"> Inputs_TS!V$100</f>
        <v>21940</v>
      </c>
      <c r="W21" s="104">
        <f xml:space="preserve"> Inputs_TS!W$100</f>
        <v>53235</v>
      </c>
      <c r="X21" s="104">
        <f xml:space="preserve"> Inputs_TS!X$100</f>
        <v>84286</v>
      </c>
      <c r="Y21" s="104">
        <f xml:space="preserve"> Inputs_TS!Y$100</f>
        <v>114265</v>
      </c>
      <c r="Z21" s="104">
        <f xml:space="preserve"> Inputs_TS!Z$100</f>
        <v>121072</v>
      </c>
      <c r="AA21" s="104">
        <f xml:space="preserve"> Inputs_TS!AA$100</f>
        <v>128233</v>
      </c>
      <c r="AB21" s="104">
        <f xml:space="preserve"> Inputs_TS!AB$100</f>
        <v>127018</v>
      </c>
      <c r="AC21" s="104">
        <f xml:space="preserve"> Inputs_TS!AC$100</f>
        <v>94584</v>
      </c>
      <c r="AD21" s="104">
        <f xml:space="preserve"> Inputs_TS!AD$100</f>
        <v>0</v>
      </c>
      <c r="AE21" s="104">
        <f xml:space="preserve"> Inputs_TS!AE$100</f>
        <v>0</v>
      </c>
      <c r="AF21" s="104">
        <f xml:space="preserve"> Inputs_TS!AF$100</f>
        <v>0</v>
      </c>
      <c r="AG21" s="104">
        <f xml:space="preserve"> Inputs_TS!AG$100</f>
        <v>0</v>
      </c>
      <c r="AH21" s="104">
        <f xml:space="preserve"> Inputs_TS!AH$100</f>
        <v>0</v>
      </c>
      <c r="AI21" s="104">
        <f xml:space="preserve"> Inputs_TS!AI$100</f>
        <v>0</v>
      </c>
      <c r="AJ21" s="104">
        <f xml:space="preserve"> Inputs_TS!AJ$100</f>
        <v>0</v>
      </c>
      <c r="AK21" s="104">
        <f xml:space="preserve"> Inputs_TS!AK$100</f>
        <v>0</v>
      </c>
      <c r="AL21" s="104">
        <f xml:space="preserve"> Inputs_TS!AL$100</f>
        <v>0</v>
      </c>
      <c r="AM21" s="104">
        <f xml:space="preserve"> Inputs_TS!AM$100</f>
        <v>0</v>
      </c>
      <c r="AN21" s="104">
        <f xml:space="preserve"> Inputs_TS!AN$100</f>
        <v>0</v>
      </c>
      <c r="AO21" s="104">
        <f xml:space="preserve"> Inputs_TS!AO$100</f>
        <v>0</v>
      </c>
      <c r="AP21" s="104">
        <f xml:space="preserve"> Inputs_TS!AP$100</f>
        <v>0</v>
      </c>
      <c r="AQ21" s="104">
        <f xml:space="preserve"> Inputs_TS!AQ$100</f>
        <v>0</v>
      </c>
      <c r="AR21" s="104">
        <f xml:space="preserve"> Inputs_TS!AR$100</f>
        <v>0</v>
      </c>
      <c r="AS21" s="104">
        <f xml:space="preserve"> Inputs_TS!AS$100</f>
        <v>0</v>
      </c>
    </row>
    <row r="22" spans="1:45" ht="15" customHeight="1" x14ac:dyDescent="0.3">
      <c r="A22" s="1"/>
      <c r="E22" s="40" t="str">
        <f xml:space="preserve"> E$19</f>
        <v>2025 onwards copper production</v>
      </c>
      <c r="F22" s="40"/>
      <c r="G22" s="40" t="str">
        <f xml:space="preserve"> G$19</f>
        <v>tonnes</v>
      </c>
      <c r="H22" s="40"/>
      <c r="I22" s="40"/>
      <c r="J22" s="45">
        <f t="shared" ref="J22:O22" si="3" xml:space="preserve"> J$19</f>
        <v>0</v>
      </c>
      <c r="K22" s="40">
        <f t="shared" si="3"/>
        <v>0</v>
      </c>
      <c r="L22" s="40">
        <f t="shared" si="3"/>
        <v>0</v>
      </c>
      <c r="M22" s="40">
        <f t="shared" si="3"/>
        <v>0</v>
      </c>
      <c r="N22" s="40">
        <f t="shared" si="3"/>
        <v>0</v>
      </c>
      <c r="O22" s="40">
        <f t="shared" si="3"/>
        <v>0</v>
      </c>
      <c r="P22" s="40">
        <f t="shared" ref="P22:AS22" si="4" xml:space="preserve"> P$19</f>
        <v>0</v>
      </c>
      <c r="Q22" s="40">
        <f t="shared" si="4"/>
        <v>0</v>
      </c>
      <c r="R22" s="40">
        <f t="shared" si="4"/>
        <v>0</v>
      </c>
      <c r="S22" s="40">
        <f t="shared" si="4"/>
        <v>0</v>
      </c>
      <c r="T22" s="40">
        <f t="shared" si="4"/>
        <v>0</v>
      </c>
      <c r="U22" s="40">
        <f t="shared" si="4"/>
        <v>0</v>
      </c>
      <c r="V22" s="40">
        <f t="shared" si="4"/>
        <v>0</v>
      </c>
      <c r="W22" s="40">
        <f t="shared" si="4"/>
        <v>0</v>
      </c>
      <c r="X22" s="40">
        <f t="shared" si="4"/>
        <v>0</v>
      </c>
      <c r="Y22" s="40">
        <f t="shared" si="4"/>
        <v>0</v>
      </c>
      <c r="Z22" s="40">
        <f t="shared" si="4"/>
        <v>0</v>
      </c>
      <c r="AA22" s="40">
        <f t="shared" si="4"/>
        <v>0</v>
      </c>
      <c r="AB22" s="40">
        <f t="shared" si="4"/>
        <v>0</v>
      </c>
      <c r="AC22" s="40">
        <f t="shared" si="4"/>
        <v>0</v>
      </c>
      <c r="AD22" s="40">
        <f t="shared" si="4"/>
        <v>127000</v>
      </c>
      <c r="AE22" s="40">
        <f t="shared" si="4"/>
        <v>127000</v>
      </c>
      <c r="AF22" s="40">
        <f t="shared" si="4"/>
        <v>127000</v>
      </c>
      <c r="AG22" s="40">
        <f t="shared" si="4"/>
        <v>127000</v>
      </c>
      <c r="AH22" s="40">
        <f t="shared" si="4"/>
        <v>127000</v>
      </c>
      <c r="AI22" s="40">
        <f t="shared" si="4"/>
        <v>127000</v>
      </c>
      <c r="AJ22" s="40">
        <f t="shared" si="4"/>
        <v>127000</v>
      </c>
      <c r="AK22" s="40">
        <f t="shared" si="4"/>
        <v>127000</v>
      </c>
      <c r="AL22" s="40">
        <f t="shared" si="4"/>
        <v>127000</v>
      </c>
      <c r="AM22" s="40">
        <f t="shared" si="4"/>
        <v>0</v>
      </c>
      <c r="AN22" s="40">
        <f t="shared" si="4"/>
        <v>0</v>
      </c>
      <c r="AO22" s="40">
        <f t="shared" si="4"/>
        <v>0</v>
      </c>
      <c r="AP22" s="40">
        <f t="shared" si="4"/>
        <v>0</v>
      </c>
      <c r="AQ22" s="40">
        <f t="shared" si="4"/>
        <v>0</v>
      </c>
      <c r="AR22" s="40">
        <f t="shared" si="4"/>
        <v>0</v>
      </c>
      <c r="AS22" s="40">
        <f t="shared" si="4"/>
        <v>0</v>
      </c>
    </row>
    <row r="23" spans="1:45" ht="15" customHeight="1" x14ac:dyDescent="0.3">
      <c r="A23" s="86"/>
      <c r="B23" s="123"/>
      <c r="C23" s="124"/>
      <c r="D23" s="109"/>
      <c r="E23" s="109" t="s">
        <v>162</v>
      </c>
      <c r="F23" s="109"/>
      <c r="G23" s="109" t="s">
        <v>38</v>
      </c>
      <c r="H23" s="125"/>
      <c r="I23" s="125">
        <f>SUM(K23:AS23)</f>
        <v>1887633</v>
      </c>
      <c r="J23" s="108"/>
      <c r="K23" s="109">
        <f t="shared" ref="K23:O23" si="5">IF(K21 &gt; 0, K21, K22)</f>
        <v>0</v>
      </c>
      <c r="L23" s="109">
        <f t="shared" si="5"/>
        <v>0</v>
      </c>
      <c r="M23" s="109">
        <f t="shared" si="5"/>
        <v>0</v>
      </c>
      <c r="N23" s="109">
        <f t="shared" si="5"/>
        <v>0</v>
      </c>
      <c r="O23" s="109">
        <f t="shared" si="5"/>
        <v>0</v>
      </c>
      <c r="P23" s="109">
        <f t="shared" ref="P23" si="6">IF(P21 &gt; 0, P21, P22)</f>
        <v>0</v>
      </c>
      <c r="Q23" s="109">
        <f t="shared" ref="Q23:AS23" si="7">IF(Q21 &gt; 0, Q21, Q22)</f>
        <v>0</v>
      </c>
      <c r="R23" s="109">
        <f t="shared" si="7"/>
        <v>0</v>
      </c>
      <c r="S23" s="109">
        <f t="shared" si="7"/>
        <v>0</v>
      </c>
      <c r="T23" s="109">
        <f t="shared" si="7"/>
        <v>0</v>
      </c>
      <c r="U23" s="109">
        <f t="shared" si="7"/>
        <v>0</v>
      </c>
      <c r="V23" s="109">
        <f t="shared" si="7"/>
        <v>21940</v>
      </c>
      <c r="W23" s="109">
        <f t="shared" si="7"/>
        <v>53235</v>
      </c>
      <c r="X23" s="109">
        <f t="shared" si="7"/>
        <v>84286</v>
      </c>
      <c r="Y23" s="109">
        <f t="shared" si="7"/>
        <v>114265</v>
      </c>
      <c r="Z23" s="109">
        <f t="shared" si="7"/>
        <v>121072</v>
      </c>
      <c r="AA23" s="109">
        <f t="shared" si="7"/>
        <v>128233</v>
      </c>
      <c r="AB23" s="109">
        <f t="shared" si="7"/>
        <v>127018</v>
      </c>
      <c r="AC23" s="109">
        <f t="shared" si="7"/>
        <v>94584</v>
      </c>
      <c r="AD23" s="109">
        <f t="shared" si="7"/>
        <v>127000</v>
      </c>
      <c r="AE23" s="109">
        <f t="shared" si="7"/>
        <v>127000</v>
      </c>
      <c r="AF23" s="109">
        <f t="shared" si="7"/>
        <v>127000</v>
      </c>
      <c r="AG23" s="109">
        <f t="shared" si="7"/>
        <v>127000</v>
      </c>
      <c r="AH23" s="109">
        <f t="shared" si="7"/>
        <v>127000</v>
      </c>
      <c r="AI23" s="109">
        <f t="shared" si="7"/>
        <v>127000</v>
      </c>
      <c r="AJ23" s="109">
        <f t="shared" si="7"/>
        <v>127000</v>
      </c>
      <c r="AK23" s="109">
        <f t="shared" si="7"/>
        <v>127000</v>
      </c>
      <c r="AL23" s="109">
        <f t="shared" si="7"/>
        <v>127000</v>
      </c>
      <c r="AM23" s="109">
        <f t="shared" si="7"/>
        <v>0</v>
      </c>
      <c r="AN23" s="109">
        <f t="shared" si="7"/>
        <v>0</v>
      </c>
      <c r="AO23" s="109">
        <f t="shared" si="7"/>
        <v>0</v>
      </c>
      <c r="AP23" s="109">
        <f t="shared" si="7"/>
        <v>0</v>
      </c>
      <c r="AQ23" s="109">
        <f t="shared" si="7"/>
        <v>0</v>
      </c>
      <c r="AR23" s="109">
        <f t="shared" si="7"/>
        <v>0</v>
      </c>
      <c r="AS23" s="109">
        <f t="shared" si="7"/>
        <v>0</v>
      </c>
    </row>
    <row r="24" spans="1:45" ht="15" customHeight="1" x14ac:dyDescent="0.3">
      <c r="A24" s="1"/>
      <c r="I24" s="116"/>
      <c r="J24" s="21"/>
      <c r="AL24" s="42"/>
      <c r="AM24" s="42"/>
      <c r="AN24" s="42"/>
      <c r="AO24" s="42"/>
      <c r="AP24" s="42"/>
      <c r="AQ24" s="42"/>
      <c r="AR24" s="42"/>
      <c r="AS24" s="42"/>
    </row>
    <row r="25" spans="1:45" ht="15" customHeight="1" x14ac:dyDescent="0.3">
      <c r="A25" s="1"/>
      <c r="C25" s="113" t="s">
        <v>165</v>
      </c>
      <c r="I25" s="116"/>
      <c r="J25" s="21"/>
      <c r="AL25" s="42"/>
      <c r="AM25" s="42"/>
      <c r="AN25" s="42"/>
      <c r="AO25" s="42"/>
      <c r="AP25" s="42"/>
      <c r="AQ25" s="42"/>
      <c r="AR25" s="42"/>
      <c r="AS25" s="42"/>
    </row>
    <row r="26" spans="1:45" ht="15" customHeight="1" x14ac:dyDescent="0.3">
      <c r="A26" s="1"/>
      <c r="E26" s="104" t="str">
        <f xml:space="preserve"> Inputs_TS!E$100</f>
        <v>Total historic copper production (Zijin annual reports)</v>
      </c>
      <c r="F26" s="104"/>
      <c r="G26" s="104" t="str">
        <f xml:space="preserve"> Inputs_TS!G$100</f>
        <v>tonnes</v>
      </c>
      <c r="H26" s="104" t="str">
        <f xml:space="preserve"> Inputs_TS!H$100</f>
        <v>IX</v>
      </c>
      <c r="I26" s="104"/>
      <c r="J26" s="61">
        <f xml:space="preserve"> Inputs_TS!J$100</f>
        <v>0</v>
      </c>
      <c r="K26" s="104">
        <f xml:space="preserve"> Inputs_TS!K$100</f>
        <v>0</v>
      </c>
      <c r="L26" s="104">
        <f xml:space="preserve"> Inputs_TS!L$100</f>
        <v>0</v>
      </c>
      <c r="M26" s="104">
        <f xml:space="preserve"> Inputs_TS!M$100</f>
        <v>0</v>
      </c>
      <c r="N26" s="104">
        <f xml:space="preserve"> Inputs_TS!N$100</f>
        <v>0</v>
      </c>
      <c r="O26" s="104">
        <f xml:space="preserve"> Inputs_TS!O$100</f>
        <v>0</v>
      </c>
      <c r="P26" s="104">
        <f xml:space="preserve"> Inputs_TS!P$100</f>
        <v>0</v>
      </c>
      <c r="Q26" s="104">
        <f xml:space="preserve"> Inputs_TS!Q$100</f>
        <v>0</v>
      </c>
      <c r="R26" s="104">
        <f xml:space="preserve"> Inputs_TS!R$100</f>
        <v>0</v>
      </c>
      <c r="S26" s="104">
        <f xml:space="preserve"> Inputs_TS!S$100</f>
        <v>0</v>
      </c>
      <c r="T26" s="104">
        <f xml:space="preserve"> Inputs_TS!T$100</f>
        <v>0</v>
      </c>
      <c r="U26" s="104">
        <f xml:space="preserve"> Inputs_TS!U$100</f>
        <v>0</v>
      </c>
      <c r="V26" s="104">
        <f xml:space="preserve"> Inputs_TS!V$100</f>
        <v>21940</v>
      </c>
      <c r="W26" s="104">
        <f xml:space="preserve"> Inputs_TS!W$100</f>
        <v>53235</v>
      </c>
      <c r="X26" s="104">
        <f xml:space="preserve"> Inputs_TS!X$100</f>
        <v>84286</v>
      </c>
      <c r="Y26" s="104">
        <f xml:space="preserve"> Inputs_TS!Y$100</f>
        <v>114265</v>
      </c>
      <c r="Z26" s="104">
        <f xml:space="preserve"> Inputs_TS!Z$100</f>
        <v>121072</v>
      </c>
      <c r="AA26" s="104">
        <f xml:space="preserve"> Inputs_TS!AA$100</f>
        <v>128233</v>
      </c>
      <c r="AB26" s="104">
        <f xml:space="preserve"> Inputs_TS!AB$100</f>
        <v>127018</v>
      </c>
      <c r="AC26" s="104">
        <f xml:space="preserve"> Inputs_TS!AC$100</f>
        <v>94584</v>
      </c>
      <c r="AD26" s="104">
        <f xml:space="preserve"> Inputs_TS!AD$100</f>
        <v>0</v>
      </c>
      <c r="AE26" s="104">
        <f xml:space="preserve"> Inputs_TS!AE$100</f>
        <v>0</v>
      </c>
      <c r="AF26" s="104">
        <f xml:space="preserve"> Inputs_TS!AF$100</f>
        <v>0</v>
      </c>
      <c r="AG26" s="104">
        <f xml:space="preserve"> Inputs_TS!AG$100</f>
        <v>0</v>
      </c>
      <c r="AH26" s="104">
        <f xml:space="preserve"> Inputs_TS!AH$100</f>
        <v>0</v>
      </c>
      <c r="AI26" s="104">
        <f xml:space="preserve"> Inputs_TS!AI$100</f>
        <v>0</v>
      </c>
      <c r="AJ26" s="104">
        <f xml:space="preserve"> Inputs_TS!AJ$100</f>
        <v>0</v>
      </c>
      <c r="AK26" s="104">
        <f xml:space="preserve"> Inputs_TS!AK$100</f>
        <v>0</v>
      </c>
      <c r="AL26" s="104">
        <f xml:space="preserve"> Inputs_TS!AL$100</f>
        <v>0</v>
      </c>
      <c r="AM26" s="104">
        <f xml:space="preserve"> Inputs_TS!AM$100</f>
        <v>0</v>
      </c>
      <c r="AN26" s="104">
        <f xml:space="preserve"> Inputs_TS!AN$100</f>
        <v>0</v>
      </c>
      <c r="AO26" s="104">
        <f xml:space="preserve"> Inputs_TS!AO$100</f>
        <v>0</v>
      </c>
      <c r="AP26" s="104">
        <f xml:space="preserve"> Inputs_TS!AP$100</f>
        <v>0</v>
      </c>
      <c r="AQ26" s="104">
        <f xml:space="preserve"> Inputs_TS!AQ$100</f>
        <v>0</v>
      </c>
      <c r="AR26" s="104">
        <f xml:space="preserve"> Inputs_TS!AR$100</f>
        <v>0</v>
      </c>
      <c r="AS26" s="104">
        <f xml:space="preserve"> Inputs_TS!AS$100</f>
        <v>0</v>
      </c>
    </row>
    <row r="27" spans="1:45" ht="15" customHeight="1" x14ac:dyDescent="0.3">
      <c r="A27" s="1"/>
      <c r="E27" s="104" t="str">
        <f xml:space="preserve"> Inputs_TS!E$101</f>
        <v>Copper cathode (Zijin annual reports)</v>
      </c>
      <c r="F27" s="104"/>
      <c r="G27" s="104" t="str">
        <f xml:space="preserve"> Inputs_TS!G$101</f>
        <v>tonnes</v>
      </c>
      <c r="H27" s="104" t="str">
        <f xml:space="preserve"> Inputs_TS!H$101</f>
        <v>IX</v>
      </c>
      <c r="I27" s="104"/>
      <c r="J27" s="61">
        <f xml:space="preserve"> Inputs_TS!J$101</f>
        <v>0</v>
      </c>
      <c r="K27" s="104">
        <f xml:space="preserve"> Inputs_TS!K$101</f>
        <v>0</v>
      </c>
      <c r="L27" s="104">
        <f xml:space="preserve"> Inputs_TS!L$101</f>
        <v>0</v>
      </c>
      <c r="M27" s="104">
        <f xml:space="preserve"> Inputs_TS!M$101</f>
        <v>0</v>
      </c>
      <c r="N27" s="104">
        <f xml:space="preserve"> Inputs_TS!N$101</f>
        <v>0</v>
      </c>
      <c r="O27" s="104">
        <f xml:space="preserve"> Inputs_TS!O$101</f>
        <v>0</v>
      </c>
      <c r="P27" s="104">
        <f xml:space="preserve"> Inputs_TS!P$101</f>
        <v>0</v>
      </c>
      <c r="Q27" s="104">
        <f xml:space="preserve"> Inputs_TS!Q$101</f>
        <v>0</v>
      </c>
      <c r="R27" s="104">
        <f xml:space="preserve"> Inputs_TS!R$101</f>
        <v>0</v>
      </c>
      <c r="S27" s="104">
        <f xml:space="preserve"> Inputs_TS!S$101</f>
        <v>0</v>
      </c>
      <c r="T27" s="104">
        <f xml:space="preserve"> Inputs_TS!T$101</f>
        <v>0</v>
      </c>
      <c r="U27" s="104">
        <f xml:space="preserve"> Inputs_TS!U$101</f>
        <v>0</v>
      </c>
      <c r="V27" s="104">
        <f xml:space="preserve"> Inputs_TS!V$101</f>
        <v>0</v>
      </c>
      <c r="W27" s="104">
        <f xml:space="preserve"> Inputs_TS!W$101</f>
        <v>0</v>
      </c>
      <c r="X27" s="104">
        <f xml:space="preserve"> Inputs_TS!X$101</f>
        <v>26173</v>
      </c>
      <c r="Y27" s="104">
        <f xml:space="preserve"> Inputs_TS!Y$101</f>
        <v>57400</v>
      </c>
      <c r="Z27" s="104">
        <f xml:space="preserve"> Inputs_TS!Z$101</f>
        <v>59928</v>
      </c>
      <c r="AA27" s="104">
        <f xml:space="preserve"> Inputs_TS!AA$101</f>
        <v>73834</v>
      </c>
      <c r="AB27" s="104">
        <f xml:space="preserve"> Inputs_TS!AB$101</f>
        <v>72921</v>
      </c>
      <c r="AC27" s="104">
        <f xml:space="preserve"> Inputs_TS!AC$101</f>
        <v>51914</v>
      </c>
      <c r="AD27" s="104">
        <f xml:space="preserve"> Inputs_TS!AD$101</f>
        <v>0</v>
      </c>
      <c r="AE27" s="104">
        <f xml:space="preserve"> Inputs_TS!AE$101</f>
        <v>0</v>
      </c>
      <c r="AF27" s="104">
        <f xml:space="preserve"> Inputs_TS!AF$101</f>
        <v>0</v>
      </c>
      <c r="AG27" s="104">
        <f xml:space="preserve"> Inputs_TS!AG$101</f>
        <v>0</v>
      </c>
      <c r="AH27" s="104">
        <f xml:space="preserve"> Inputs_TS!AH$101</f>
        <v>0</v>
      </c>
      <c r="AI27" s="104">
        <f xml:space="preserve"> Inputs_TS!AI$101</f>
        <v>0</v>
      </c>
      <c r="AJ27" s="104">
        <f xml:space="preserve"> Inputs_TS!AJ$101</f>
        <v>0</v>
      </c>
      <c r="AK27" s="104">
        <f xml:space="preserve"> Inputs_TS!AK$101</f>
        <v>0</v>
      </c>
      <c r="AL27" s="104">
        <f xml:space="preserve"> Inputs_TS!AL$101</f>
        <v>0</v>
      </c>
      <c r="AM27" s="104">
        <f xml:space="preserve"> Inputs_TS!AM$101</f>
        <v>0</v>
      </c>
      <c r="AN27" s="104">
        <f xml:space="preserve"> Inputs_TS!AN$101</f>
        <v>0</v>
      </c>
      <c r="AO27" s="104">
        <f xml:space="preserve"> Inputs_TS!AO$101</f>
        <v>0</v>
      </c>
      <c r="AP27" s="104">
        <f xml:space="preserve"> Inputs_TS!AP$101</f>
        <v>0</v>
      </c>
      <c r="AQ27" s="104">
        <f xml:space="preserve"> Inputs_TS!AQ$101</f>
        <v>0</v>
      </c>
      <c r="AR27" s="104">
        <f xml:space="preserve"> Inputs_TS!AR$101</f>
        <v>0</v>
      </c>
      <c r="AS27" s="104">
        <f xml:space="preserve"> Inputs_TS!AS$101</f>
        <v>0</v>
      </c>
    </row>
    <row r="28" spans="1:45" ht="15" customHeight="1" x14ac:dyDescent="0.3">
      <c r="A28" s="1"/>
      <c r="D28" s="40"/>
      <c r="E28" s="40" t="s">
        <v>163</v>
      </c>
      <c r="F28" s="40"/>
      <c r="G28" s="40" t="s">
        <v>160</v>
      </c>
      <c r="H28" s="40"/>
      <c r="I28" s="40"/>
      <c r="J28" s="45"/>
      <c r="K28" s="40">
        <f t="shared" ref="K28:AS28" si="8">(K2 &gt;= 2020)* 1</f>
        <v>0</v>
      </c>
      <c r="L28" s="40">
        <f t="shared" si="8"/>
        <v>0</v>
      </c>
      <c r="M28" s="40">
        <f t="shared" si="8"/>
        <v>0</v>
      </c>
      <c r="N28" s="40">
        <f t="shared" si="8"/>
        <v>0</v>
      </c>
      <c r="O28" s="40">
        <f t="shared" si="8"/>
        <v>0</v>
      </c>
      <c r="P28" s="40">
        <f t="shared" si="8"/>
        <v>0</v>
      </c>
      <c r="Q28" s="40">
        <f t="shared" si="8"/>
        <v>0</v>
      </c>
      <c r="R28" s="40">
        <f t="shared" si="8"/>
        <v>0</v>
      </c>
      <c r="S28" s="40">
        <f t="shared" si="8"/>
        <v>0</v>
      </c>
      <c r="T28" s="40">
        <f t="shared" si="8"/>
        <v>0</v>
      </c>
      <c r="U28" s="40">
        <f t="shared" si="8"/>
        <v>0</v>
      </c>
      <c r="V28" s="40">
        <f t="shared" si="8"/>
        <v>0</v>
      </c>
      <c r="W28" s="40">
        <f t="shared" si="8"/>
        <v>0</v>
      </c>
      <c r="X28" s="40">
        <f t="shared" si="8"/>
        <v>0</v>
      </c>
      <c r="Y28" s="40">
        <f t="shared" si="8"/>
        <v>1</v>
      </c>
      <c r="Z28" s="40">
        <f t="shared" si="8"/>
        <v>1</v>
      </c>
      <c r="AA28" s="40">
        <f t="shared" si="8"/>
        <v>1</v>
      </c>
      <c r="AB28" s="40">
        <f t="shared" si="8"/>
        <v>1</v>
      </c>
      <c r="AC28" s="40">
        <f t="shared" si="8"/>
        <v>1</v>
      </c>
      <c r="AD28" s="40">
        <f t="shared" si="8"/>
        <v>1</v>
      </c>
      <c r="AE28" s="40">
        <f t="shared" si="8"/>
        <v>1</v>
      </c>
      <c r="AF28" s="40">
        <f t="shared" si="8"/>
        <v>1</v>
      </c>
      <c r="AG28" s="40">
        <f t="shared" si="8"/>
        <v>1</v>
      </c>
      <c r="AH28" s="40">
        <f t="shared" si="8"/>
        <v>1</v>
      </c>
      <c r="AI28" s="40">
        <f t="shared" si="8"/>
        <v>1</v>
      </c>
      <c r="AJ28" s="40">
        <f t="shared" si="8"/>
        <v>1</v>
      </c>
      <c r="AK28" s="40">
        <f t="shared" si="8"/>
        <v>1</v>
      </c>
      <c r="AL28" s="40">
        <f t="shared" si="8"/>
        <v>1</v>
      </c>
      <c r="AM28" s="40">
        <f t="shared" si="8"/>
        <v>1</v>
      </c>
      <c r="AN28" s="40">
        <f t="shared" si="8"/>
        <v>1</v>
      </c>
      <c r="AO28" s="40">
        <f t="shared" si="8"/>
        <v>1</v>
      </c>
      <c r="AP28" s="40">
        <f t="shared" si="8"/>
        <v>1</v>
      </c>
      <c r="AQ28" s="40">
        <f t="shared" si="8"/>
        <v>1</v>
      </c>
      <c r="AR28" s="40">
        <f t="shared" si="8"/>
        <v>1</v>
      </c>
      <c r="AS28" s="40">
        <f t="shared" si="8"/>
        <v>1</v>
      </c>
    </row>
    <row r="29" spans="1:45" ht="15" customHeight="1" x14ac:dyDescent="0.3">
      <c r="A29" s="1"/>
      <c r="D29" s="122"/>
      <c r="E29" s="42" t="s">
        <v>131</v>
      </c>
      <c r="F29" s="72">
        <f>AVERAGEIF(S29:AS29, "&lt;&gt;0")</f>
        <v>0.53921312386899023</v>
      </c>
      <c r="G29" s="42" t="s">
        <v>34</v>
      </c>
      <c r="H29" s="57"/>
      <c r="I29" s="57"/>
      <c r="J29" s="45"/>
      <c r="K29" s="72">
        <f t="shared" ref="K29:O29" si="9">IFERROR(K27/K26 * K28, 0)</f>
        <v>0</v>
      </c>
      <c r="L29" s="72">
        <f t="shared" si="9"/>
        <v>0</v>
      </c>
      <c r="M29" s="72">
        <f t="shared" si="9"/>
        <v>0</v>
      </c>
      <c r="N29" s="72">
        <f t="shared" si="9"/>
        <v>0</v>
      </c>
      <c r="O29" s="72">
        <f t="shared" si="9"/>
        <v>0</v>
      </c>
      <c r="P29" s="72">
        <f t="shared" ref="P29" si="10">IFERROR(P27/P26 * P28, 0)</f>
        <v>0</v>
      </c>
      <c r="Q29" s="72">
        <f t="shared" ref="Q29" si="11">IFERROR(Q27/Q26 * Q28, 0)</f>
        <v>0</v>
      </c>
      <c r="R29" s="72">
        <f t="shared" ref="R29" si="12">IFERROR(R27/R26 * R28, 0)</f>
        <v>0</v>
      </c>
      <c r="S29" s="72">
        <f t="shared" ref="S29" si="13">IFERROR(S27/S26 * S28, 0)</f>
        <v>0</v>
      </c>
      <c r="T29" s="72">
        <f t="shared" ref="T29" si="14">IFERROR(T27/T26 * T28, 0)</f>
        <v>0</v>
      </c>
      <c r="U29" s="72">
        <f t="shared" ref="U29" si="15">IFERROR(U27/U26 * U28, 0)</f>
        <v>0</v>
      </c>
      <c r="V29" s="72">
        <f t="shared" ref="V29" si="16">IFERROR(V27/V26 * V28, 0)</f>
        <v>0</v>
      </c>
      <c r="W29" s="72">
        <f t="shared" ref="W29" si="17">IFERROR(W27/W26 * W28, 0)</f>
        <v>0</v>
      </c>
      <c r="X29" s="72">
        <f t="shared" ref="X29" si="18">IFERROR(X27/X26 * X28, 0)</f>
        <v>0</v>
      </c>
      <c r="Y29" s="72">
        <f t="shared" ref="Y29" si="19">IFERROR(Y27/Y26 * Y28, 0)</f>
        <v>0.50234104931518841</v>
      </c>
      <c r="Z29" s="72">
        <f t="shared" ref="Z29" si="20">IFERROR(Z27/Z26 * Z28, 0)</f>
        <v>0.49497819479318089</v>
      </c>
      <c r="AA29" s="72">
        <f t="shared" ref="AA29" si="21">IFERROR(AA27/AA26 * AA28, 0)</f>
        <v>0.5757800254224732</v>
      </c>
      <c r="AB29" s="72">
        <f t="shared" ref="AB29" si="22">IFERROR(AB27/AB26 * AB28, 0)</f>
        <v>0.57409973389598323</v>
      </c>
      <c r="AC29" s="72">
        <f t="shared" ref="AC29" si="23">IFERROR(AC27/AC26 * AC28, 0)</f>
        <v>0.54886661591812569</v>
      </c>
      <c r="AD29" s="72">
        <f t="shared" ref="AD29" si="24">IFERROR(AD27/AD26 * AD28, 0)</f>
        <v>0</v>
      </c>
      <c r="AE29" s="72">
        <f t="shared" ref="AE29" si="25">IFERROR(AE27/AE26 * AE28, 0)</f>
        <v>0</v>
      </c>
      <c r="AF29" s="72">
        <f t="shared" ref="AF29" si="26">IFERROR(AF27/AF26 * AF28, 0)</f>
        <v>0</v>
      </c>
      <c r="AG29" s="72">
        <f t="shared" ref="AG29" si="27">IFERROR(AG27/AG26 * AG28, 0)</f>
        <v>0</v>
      </c>
      <c r="AH29" s="72">
        <f t="shared" ref="AH29" si="28">IFERROR(AH27/AH26 * AH28, 0)</f>
        <v>0</v>
      </c>
      <c r="AI29" s="72">
        <f t="shared" ref="AI29" si="29">IFERROR(AI27/AI26 * AI28, 0)</f>
        <v>0</v>
      </c>
      <c r="AJ29" s="72">
        <f t="shared" ref="AJ29" si="30">IFERROR(AJ27/AJ26 * AJ28, 0)</f>
        <v>0</v>
      </c>
      <c r="AK29" s="72">
        <f t="shared" ref="AK29" si="31">IFERROR(AK27/AK26 * AK28, 0)</f>
        <v>0</v>
      </c>
      <c r="AL29" s="72">
        <f t="shared" ref="AL29" si="32">IFERROR(AL27/AL26 * AL28, 0)</f>
        <v>0</v>
      </c>
      <c r="AM29" s="72">
        <f t="shared" ref="AM29" si="33">IFERROR(AM27/AM26 * AM28, 0)</f>
        <v>0</v>
      </c>
      <c r="AN29" s="72">
        <f t="shared" ref="AN29" si="34">IFERROR(AN27/AN26 * AN28, 0)</f>
        <v>0</v>
      </c>
      <c r="AO29" s="72">
        <f t="shared" ref="AO29" si="35">IFERROR(AO27/AO26 * AO28, 0)</f>
        <v>0</v>
      </c>
      <c r="AP29" s="72">
        <f t="shared" ref="AP29" si="36">IFERROR(AP27/AP26 * AP28, 0)</f>
        <v>0</v>
      </c>
      <c r="AQ29" s="72">
        <f t="shared" ref="AQ29" si="37">IFERROR(AQ27/AQ26 * AQ28, 0)</f>
        <v>0</v>
      </c>
      <c r="AR29" s="72">
        <f t="shared" ref="AR29" si="38">IFERROR(AR27/AR26 * AR28, 0)</f>
        <v>0</v>
      </c>
      <c r="AS29" s="72">
        <f>IFERROR(AS27/AS26 * AS28, 0)</f>
        <v>0</v>
      </c>
    </row>
    <row r="30" spans="1:45" ht="15" customHeight="1" x14ac:dyDescent="0.3">
      <c r="A30" s="1"/>
      <c r="I30" s="116"/>
      <c r="J30" s="21"/>
      <c r="AL30" s="42"/>
      <c r="AM30" s="42"/>
      <c r="AN30" s="42"/>
      <c r="AO30" s="42"/>
      <c r="AP30" s="42"/>
      <c r="AQ30" s="42"/>
      <c r="AR30" s="42"/>
      <c r="AS30" s="42"/>
    </row>
    <row r="31" spans="1:45" ht="15" customHeight="1" x14ac:dyDescent="0.3">
      <c r="A31" s="1"/>
      <c r="E31" s="40" t="str">
        <f xml:space="preserve"> E$23</f>
        <v>Copper production: historic + forecast</v>
      </c>
      <c r="F31" s="40"/>
      <c r="G31" s="40" t="str">
        <f xml:space="preserve"> G$23</f>
        <v>tonnes</v>
      </c>
      <c r="H31" s="40"/>
      <c r="I31" s="40">
        <f t="shared" ref="I31:O31" si="39" xml:space="preserve"> I$23</f>
        <v>1887633</v>
      </c>
      <c r="J31" s="45">
        <f t="shared" si="39"/>
        <v>0</v>
      </c>
      <c r="K31" s="40">
        <f t="shared" si="39"/>
        <v>0</v>
      </c>
      <c r="L31" s="40">
        <f t="shared" si="39"/>
        <v>0</v>
      </c>
      <c r="M31" s="40">
        <f t="shared" si="39"/>
        <v>0</v>
      </c>
      <c r="N31" s="40">
        <f t="shared" si="39"/>
        <v>0</v>
      </c>
      <c r="O31" s="40">
        <f t="shared" si="39"/>
        <v>0</v>
      </c>
      <c r="P31" s="40">
        <f t="shared" ref="P31:AS31" si="40" xml:space="preserve"> P$23</f>
        <v>0</v>
      </c>
      <c r="Q31" s="40">
        <f t="shared" si="40"/>
        <v>0</v>
      </c>
      <c r="R31" s="40">
        <f t="shared" si="40"/>
        <v>0</v>
      </c>
      <c r="S31" s="40">
        <f t="shared" si="40"/>
        <v>0</v>
      </c>
      <c r="T31" s="40">
        <f t="shared" si="40"/>
        <v>0</v>
      </c>
      <c r="U31" s="40">
        <f t="shared" si="40"/>
        <v>0</v>
      </c>
      <c r="V31" s="40">
        <f t="shared" si="40"/>
        <v>21940</v>
      </c>
      <c r="W31" s="40">
        <f t="shared" si="40"/>
        <v>53235</v>
      </c>
      <c r="X31" s="40">
        <f t="shared" si="40"/>
        <v>84286</v>
      </c>
      <c r="Y31" s="40">
        <f t="shared" si="40"/>
        <v>114265</v>
      </c>
      <c r="Z31" s="40">
        <f t="shared" si="40"/>
        <v>121072</v>
      </c>
      <c r="AA31" s="40">
        <f t="shared" si="40"/>
        <v>128233</v>
      </c>
      <c r="AB31" s="40">
        <f t="shared" si="40"/>
        <v>127018</v>
      </c>
      <c r="AC31" s="40">
        <f t="shared" si="40"/>
        <v>94584</v>
      </c>
      <c r="AD31" s="40">
        <f t="shared" si="40"/>
        <v>127000</v>
      </c>
      <c r="AE31" s="40">
        <f t="shared" si="40"/>
        <v>127000</v>
      </c>
      <c r="AF31" s="40">
        <f t="shared" si="40"/>
        <v>127000</v>
      </c>
      <c r="AG31" s="40">
        <f t="shared" si="40"/>
        <v>127000</v>
      </c>
      <c r="AH31" s="40">
        <f t="shared" si="40"/>
        <v>127000</v>
      </c>
      <c r="AI31" s="40">
        <f t="shared" si="40"/>
        <v>127000</v>
      </c>
      <c r="AJ31" s="40">
        <f t="shared" si="40"/>
        <v>127000</v>
      </c>
      <c r="AK31" s="40">
        <f t="shared" si="40"/>
        <v>127000</v>
      </c>
      <c r="AL31" s="40">
        <f t="shared" si="40"/>
        <v>127000</v>
      </c>
      <c r="AM31" s="40">
        <f t="shared" si="40"/>
        <v>0</v>
      </c>
      <c r="AN31" s="40">
        <f t="shared" si="40"/>
        <v>0</v>
      </c>
      <c r="AO31" s="40">
        <f t="shared" si="40"/>
        <v>0</v>
      </c>
      <c r="AP31" s="40">
        <f t="shared" si="40"/>
        <v>0</v>
      </c>
      <c r="AQ31" s="40">
        <f t="shared" si="40"/>
        <v>0</v>
      </c>
      <c r="AR31" s="40">
        <f t="shared" si="40"/>
        <v>0</v>
      </c>
      <c r="AS31" s="40">
        <f t="shared" si="40"/>
        <v>0</v>
      </c>
    </row>
    <row r="32" spans="1:45" ht="15" customHeight="1" x14ac:dyDescent="0.3">
      <c r="A32" s="1"/>
      <c r="E32" s="40" t="str">
        <f xml:space="preserve"> E$29</f>
        <v>Copper cathode to total copper (2020 onwards)</v>
      </c>
      <c r="F32" s="90">
        <f xml:space="preserve"> F$29</f>
        <v>0.53921312386899023</v>
      </c>
      <c r="G32" s="40" t="str">
        <f xml:space="preserve"> G$29</f>
        <v>%</v>
      </c>
      <c r="I32" s="116"/>
      <c r="J32" s="21"/>
      <c r="AL32" s="42"/>
      <c r="AM32" s="42"/>
      <c r="AN32" s="42"/>
      <c r="AO32" s="42"/>
      <c r="AP32" s="42"/>
      <c r="AQ32" s="42"/>
      <c r="AR32" s="42"/>
      <c r="AS32" s="42"/>
    </row>
    <row r="33" spans="1:45" ht="15" customHeight="1" x14ac:dyDescent="0.3">
      <c r="A33" s="1"/>
      <c r="E33" s="40" t="s">
        <v>167</v>
      </c>
      <c r="F33" s="126"/>
      <c r="G33" s="40" t="s">
        <v>160</v>
      </c>
      <c r="I33" s="116"/>
      <c r="J33" s="21"/>
      <c r="K33" s="42">
        <f t="shared" ref="K33:AS33" si="41">(K2 &gt;= 2025) * 1</f>
        <v>0</v>
      </c>
      <c r="L33" s="42">
        <f t="shared" si="41"/>
        <v>0</v>
      </c>
      <c r="M33" s="42">
        <f t="shared" si="41"/>
        <v>0</v>
      </c>
      <c r="N33" s="42">
        <f t="shared" si="41"/>
        <v>0</v>
      </c>
      <c r="O33" s="42">
        <f t="shared" si="41"/>
        <v>0</v>
      </c>
      <c r="P33" s="42">
        <f t="shared" si="41"/>
        <v>0</v>
      </c>
      <c r="Q33" s="42">
        <f t="shared" si="41"/>
        <v>0</v>
      </c>
      <c r="R33" s="42">
        <f t="shared" si="41"/>
        <v>0</v>
      </c>
      <c r="S33" s="42">
        <f t="shared" si="41"/>
        <v>0</v>
      </c>
      <c r="T33" s="42">
        <f t="shared" si="41"/>
        <v>0</v>
      </c>
      <c r="U33" s="42">
        <f t="shared" si="41"/>
        <v>0</v>
      </c>
      <c r="V33" s="42">
        <f t="shared" si="41"/>
        <v>0</v>
      </c>
      <c r="W33" s="42">
        <f t="shared" si="41"/>
        <v>0</v>
      </c>
      <c r="X33" s="42">
        <f t="shared" si="41"/>
        <v>0</v>
      </c>
      <c r="Y33" s="42">
        <f t="shared" si="41"/>
        <v>0</v>
      </c>
      <c r="Z33" s="42">
        <f t="shared" si="41"/>
        <v>0</v>
      </c>
      <c r="AA33" s="42">
        <f t="shared" si="41"/>
        <v>0</v>
      </c>
      <c r="AB33" s="42">
        <f t="shared" si="41"/>
        <v>0</v>
      </c>
      <c r="AC33" s="42">
        <f t="shared" si="41"/>
        <v>0</v>
      </c>
      <c r="AD33" s="42">
        <f t="shared" si="41"/>
        <v>1</v>
      </c>
      <c r="AE33" s="42">
        <f t="shared" si="41"/>
        <v>1</v>
      </c>
      <c r="AF33" s="42">
        <f t="shared" si="41"/>
        <v>1</v>
      </c>
      <c r="AG33" s="42">
        <f t="shared" si="41"/>
        <v>1</v>
      </c>
      <c r="AH33" s="42">
        <f t="shared" si="41"/>
        <v>1</v>
      </c>
      <c r="AI33" s="42">
        <f t="shared" si="41"/>
        <v>1</v>
      </c>
      <c r="AJ33" s="42">
        <f t="shared" si="41"/>
        <v>1</v>
      </c>
      <c r="AK33" s="42">
        <f t="shared" si="41"/>
        <v>1</v>
      </c>
      <c r="AL33" s="42">
        <f t="shared" si="41"/>
        <v>1</v>
      </c>
      <c r="AM33" s="42">
        <f t="shared" si="41"/>
        <v>1</v>
      </c>
      <c r="AN33" s="42">
        <f t="shared" si="41"/>
        <v>1</v>
      </c>
      <c r="AO33" s="42">
        <f t="shared" si="41"/>
        <v>1</v>
      </c>
      <c r="AP33" s="42">
        <f t="shared" si="41"/>
        <v>1</v>
      </c>
      <c r="AQ33" s="42">
        <f t="shared" si="41"/>
        <v>1</v>
      </c>
      <c r="AR33" s="42">
        <f t="shared" si="41"/>
        <v>1</v>
      </c>
      <c r="AS33" s="42">
        <f t="shared" si="41"/>
        <v>1</v>
      </c>
    </row>
    <row r="34" spans="1:45" ht="15" customHeight="1" x14ac:dyDescent="0.3">
      <c r="A34" s="1"/>
      <c r="E34" s="40" t="s">
        <v>166</v>
      </c>
      <c r="F34" s="126"/>
      <c r="G34" s="40" t="s">
        <v>38</v>
      </c>
      <c r="I34" s="116"/>
      <c r="J34" s="21"/>
      <c r="K34" s="42">
        <f t="shared" ref="K34:O34" si="42">K33 * K31 * $F32</f>
        <v>0</v>
      </c>
      <c r="L34" s="42">
        <f t="shared" si="42"/>
        <v>0</v>
      </c>
      <c r="M34" s="42">
        <f t="shared" si="42"/>
        <v>0</v>
      </c>
      <c r="N34" s="42">
        <f t="shared" si="42"/>
        <v>0</v>
      </c>
      <c r="O34" s="42">
        <f t="shared" si="42"/>
        <v>0</v>
      </c>
      <c r="P34" s="42">
        <f t="shared" ref="P34:AS34" si="43">P33 * P31 * $F32</f>
        <v>0</v>
      </c>
      <c r="Q34" s="42">
        <f t="shared" si="43"/>
        <v>0</v>
      </c>
      <c r="R34" s="42">
        <f t="shared" si="43"/>
        <v>0</v>
      </c>
      <c r="S34" s="42">
        <f t="shared" si="43"/>
        <v>0</v>
      </c>
      <c r="T34" s="42">
        <f t="shared" si="43"/>
        <v>0</v>
      </c>
      <c r="U34" s="42">
        <f t="shared" si="43"/>
        <v>0</v>
      </c>
      <c r="V34" s="42">
        <f t="shared" si="43"/>
        <v>0</v>
      </c>
      <c r="W34" s="42">
        <f t="shared" si="43"/>
        <v>0</v>
      </c>
      <c r="X34" s="42">
        <f t="shared" si="43"/>
        <v>0</v>
      </c>
      <c r="Y34" s="42">
        <f t="shared" si="43"/>
        <v>0</v>
      </c>
      <c r="Z34" s="42">
        <f t="shared" si="43"/>
        <v>0</v>
      </c>
      <c r="AA34" s="42">
        <f t="shared" si="43"/>
        <v>0</v>
      </c>
      <c r="AB34" s="42">
        <f t="shared" si="43"/>
        <v>0</v>
      </c>
      <c r="AC34" s="42">
        <f t="shared" si="43"/>
        <v>0</v>
      </c>
      <c r="AD34" s="42">
        <f t="shared" si="43"/>
        <v>68480.06673136176</v>
      </c>
      <c r="AE34" s="42">
        <f t="shared" si="43"/>
        <v>68480.06673136176</v>
      </c>
      <c r="AF34" s="42">
        <f t="shared" si="43"/>
        <v>68480.06673136176</v>
      </c>
      <c r="AG34" s="42">
        <f t="shared" si="43"/>
        <v>68480.06673136176</v>
      </c>
      <c r="AH34" s="42">
        <f t="shared" si="43"/>
        <v>68480.06673136176</v>
      </c>
      <c r="AI34" s="42">
        <f t="shared" si="43"/>
        <v>68480.06673136176</v>
      </c>
      <c r="AJ34" s="42">
        <f t="shared" si="43"/>
        <v>68480.06673136176</v>
      </c>
      <c r="AK34" s="42">
        <f t="shared" si="43"/>
        <v>68480.06673136176</v>
      </c>
      <c r="AL34" s="42">
        <f t="shared" si="43"/>
        <v>68480.06673136176</v>
      </c>
      <c r="AM34" s="42">
        <f t="shared" si="43"/>
        <v>0</v>
      </c>
      <c r="AN34" s="42">
        <f t="shared" si="43"/>
        <v>0</v>
      </c>
      <c r="AO34" s="42">
        <f t="shared" si="43"/>
        <v>0</v>
      </c>
      <c r="AP34" s="42">
        <f t="shared" si="43"/>
        <v>0</v>
      </c>
      <c r="AQ34" s="42">
        <f t="shared" si="43"/>
        <v>0</v>
      </c>
      <c r="AR34" s="42">
        <f t="shared" si="43"/>
        <v>0</v>
      </c>
      <c r="AS34" s="42">
        <f t="shared" si="43"/>
        <v>0</v>
      </c>
    </row>
    <row r="35" spans="1:45" ht="15" customHeight="1" x14ac:dyDescent="0.3">
      <c r="A35" s="1"/>
      <c r="E35" s="40"/>
      <c r="F35" s="126"/>
      <c r="G35" s="40"/>
      <c r="I35" s="116"/>
      <c r="J35" s="21"/>
      <c r="AL35" s="42"/>
      <c r="AM35" s="42"/>
      <c r="AN35" s="42"/>
      <c r="AO35" s="42"/>
      <c r="AP35" s="42"/>
      <c r="AQ35" s="42"/>
      <c r="AR35" s="42"/>
      <c r="AS35" s="42"/>
    </row>
    <row r="36" spans="1:45" ht="15" customHeight="1" x14ac:dyDescent="0.3">
      <c r="A36" s="1"/>
      <c r="E36" s="104" t="str">
        <f xml:space="preserve"> Inputs_TS!E$101</f>
        <v>Copper cathode (Zijin annual reports)</v>
      </c>
      <c r="F36" s="104"/>
      <c r="G36" s="104" t="str">
        <f xml:space="preserve"> Inputs_TS!G$101</f>
        <v>tonnes</v>
      </c>
      <c r="H36" s="104" t="str">
        <f xml:space="preserve"> Inputs_TS!H$101</f>
        <v>IX</v>
      </c>
      <c r="I36" s="104"/>
      <c r="J36" s="61">
        <f xml:space="preserve"> Inputs_TS!J$101</f>
        <v>0</v>
      </c>
      <c r="K36" s="104">
        <f xml:space="preserve"> Inputs_TS!K$101</f>
        <v>0</v>
      </c>
      <c r="L36" s="104">
        <f xml:space="preserve"> Inputs_TS!L$101</f>
        <v>0</v>
      </c>
      <c r="M36" s="104">
        <f xml:space="preserve"> Inputs_TS!M$101</f>
        <v>0</v>
      </c>
      <c r="N36" s="104">
        <f xml:space="preserve"> Inputs_TS!N$101</f>
        <v>0</v>
      </c>
      <c r="O36" s="104">
        <f xml:space="preserve"> Inputs_TS!O$101</f>
        <v>0</v>
      </c>
      <c r="P36" s="104">
        <f xml:space="preserve"> Inputs_TS!P$101</f>
        <v>0</v>
      </c>
      <c r="Q36" s="104">
        <f xml:space="preserve"> Inputs_TS!Q$101</f>
        <v>0</v>
      </c>
      <c r="R36" s="104">
        <f xml:space="preserve"> Inputs_TS!R$101</f>
        <v>0</v>
      </c>
      <c r="S36" s="104">
        <f xml:space="preserve"> Inputs_TS!S$101</f>
        <v>0</v>
      </c>
      <c r="T36" s="104">
        <f xml:space="preserve"> Inputs_TS!T$101</f>
        <v>0</v>
      </c>
      <c r="U36" s="104">
        <f xml:space="preserve"> Inputs_TS!U$101</f>
        <v>0</v>
      </c>
      <c r="V36" s="104">
        <f xml:space="preserve"> Inputs_TS!V$101</f>
        <v>0</v>
      </c>
      <c r="W36" s="104">
        <f xml:space="preserve"> Inputs_TS!W$101</f>
        <v>0</v>
      </c>
      <c r="X36" s="104">
        <f xml:space="preserve"> Inputs_TS!X$101</f>
        <v>26173</v>
      </c>
      <c r="Y36" s="104">
        <f xml:space="preserve"> Inputs_TS!Y$101</f>
        <v>57400</v>
      </c>
      <c r="Z36" s="104">
        <f xml:space="preserve"> Inputs_TS!Z$101</f>
        <v>59928</v>
      </c>
      <c r="AA36" s="104">
        <f xml:space="preserve"> Inputs_TS!AA$101</f>
        <v>73834</v>
      </c>
      <c r="AB36" s="104">
        <f xml:space="preserve"> Inputs_TS!AB$101</f>
        <v>72921</v>
      </c>
      <c r="AC36" s="104">
        <f xml:space="preserve"> Inputs_TS!AC$101</f>
        <v>51914</v>
      </c>
      <c r="AD36" s="104">
        <f xml:space="preserve"> Inputs_TS!AD$101</f>
        <v>0</v>
      </c>
      <c r="AE36" s="104">
        <f xml:space="preserve"> Inputs_TS!AE$101</f>
        <v>0</v>
      </c>
      <c r="AF36" s="104">
        <f xml:space="preserve"> Inputs_TS!AF$101</f>
        <v>0</v>
      </c>
      <c r="AG36" s="104">
        <f xml:space="preserve"> Inputs_TS!AG$101</f>
        <v>0</v>
      </c>
      <c r="AH36" s="104">
        <f xml:space="preserve"> Inputs_TS!AH$101</f>
        <v>0</v>
      </c>
      <c r="AI36" s="104">
        <f xml:space="preserve"> Inputs_TS!AI$101</f>
        <v>0</v>
      </c>
      <c r="AJ36" s="104">
        <f xml:space="preserve"> Inputs_TS!AJ$101</f>
        <v>0</v>
      </c>
      <c r="AK36" s="104">
        <f xml:space="preserve"> Inputs_TS!AK$101</f>
        <v>0</v>
      </c>
      <c r="AL36" s="104">
        <f xml:space="preserve"> Inputs_TS!AL$101</f>
        <v>0</v>
      </c>
      <c r="AM36" s="104">
        <f xml:space="preserve"> Inputs_TS!AM$101</f>
        <v>0</v>
      </c>
      <c r="AN36" s="104">
        <f xml:space="preserve"> Inputs_TS!AN$101</f>
        <v>0</v>
      </c>
      <c r="AO36" s="104">
        <f xml:space="preserve"> Inputs_TS!AO$101</f>
        <v>0</v>
      </c>
      <c r="AP36" s="104">
        <f xml:space="preserve"> Inputs_TS!AP$101</f>
        <v>0</v>
      </c>
      <c r="AQ36" s="104">
        <f xml:space="preserve"> Inputs_TS!AQ$101</f>
        <v>0</v>
      </c>
      <c r="AR36" s="104">
        <f xml:space="preserve"> Inputs_TS!AR$101</f>
        <v>0</v>
      </c>
      <c r="AS36" s="104">
        <f xml:space="preserve"> Inputs_TS!AS$101</f>
        <v>0</v>
      </c>
    </row>
    <row r="37" spans="1:45" ht="15" customHeight="1" x14ac:dyDescent="0.3">
      <c r="A37" s="1"/>
      <c r="E37" s="40" t="str">
        <f xml:space="preserve"> E$34</f>
        <v>Copper cathode forecast</v>
      </c>
      <c r="F37" s="40">
        <f xml:space="preserve"> F$34</f>
        <v>0</v>
      </c>
      <c r="G37" s="40" t="str">
        <f xml:space="preserve"> G$34</f>
        <v>tonnes</v>
      </c>
      <c r="H37" s="40"/>
      <c r="I37" s="40"/>
      <c r="J37" s="40">
        <f t="shared" ref="J37:O37" si="44" xml:space="preserve"> J$34</f>
        <v>0</v>
      </c>
      <c r="K37" s="40">
        <f t="shared" si="44"/>
        <v>0</v>
      </c>
      <c r="L37" s="40">
        <f t="shared" si="44"/>
        <v>0</v>
      </c>
      <c r="M37" s="40">
        <f t="shared" si="44"/>
        <v>0</v>
      </c>
      <c r="N37" s="40">
        <f t="shared" si="44"/>
        <v>0</v>
      </c>
      <c r="O37" s="40">
        <f t="shared" si="44"/>
        <v>0</v>
      </c>
      <c r="P37" s="40">
        <f t="shared" ref="P37:AS37" si="45" xml:space="preserve"> P$34</f>
        <v>0</v>
      </c>
      <c r="Q37" s="40">
        <f t="shared" si="45"/>
        <v>0</v>
      </c>
      <c r="R37" s="40">
        <f t="shared" si="45"/>
        <v>0</v>
      </c>
      <c r="S37" s="40">
        <f t="shared" si="45"/>
        <v>0</v>
      </c>
      <c r="T37" s="40">
        <f t="shared" si="45"/>
        <v>0</v>
      </c>
      <c r="U37" s="40">
        <f t="shared" si="45"/>
        <v>0</v>
      </c>
      <c r="V37" s="40">
        <f t="shared" si="45"/>
        <v>0</v>
      </c>
      <c r="W37" s="40">
        <f t="shared" si="45"/>
        <v>0</v>
      </c>
      <c r="X37" s="40">
        <f t="shared" si="45"/>
        <v>0</v>
      </c>
      <c r="Y37" s="40">
        <f t="shared" si="45"/>
        <v>0</v>
      </c>
      <c r="Z37" s="40">
        <f t="shared" si="45"/>
        <v>0</v>
      </c>
      <c r="AA37" s="40">
        <f t="shared" si="45"/>
        <v>0</v>
      </c>
      <c r="AB37" s="40">
        <f t="shared" si="45"/>
        <v>0</v>
      </c>
      <c r="AC37" s="40">
        <f t="shared" si="45"/>
        <v>0</v>
      </c>
      <c r="AD37" s="40">
        <f t="shared" si="45"/>
        <v>68480.06673136176</v>
      </c>
      <c r="AE37" s="40">
        <f t="shared" si="45"/>
        <v>68480.06673136176</v>
      </c>
      <c r="AF37" s="40">
        <f t="shared" si="45"/>
        <v>68480.06673136176</v>
      </c>
      <c r="AG37" s="40">
        <f t="shared" si="45"/>
        <v>68480.06673136176</v>
      </c>
      <c r="AH37" s="40">
        <f t="shared" si="45"/>
        <v>68480.06673136176</v>
      </c>
      <c r="AI37" s="40">
        <f t="shared" si="45"/>
        <v>68480.06673136176</v>
      </c>
      <c r="AJ37" s="40">
        <f t="shared" si="45"/>
        <v>68480.06673136176</v>
      </c>
      <c r="AK37" s="40">
        <f t="shared" si="45"/>
        <v>68480.06673136176</v>
      </c>
      <c r="AL37" s="40">
        <f t="shared" si="45"/>
        <v>68480.06673136176</v>
      </c>
      <c r="AM37" s="40">
        <f t="shared" si="45"/>
        <v>0</v>
      </c>
      <c r="AN37" s="40">
        <f t="shared" si="45"/>
        <v>0</v>
      </c>
      <c r="AO37" s="40">
        <f t="shared" si="45"/>
        <v>0</v>
      </c>
      <c r="AP37" s="40">
        <f t="shared" si="45"/>
        <v>0</v>
      </c>
      <c r="AQ37" s="40">
        <f t="shared" si="45"/>
        <v>0</v>
      </c>
      <c r="AR37" s="40">
        <f t="shared" si="45"/>
        <v>0</v>
      </c>
      <c r="AS37" s="40">
        <f t="shared" si="45"/>
        <v>0</v>
      </c>
    </row>
    <row r="38" spans="1:45" ht="15" customHeight="1" x14ac:dyDescent="0.3">
      <c r="A38" s="86"/>
      <c r="B38" s="123"/>
      <c r="C38" s="124"/>
      <c r="D38" s="109"/>
      <c r="E38" s="111" t="s">
        <v>168</v>
      </c>
      <c r="F38" s="111"/>
      <c r="G38" s="111" t="s">
        <v>38</v>
      </c>
      <c r="H38" s="111"/>
      <c r="I38" s="111">
        <f>SUM(K38:AS38)</f>
        <v>958490.6005822561</v>
      </c>
      <c r="J38" s="111"/>
      <c r="K38" s="111">
        <f t="shared" ref="K38:O38" si="46">K36 + K37</f>
        <v>0</v>
      </c>
      <c r="L38" s="111">
        <f t="shared" si="46"/>
        <v>0</v>
      </c>
      <c r="M38" s="111">
        <f t="shared" si="46"/>
        <v>0</v>
      </c>
      <c r="N38" s="111">
        <f t="shared" si="46"/>
        <v>0</v>
      </c>
      <c r="O38" s="111">
        <f t="shared" si="46"/>
        <v>0</v>
      </c>
      <c r="P38" s="111">
        <f t="shared" ref="P38" si="47">P36 + P37</f>
        <v>0</v>
      </c>
      <c r="Q38" s="111">
        <f t="shared" ref="Q38:AS38" si="48">Q36 + Q37</f>
        <v>0</v>
      </c>
      <c r="R38" s="111">
        <f t="shared" si="48"/>
        <v>0</v>
      </c>
      <c r="S38" s="111">
        <f t="shared" si="48"/>
        <v>0</v>
      </c>
      <c r="T38" s="111">
        <f t="shared" si="48"/>
        <v>0</v>
      </c>
      <c r="U38" s="111">
        <f t="shared" si="48"/>
        <v>0</v>
      </c>
      <c r="V38" s="111">
        <f t="shared" si="48"/>
        <v>0</v>
      </c>
      <c r="W38" s="111">
        <f t="shared" si="48"/>
        <v>0</v>
      </c>
      <c r="X38" s="111">
        <f t="shared" si="48"/>
        <v>26173</v>
      </c>
      <c r="Y38" s="111">
        <f t="shared" si="48"/>
        <v>57400</v>
      </c>
      <c r="Z38" s="111">
        <f t="shared" si="48"/>
        <v>59928</v>
      </c>
      <c r="AA38" s="111">
        <f t="shared" si="48"/>
        <v>73834</v>
      </c>
      <c r="AB38" s="111">
        <f t="shared" si="48"/>
        <v>72921</v>
      </c>
      <c r="AC38" s="111">
        <f t="shared" si="48"/>
        <v>51914</v>
      </c>
      <c r="AD38" s="111">
        <f t="shared" si="48"/>
        <v>68480.06673136176</v>
      </c>
      <c r="AE38" s="111">
        <f t="shared" si="48"/>
        <v>68480.06673136176</v>
      </c>
      <c r="AF38" s="111">
        <f t="shared" si="48"/>
        <v>68480.06673136176</v>
      </c>
      <c r="AG38" s="111">
        <f t="shared" si="48"/>
        <v>68480.06673136176</v>
      </c>
      <c r="AH38" s="111">
        <f t="shared" si="48"/>
        <v>68480.06673136176</v>
      </c>
      <c r="AI38" s="111">
        <f t="shared" si="48"/>
        <v>68480.06673136176</v>
      </c>
      <c r="AJ38" s="111">
        <f t="shared" si="48"/>
        <v>68480.06673136176</v>
      </c>
      <c r="AK38" s="111">
        <f t="shared" si="48"/>
        <v>68480.06673136176</v>
      </c>
      <c r="AL38" s="111">
        <f t="shared" si="48"/>
        <v>68480.06673136176</v>
      </c>
      <c r="AM38" s="111">
        <f t="shared" si="48"/>
        <v>0</v>
      </c>
      <c r="AN38" s="111">
        <f t="shared" si="48"/>
        <v>0</v>
      </c>
      <c r="AO38" s="111">
        <f t="shared" si="48"/>
        <v>0</v>
      </c>
      <c r="AP38" s="111">
        <f t="shared" si="48"/>
        <v>0</v>
      </c>
      <c r="AQ38" s="111">
        <f t="shared" si="48"/>
        <v>0</v>
      </c>
      <c r="AR38" s="111">
        <f t="shared" si="48"/>
        <v>0</v>
      </c>
      <c r="AS38" s="111">
        <f t="shared" si="48"/>
        <v>0</v>
      </c>
    </row>
    <row r="39" spans="1:45" ht="15" customHeight="1" x14ac:dyDescent="0.3">
      <c r="A39" s="1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  <c r="AF39" s="40"/>
      <c r="AG39" s="40"/>
      <c r="AH39" s="40"/>
      <c r="AI39" s="40"/>
      <c r="AJ39" s="40"/>
      <c r="AK39" s="40"/>
      <c r="AL39" s="40"/>
      <c r="AM39" s="40"/>
      <c r="AN39" s="40"/>
      <c r="AO39" s="40"/>
      <c r="AP39" s="40"/>
      <c r="AQ39" s="40"/>
      <c r="AR39" s="40"/>
      <c r="AS39" s="40"/>
    </row>
    <row r="40" spans="1:45" ht="15" customHeight="1" x14ac:dyDescent="0.3">
      <c r="A40" s="1"/>
      <c r="C40" s="113" t="s">
        <v>169</v>
      </c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  <c r="AE40" s="40"/>
      <c r="AF40" s="40"/>
      <c r="AG40" s="40"/>
      <c r="AH40" s="40"/>
      <c r="AI40" s="40"/>
      <c r="AJ40" s="40"/>
      <c r="AK40" s="40"/>
      <c r="AL40" s="40"/>
      <c r="AM40" s="40"/>
      <c r="AN40" s="40"/>
      <c r="AO40" s="40"/>
      <c r="AP40" s="40"/>
      <c r="AQ40" s="40"/>
      <c r="AR40" s="40"/>
      <c r="AS40" s="40"/>
    </row>
    <row r="41" spans="1:45" ht="15" customHeight="1" x14ac:dyDescent="0.3">
      <c r="E41" s="40" t="str">
        <f t="shared" ref="E41:O41" si="49" xml:space="preserve"> E$23</f>
        <v>Copper production: historic + forecast</v>
      </c>
      <c r="F41" s="40">
        <f t="shared" si="49"/>
        <v>0</v>
      </c>
      <c r="G41" s="40" t="str">
        <f t="shared" si="49"/>
        <v>tonnes</v>
      </c>
      <c r="H41" s="40">
        <f t="shared" si="49"/>
        <v>0</v>
      </c>
      <c r="I41" s="40">
        <f t="shared" si="49"/>
        <v>1887633</v>
      </c>
      <c r="J41" s="40">
        <f t="shared" si="49"/>
        <v>0</v>
      </c>
      <c r="K41" s="40">
        <f t="shared" si="49"/>
        <v>0</v>
      </c>
      <c r="L41" s="40">
        <f t="shared" si="49"/>
        <v>0</v>
      </c>
      <c r="M41" s="40">
        <f t="shared" si="49"/>
        <v>0</v>
      </c>
      <c r="N41" s="40">
        <f t="shared" si="49"/>
        <v>0</v>
      </c>
      <c r="O41" s="40">
        <f t="shared" si="49"/>
        <v>0</v>
      </c>
      <c r="P41" s="40">
        <f t="shared" ref="P41:AS41" si="50" xml:space="preserve"> P$23</f>
        <v>0</v>
      </c>
      <c r="Q41" s="40">
        <f t="shared" si="50"/>
        <v>0</v>
      </c>
      <c r="R41" s="40">
        <f t="shared" si="50"/>
        <v>0</v>
      </c>
      <c r="S41" s="40">
        <f t="shared" si="50"/>
        <v>0</v>
      </c>
      <c r="T41" s="40">
        <f t="shared" si="50"/>
        <v>0</v>
      </c>
      <c r="U41" s="40">
        <f t="shared" si="50"/>
        <v>0</v>
      </c>
      <c r="V41" s="40">
        <f t="shared" si="50"/>
        <v>21940</v>
      </c>
      <c r="W41" s="40">
        <f t="shared" si="50"/>
        <v>53235</v>
      </c>
      <c r="X41" s="40">
        <f t="shared" si="50"/>
        <v>84286</v>
      </c>
      <c r="Y41" s="40">
        <f t="shared" si="50"/>
        <v>114265</v>
      </c>
      <c r="Z41" s="40">
        <f t="shared" si="50"/>
        <v>121072</v>
      </c>
      <c r="AA41" s="40">
        <f t="shared" si="50"/>
        <v>128233</v>
      </c>
      <c r="AB41" s="40">
        <f t="shared" si="50"/>
        <v>127018</v>
      </c>
      <c r="AC41" s="40">
        <f t="shared" si="50"/>
        <v>94584</v>
      </c>
      <c r="AD41" s="40">
        <f t="shared" si="50"/>
        <v>127000</v>
      </c>
      <c r="AE41" s="40">
        <f t="shared" si="50"/>
        <v>127000</v>
      </c>
      <c r="AF41" s="40">
        <f t="shared" si="50"/>
        <v>127000</v>
      </c>
      <c r="AG41" s="40">
        <f t="shared" si="50"/>
        <v>127000</v>
      </c>
      <c r="AH41" s="40">
        <f t="shared" si="50"/>
        <v>127000</v>
      </c>
      <c r="AI41" s="40">
        <f t="shared" si="50"/>
        <v>127000</v>
      </c>
      <c r="AJ41" s="40">
        <f t="shared" si="50"/>
        <v>127000</v>
      </c>
      <c r="AK41" s="40">
        <f t="shared" si="50"/>
        <v>127000</v>
      </c>
      <c r="AL41" s="40">
        <f t="shared" si="50"/>
        <v>127000</v>
      </c>
      <c r="AM41" s="40">
        <f t="shared" si="50"/>
        <v>0</v>
      </c>
      <c r="AN41" s="40">
        <f t="shared" si="50"/>
        <v>0</v>
      </c>
      <c r="AO41" s="40">
        <f t="shared" si="50"/>
        <v>0</v>
      </c>
      <c r="AP41" s="40">
        <f t="shared" si="50"/>
        <v>0</v>
      </c>
      <c r="AQ41" s="40">
        <f t="shared" si="50"/>
        <v>0</v>
      </c>
      <c r="AR41" s="40">
        <f t="shared" si="50"/>
        <v>0</v>
      </c>
      <c r="AS41" s="40">
        <f t="shared" si="50"/>
        <v>0</v>
      </c>
    </row>
    <row r="42" spans="1:45" ht="15" customHeight="1" x14ac:dyDescent="0.3">
      <c r="A42" s="1"/>
      <c r="E42" s="40" t="str">
        <f t="shared" ref="E42:O42" si="51">E$38</f>
        <v>Copper cathode production: historic + forecast</v>
      </c>
      <c r="F42" s="40">
        <f t="shared" si="51"/>
        <v>0</v>
      </c>
      <c r="G42" s="40" t="str">
        <f t="shared" si="51"/>
        <v>tonnes</v>
      </c>
      <c r="H42" s="40">
        <f t="shared" si="51"/>
        <v>0</v>
      </c>
      <c r="I42" s="40">
        <f t="shared" si="51"/>
        <v>958490.6005822561</v>
      </c>
      <c r="J42" s="40">
        <f t="shared" si="51"/>
        <v>0</v>
      </c>
      <c r="K42" s="40">
        <f t="shared" si="51"/>
        <v>0</v>
      </c>
      <c r="L42" s="40">
        <f t="shared" si="51"/>
        <v>0</v>
      </c>
      <c r="M42" s="40">
        <f t="shared" si="51"/>
        <v>0</v>
      </c>
      <c r="N42" s="40">
        <f t="shared" si="51"/>
        <v>0</v>
      </c>
      <c r="O42" s="40">
        <f t="shared" si="51"/>
        <v>0</v>
      </c>
      <c r="P42" s="40">
        <f t="shared" ref="P42:AS42" si="52">P$38</f>
        <v>0</v>
      </c>
      <c r="Q42" s="40">
        <f t="shared" si="52"/>
        <v>0</v>
      </c>
      <c r="R42" s="40">
        <f t="shared" si="52"/>
        <v>0</v>
      </c>
      <c r="S42" s="40">
        <f t="shared" si="52"/>
        <v>0</v>
      </c>
      <c r="T42" s="40">
        <f t="shared" si="52"/>
        <v>0</v>
      </c>
      <c r="U42" s="40">
        <f t="shared" si="52"/>
        <v>0</v>
      </c>
      <c r="V42" s="40">
        <f t="shared" si="52"/>
        <v>0</v>
      </c>
      <c r="W42" s="40">
        <f t="shared" si="52"/>
        <v>0</v>
      </c>
      <c r="X42" s="40">
        <f t="shared" si="52"/>
        <v>26173</v>
      </c>
      <c r="Y42" s="40">
        <f t="shared" si="52"/>
        <v>57400</v>
      </c>
      <c r="Z42" s="40">
        <f t="shared" si="52"/>
        <v>59928</v>
      </c>
      <c r="AA42" s="40">
        <f t="shared" si="52"/>
        <v>73834</v>
      </c>
      <c r="AB42" s="40">
        <f t="shared" si="52"/>
        <v>72921</v>
      </c>
      <c r="AC42" s="40">
        <f t="shared" si="52"/>
        <v>51914</v>
      </c>
      <c r="AD42" s="40">
        <f t="shared" si="52"/>
        <v>68480.06673136176</v>
      </c>
      <c r="AE42" s="40">
        <f t="shared" si="52"/>
        <v>68480.06673136176</v>
      </c>
      <c r="AF42" s="40">
        <f t="shared" si="52"/>
        <v>68480.06673136176</v>
      </c>
      <c r="AG42" s="40">
        <f t="shared" si="52"/>
        <v>68480.06673136176</v>
      </c>
      <c r="AH42" s="40">
        <f t="shared" si="52"/>
        <v>68480.06673136176</v>
      </c>
      <c r="AI42" s="40">
        <f t="shared" si="52"/>
        <v>68480.06673136176</v>
      </c>
      <c r="AJ42" s="40">
        <f t="shared" si="52"/>
        <v>68480.06673136176</v>
      </c>
      <c r="AK42" s="40">
        <f t="shared" si="52"/>
        <v>68480.06673136176</v>
      </c>
      <c r="AL42" s="40">
        <f t="shared" si="52"/>
        <v>68480.06673136176</v>
      </c>
      <c r="AM42" s="40">
        <f t="shared" si="52"/>
        <v>0</v>
      </c>
      <c r="AN42" s="40">
        <f t="shared" si="52"/>
        <v>0</v>
      </c>
      <c r="AO42" s="40">
        <f t="shared" si="52"/>
        <v>0</v>
      </c>
      <c r="AP42" s="40">
        <f t="shared" si="52"/>
        <v>0</v>
      </c>
      <c r="AQ42" s="40">
        <f t="shared" si="52"/>
        <v>0</v>
      </c>
      <c r="AR42" s="40">
        <f t="shared" si="52"/>
        <v>0</v>
      </c>
      <c r="AS42" s="40">
        <f t="shared" si="52"/>
        <v>0</v>
      </c>
    </row>
    <row r="43" spans="1:45" ht="15" customHeight="1" x14ac:dyDescent="0.3">
      <c r="A43" s="86"/>
      <c r="B43" s="123"/>
      <c r="C43" s="124"/>
      <c r="D43" s="109"/>
      <c r="E43" s="111" t="s">
        <v>170</v>
      </c>
      <c r="F43" s="111"/>
      <c r="G43" s="111" t="s">
        <v>38</v>
      </c>
      <c r="H43" s="111"/>
      <c r="I43" s="111">
        <f>SUM(K43:AS43)</f>
        <v>929142.3994177439</v>
      </c>
      <c r="J43" s="111"/>
      <c r="K43" s="111">
        <f t="shared" ref="K43:O43" si="53">K41 - K42</f>
        <v>0</v>
      </c>
      <c r="L43" s="111">
        <f t="shared" si="53"/>
        <v>0</v>
      </c>
      <c r="M43" s="111">
        <f t="shared" si="53"/>
        <v>0</v>
      </c>
      <c r="N43" s="111">
        <f t="shared" si="53"/>
        <v>0</v>
      </c>
      <c r="O43" s="111">
        <f t="shared" si="53"/>
        <v>0</v>
      </c>
      <c r="P43" s="111">
        <f t="shared" ref="P43" si="54">P41 - P42</f>
        <v>0</v>
      </c>
      <c r="Q43" s="111">
        <f t="shared" ref="Q43:AS43" si="55">Q41 - Q42</f>
        <v>0</v>
      </c>
      <c r="R43" s="111">
        <f t="shared" si="55"/>
        <v>0</v>
      </c>
      <c r="S43" s="111">
        <f t="shared" si="55"/>
        <v>0</v>
      </c>
      <c r="T43" s="111">
        <f t="shared" si="55"/>
        <v>0</v>
      </c>
      <c r="U43" s="111">
        <f t="shared" si="55"/>
        <v>0</v>
      </c>
      <c r="V43" s="111">
        <f t="shared" si="55"/>
        <v>21940</v>
      </c>
      <c r="W43" s="111">
        <f t="shared" si="55"/>
        <v>53235</v>
      </c>
      <c r="X43" s="111">
        <f t="shared" si="55"/>
        <v>58113</v>
      </c>
      <c r="Y43" s="111">
        <f t="shared" si="55"/>
        <v>56865</v>
      </c>
      <c r="Z43" s="111">
        <f t="shared" si="55"/>
        <v>61144</v>
      </c>
      <c r="AA43" s="111">
        <f t="shared" si="55"/>
        <v>54399</v>
      </c>
      <c r="AB43" s="111">
        <f t="shared" si="55"/>
        <v>54097</v>
      </c>
      <c r="AC43" s="111">
        <f t="shared" si="55"/>
        <v>42670</v>
      </c>
      <c r="AD43" s="111">
        <f t="shared" si="55"/>
        <v>58519.93326863824</v>
      </c>
      <c r="AE43" s="111">
        <f t="shared" si="55"/>
        <v>58519.93326863824</v>
      </c>
      <c r="AF43" s="111">
        <f t="shared" si="55"/>
        <v>58519.93326863824</v>
      </c>
      <c r="AG43" s="111">
        <f t="shared" si="55"/>
        <v>58519.93326863824</v>
      </c>
      <c r="AH43" s="111">
        <f t="shared" si="55"/>
        <v>58519.93326863824</v>
      </c>
      <c r="AI43" s="111">
        <f t="shared" si="55"/>
        <v>58519.93326863824</v>
      </c>
      <c r="AJ43" s="111">
        <f t="shared" si="55"/>
        <v>58519.93326863824</v>
      </c>
      <c r="AK43" s="111">
        <f t="shared" si="55"/>
        <v>58519.93326863824</v>
      </c>
      <c r="AL43" s="111">
        <f t="shared" si="55"/>
        <v>58519.93326863824</v>
      </c>
      <c r="AM43" s="111">
        <f t="shared" si="55"/>
        <v>0</v>
      </c>
      <c r="AN43" s="111">
        <f t="shared" si="55"/>
        <v>0</v>
      </c>
      <c r="AO43" s="111">
        <f t="shared" si="55"/>
        <v>0</v>
      </c>
      <c r="AP43" s="111">
        <f t="shared" si="55"/>
        <v>0</v>
      </c>
      <c r="AQ43" s="111">
        <f t="shared" si="55"/>
        <v>0</v>
      </c>
      <c r="AR43" s="111">
        <f t="shared" si="55"/>
        <v>0</v>
      </c>
      <c r="AS43" s="111">
        <f t="shared" si="55"/>
        <v>0</v>
      </c>
    </row>
    <row r="44" spans="1:45" ht="15" customHeight="1" x14ac:dyDescent="0.3">
      <c r="A44" s="81"/>
      <c r="B44" s="129"/>
      <c r="C44" s="130"/>
      <c r="D44" s="106"/>
      <c r="E44" s="110"/>
      <c r="F44" s="110"/>
      <c r="G44" s="110"/>
      <c r="H44" s="110"/>
      <c r="I44" s="110"/>
      <c r="J44" s="110"/>
      <c r="K44" s="110"/>
      <c r="L44" s="110"/>
      <c r="M44" s="110"/>
      <c r="N44" s="110"/>
      <c r="O44" s="110"/>
      <c r="P44" s="110"/>
      <c r="Q44" s="110"/>
      <c r="R44" s="110"/>
      <c r="S44" s="110"/>
      <c r="T44" s="110"/>
      <c r="U44" s="110"/>
      <c r="V44" s="110"/>
      <c r="W44" s="110"/>
      <c r="X44" s="110"/>
      <c r="Y44" s="110"/>
      <c r="Z44" s="110"/>
      <c r="AA44" s="110"/>
      <c r="AB44" s="110"/>
      <c r="AC44" s="110"/>
      <c r="AD44" s="110"/>
      <c r="AE44" s="110"/>
      <c r="AF44" s="110"/>
      <c r="AG44" s="110"/>
      <c r="AH44" s="110"/>
      <c r="AI44" s="110"/>
      <c r="AJ44" s="110"/>
      <c r="AK44" s="110"/>
      <c r="AL44" s="110"/>
      <c r="AM44" s="110"/>
      <c r="AN44" s="110"/>
      <c r="AO44" s="110"/>
      <c r="AP44" s="110"/>
      <c r="AQ44" s="110"/>
      <c r="AR44" s="110"/>
      <c r="AS44" s="110"/>
    </row>
    <row r="45" spans="1:45" ht="15" customHeight="1" x14ac:dyDescent="0.3">
      <c r="A45" s="81"/>
      <c r="B45" s="129"/>
      <c r="C45" s="130" t="s">
        <v>1053</v>
      </c>
      <c r="D45" s="106"/>
      <c r="E45" s="110"/>
      <c r="F45" s="110"/>
      <c r="G45" s="110"/>
      <c r="H45" s="110"/>
      <c r="I45" s="110"/>
      <c r="J45" s="110"/>
      <c r="K45" s="110"/>
      <c r="L45" s="110"/>
      <c r="M45" s="110"/>
      <c r="N45" s="110"/>
      <c r="O45" s="110"/>
      <c r="P45" s="110"/>
      <c r="Q45" s="110"/>
      <c r="R45" s="110"/>
      <c r="S45" s="110"/>
      <c r="T45" s="110"/>
      <c r="U45" s="110"/>
      <c r="V45" s="110"/>
      <c r="W45" s="110"/>
      <c r="X45" s="110"/>
      <c r="Y45" s="110"/>
      <c r="Z45" s="110"/>
      <c r="AA45" s="110"/>
      <c r="AB45" s="110"/>
      <c r="AC45" s="110"/>
      <c r="AD45" s="110"/>
      <c r="AE45" s="110"/>
      <c r="AF45" s="110"/>
      <c r="AG45" s="110"/>
      <c r="AH45" s="110"/>
      <c r="AI45" s="110"/>
      <c r="AJ45" s="110"/>
      <c r="AK45" s="110"/>
      <c r="AL45" s="110"/>
      <c r="AM45" s="110"/>
      <c r="AN45" s="110"/>
      <c r="AO45" s="110"/>
      <c r="AP45" s="110"/>
      <c r="AQ45" s="110"/>
      <c r="AR45" s="110"/>
      <c r="AS45" s="110"/>
    </row>
    <row r="46" spans="1:45" ht="15" customHeight="1" x14ac:dyDescent="0.3">
      <c r="A46" s="1"/>
      <c r="E46" s="104" t="str">
        <f xml:space="preserve"> Inputs_Con!E$13</f>
        <v>Production case: FS or original</v>
      </c>
      <c r="F46" s="104" t="str">
        <f xml:space="preserve"> Inputs_Con!F$13</f>
        <v>FS</v>
      </c>
      <c r="G46" s="104" t="str">
        <f xml:space="preserve"> Inputs_Con!G$13</f>
        <v>selected</v>
      </c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40"/>
      <c r="Z46" s="40"/>
      <c r="AA46" s="40"/>
      <c r="AB46" s="40"/>
      <c r="AC46" s="40"/>
      <c r="AD46" s="40"/>
      <c r="AE46" s="40"/>
      <c r="AF46" s="40"/>
      <c r="AG46" s="40"/>
      <c r="AH46" s="40"/>
      <c r="AI46" s="40"/>
      <c r="AJ46" s="40"/>
      <c r="AK46" s="40"/>
      <c r="AL46" s="40"/>
      <c r="AM46" s="40"/>
      <c r="AN46" s="40"/>
      <c r="AO46" s="40"/>
      <c r="AP46" s="40"/>
      <c r="AQ46" s="40"/>
      <c r="AR46" s="40"/>
      <c r="AS46" s="40"/>
    </row>
    <row r="47" spans="1:45" ht="15" customHeight="1" x14ac:dyDescent="0.3">
      <c r="A47" s="81"/>
      <c r="B47" s="129"/>
      <c r="C47" s="130"/>
      <c r="D47" s="106"/>
      <c r="E47" s="110" t="str">
        <f xml:space="preserve"> E$38</f>
        <v>Copper cathode production: historic + forecast</v>
      </c>
      <c r="F47" s="110">
        <f t="shared" ref="F47:AS47" si="56" xml:space="preserve"> F$38</f>
        <v>0</v>
      </c>
      <c r="G47" s="110" t="str">
        <f t="shared" si="56"/>
        <v>tonnes</v>
      </c>
      <c r="H47" s="110">
        <f t="shared" si="56"/>
        <v>0</v>
      </c>
      <c r="I47" s="110">
        <f t="shared" si="56"/>
        <v>958490.6005822561</v>
      </c>
      <c r="J47" s="110">
        <f t="shared" si="56"/>
        <v>0</v>
      </c>
      <c r="K47" s="110">
        <f t="shared" si="56"/>
        <v>0</v>
      </c>
      <c r="L47" s="110">
        <f t="shared" si="56"/>
        <v>0</v>
      </c>
      <c r="M47" s="110">
        <f t="shared" si="56"/>
        <v>0</v>
      </c>
      <c r="N47" s="110">
        <f t="shared" si="56"/>
        <v>0</v>
      </c>
      <c r="O47" s="110">
        <f t="shared" si="56"/>
        <v>0</v>
      </c>
      <c r="P47" s="110">
        <f t="shared" si="56"/>
        <v>0</v>
      </c>
      <c r="Q47" s="110">
        <f t="shared" si="56"/>
        <v>0</v>
      </c>
      <c r="R47" s="110">
        <f t="shared" si="56"/>
        <v>0</v>
      </c>
      <c r="S47" s="110">
        <f t="shared" si="56"/>
        <v>0</v>
      </c>
      <c r="T47" s="110">
        <f t="shared" si="56"/>
        <v>0</v>
      </c>
      <c r="U47" s="110">
        <f t="shared" si="56"/>
        <v>0</v>
      </c>
      <c r="V47" s="110">
        <f t="shared" si="56"/>
        <v>0</v>
      </c>
      <c r="W47" s="110">
        <f t="shared" si="56"/>
        <v>0</v>
      </c>
      <c r="X47" s="110">
        <f t="shared" si="56"/>
        <v>26173</v>
      </c>
      <c r="Y47" s="110">
        <f t="shared" si="56"/>
        <v>57400</v>
      </c>
      <c r="Z47" s="110">
        <f t="shared" si="56"/>
        <v>59928</v>
      </c>
      <c r="AA47" s="110">
        <f t="shared" si="56"/>
        <v>73834</v>
      </c>
      <c r="AB47" s="110">
        <f t="shared" si="56"/>
        <v>72921</v>
      </c>
      <c r="AC47" s="110">
        <f t="shared" si="56"/>
        <v>51914</v>
      </c>
      <c r="AD47" s="110">
        <f t="shared" si="56"/>
        <v>68480.06673136176</v>
      </c>
      <c r="AE47" s="110">
        <f t="shared" si="56"/>
        <v>68480.06673136176</v>
      </c>
      <c r="AF47" s="110">
        <f t="shared" si="56"/>
        <v>68480.06673136176</v>
      </c>
      <c r="AG47" s="110">
        <f t="shared" si="56"/>
        <v>68480.06673136176</v>
      </c>
      <c r="AH47" s="110">
        <f t="shared" si="56"/>
        <v>68480.06673136176</v>
      </c>
      <c r="AI47" s="110">
        <f t="shared" si="56"/>
        <v>68480.06673136176</v>
      </c>
      <c r="AJ47" s="110">
        <f t="shared" si="56"/>
        <v>68480.06673136176</v>
      </c>
      <c r="AK47" s="110">
        <f t="shared" si="56"/>
        <v>68480.06673136176</v>
      </c>
      <c r="AL47" s="110">
        <f t="shared" si="56"/>
        <v>68480.06673136176</v>
      </c>
      <c r="AM47" s="110">
        <f t="shared" si="56"/>
        <v>0</v>
      </c>
      <c r="AN47" s="110">
        <f t="shared" si="56"/>
        <v>0</v>
      </c>
      <c r="AO47" s="110">
        <f t="shared" si="56"/>
        <v>0</v>
      </c>
      <c r="AP47" s="110">
        <f t="shared" si="56"/>
        <v>0</v>
      </c>
      <c r="AQ47" s="110">
        <f t="shared" si="56"/>
        <v>0</v>
      </c>
      <c r="AR47" s="110">
        <f t="shared" si="56"/>
        <v>0</v>
      </c>
      <c r="AS47" s="110">
        <f t="shared" si="56"/>
        <v>0</v>
      </c>
    </row>
    <row r="48" spans="1:45" ht="15" customHeight="1" x14ac:dyDescent="0.3">
      <c r="A48" s="81"/>
      <c r="B48" s="129"/>
      <c r="C48" s="130"/>
      <c r="D48" s="106"/>
      <c r="E48" s="110" t="str">
        <f xml:space="preserve"> E$43</f>
        <v>Other copper production: historic + forecast</v>
      </c>
      <c r="F48" s="110">
        <f t="shared" ref="F48:AS48" si="57" xml:space="preserve"> F$43</f>
        <v>0</v>
      </c>
      <c r="G48" s="110" t="str">
        <f t="shared" si="57"/>
        <v>tonnes</v>
      </c>
      <c r="H48" s="110">
        <f t="shared" si="57"/>
        <v>0</v>
      </c>
      <c r="I48" s="110">
        <f t="shared" si="57"/>
        <v>929142.3994177439</v>
      </c>
      <c r="J48" s="110">
        <f t="shared" si="57"/>
        <v>0</v>
      </c>
      <c r="K48" s="110">
        <f t="shared" si="57"/>
        <v>0</v>
      </c>
      <c r="L48" s="110">
        <f t="shared" si="57"/>
        <v>0</v>
      </c>
      <c r="M48" s="110">
        <f t="shared" si="57"/>
        <v>0</v>
      </c>
      <c r="N48" s="110">
        <f t="shared" si="57"/>
        <v>0</v>
      </c>
      <c r="O48" s="110">
        <f t="shared" si="57"/>
        <v>0</v>
      </c>
      <c r="P48" s="110">
        <f t="shared" si="57"/>
        <v>0</v>
      </c>
      <c r="Q48" s="110">
        <f t="shared" si="57"/>
        <v>0</v>
      </c>
      <c r="R48" s="110">
        <f t="shared" si="57"/>
        <v>0</v>
      </c>
      <c r="S48" s="110">
        <f t="shared" si="57"/>
        <v>0</v>
      </c>
      <c r="T48" s="110">
        <f t="shared" si="57"/>
        <v>0</v>
      </c>
      <c r="U48" s="110">
        <f t="shared" si="57"/>
        <v>0</v>
      </c>
      <c r="V48" s="110">
        <f t="shared" si="57"/>
        <v>21940</v>
      </c>
      <c r="W48" s="110">
        <f t="shared" si="57"/>
        <v>53235</v>
      </c>
      <c r="X48" s="110">
        <f t="shared" si="57"/>
        <v>58113</v>
      </c>
      <c r="Y48" s="110">
        <f t="shared" si="57"/>
        <v>56865</v>
      </c>
      <c r="Z48" s="110">
        <f t="shared" si="57"/>
        <v>61144</v>
      </c>
      <c r="AA48" s="110">
        <f t="shared" si="57"/>
        <v>54399</v>
      </c>
      <c r="AB48" s="110">
        <f t="shared" si="57"/>
        <v>54097</v>
      </c>
      <c r="AC48" s="110">
        <f t="shared" si="57"/>
        <v>42670</v>
      </c>
      <c r="AD48" s="110">
        <f t="shared" si="57"/>
        <v>58519.93326863824</v>
      </c>
      <c r="AE48" s="110">
        <f t="shared" si="57"/>
        <v>58519.93326863824</v>
      </c>
      <c r="AF48" s="110">
        <f t="shared" si="57"/>
        <v>58519.93326863824</v>
      </c>
      <c r="AG48" s="110">
        <f t="shared" si="57"/>
        <v>58519.93326863824</v>
      </c>
      <c r="AH48" s="110">
        <f t="shared" si="57"/>
        <v>58519.93326863824</v>
      </c>
      <c r="AI48" s="110">
        <f t="shared" si="57"/>
        <v>58519.93326863824</v>
      </c>
      <c r="AJ48" s="110">
        <f t="shared" si="57"/>
        <v>58519.93326863824</v>
      </c>
      <c r="AK48" s="110">
        <f t="shared" si="57"/>
        <v>58519.93326863824</v>
      </c>
      <c r="AL48" s="110">
        <f t="shared" si="57"/>
        <v>58519.93326863824</v>
      </c>
      <c r="AM48" s="110">
        <f t="shared" si="57"/>
        <v>0</v>
      </c>
      <c r="AN48" s="110">
        <f t="shared" si="57"/>
        <v>0</v>
      </c>
      <c r="AO48" s="110">
        <f t="shared" si="57"/>
        <v>0</v>
      </c>
      <c r="AP48" s="110">
        <f t="shared" si="57"/>
        <v>0</v>
      </c>
      <c r="AQ48" s="110">
        <f t="shared" si="57"/>
        <v>0</v>
      </c>
      <c r="AR48" s="110">
        <f t="shared" si="57"/>
        <v>0</v>
      </c>
      <c r="AS48" s="110">
        <f t="shared" si="57"/>
        <v>0</v>
      </c>
    </row>
    <row r="49" spans="1:45" ht="15" customHeight="1" x14ac:dyDescent="0.3">
      <c r="A49" s="81"/>
      <c r="B49" s="129"/>
      <c r="C49" s="130"/>
      <c r="D49" s="106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10"/>
      <c r="AB49" s="110"/>
      <c r="AC49" s="110"/>
      <c r="AD49" s="110"/>
      <c r="AE49" s="110"/>
      <c r="AF49" s="110"/>
      <c r="AG49" s="110"/>
      <c r="AH49" s="110"/>
      <c r="AI49" s="110"/>
      <c r="AJ49" s="110"/>
      <c r="AK49" s="110"/>
      <c r="AL49" s="110"/>
      <c r="AM49" s="110"/>
      <c r="AN49" s="110"/>
      <c r="AO49" s="110"/>
      <c r="AP49" s="110"/>
      <c r="AQ49" s="110"/>
      <c r="AR49" s="110"/>
      <c r="AS49" s="110"/>
    </row>
    <row r="50" spans="1:45" ht="15" customHeight="1" x14ac:dyDescent="0.3">
      <c r="A50" s="1"/>
      <c r="E50" s="855" t="str">
        <f xml:space="preserve"> Inputs_TS!E$17</f>
        <v>Copper production sensitivity (forecast period)</v>
      </c>
      <c r="F50" s="855">
        <f xml:space="preserve"> Inputs_TS!F$17</f>
        <v>0</v>
      </c>
      <c r="G50" s="855" t="str">
        <f xml:space="preserve"> Inputs_TS!G$17</f>
        <v>%</v>
      </c>
      <c r="H50" s="855">
        <f xml:space="preserve"> Inputs_TS!H$17</f>
        <v>0</v>
      </c>
      <c r="I50" s="855">
        <f xml:space="preserve"> Inputs_TS!I$17</f>
        <v>0</v>
      </c>
      <c r="J50" s="855">
        <f xml:space="preserve"> Inputs_TS!J$17</f>
        <v>0</v>
      </c>
      <c r="K50" s="95">
        <f xml:space="preserve"> Inputs_TS!K$17</f>
        <v>1</v>
      </c>
      <c r="L50" s="95">
        <f xml:space="preserve"> Inputs_TS!L$17</f>
        <v>1</v>
      </c>
      <c r="M50" s="95">
        <f xml:space="preserve"> Inputs_TS!M$17</f>
        <v>1</v>
      </c>
      <c r="N50" s="95">
        <f xml:space="preserve"> Inputs_TS!N$17</f>
        <v>1</v>
      </c>
      <c r="O50" s="95">
        <f xml:space="preserve"> Inputs_TS!O$17</f>
        <v>1</v>
      </c>
      <c r="P50" s="95">
        <f xml:space="preserve"> Inputs_TS!P$17</f>
        <v>1</v>
      </c>
      <c r="Q50" s="95">
        <f xml:space="preserve"> Inputs_TS!Q$17</f>
        <v>1</v>
      </c>
      <c r="R50" s="95">
        <f xml:space="preserve"> Inputs_TS!R$17</f>
        <v>1</v>
      </c>
      <c r="S50" s="95">
        <f xml:space="preserve"> Inputs_TS!S$17</f>
        <v>1</v>
      </c>
      <c r="T50" s="95">
        <f xml:space="preserve"> Inputs_TS!T$17</f>
        <v>1</v>
      </c>
      <c r="U50" s="95">
        <f xml:space="preserve"> Inputs_TS!U$17</f>
        <v>1</v>
      </c>
      <c r="V50" s="95">
        <f xml:space="preserve"> Inputs_TS!V$17</f>
        <v>1</v>
      </c>
      <c r="W50" s="95">
        <f xml:space="preserve"> Inputs_TS!W$17</f>
        <v>1</v>
      </c>
      <c r="X50" s="95">
        <f xml:space="preserve"> Inputs_TS!X$17</f>
        <v>1</v>
      </c>
      <c r="Y50" s="95">
        <f xml:space="preserve"> Inputs_TS!Y$17</f>
        <v>1</v>
      </c>
      <c r="Z50" s="95">
        <f xml:space="preserve"> Inputs_TS!Z$17</f>
        <v>1</v>
      </c>
      <c r="AA50" s="95">
        <f xml:space="preserve"> Inputs_TS!AA$17</f>
        <v>1</v>
      </c>
      <c r="AB50" s="95">
        <f xml:space="preserve"> Inputs_TS!AB$17</f>
        <v>1</v>
      </c>
      <c r="AC50" s="95">
        <f xml:space="preserve"> Inputs_TS!AC$17</f>
        <v>1</v>
      </c>
      <c r="AD50" s="95">
        <f xml:space="preserve"> Inputs_TS!AD$17</f>
        <v>1</v>
      </c>
      <c r="AE50" s="95">
        <f xml:space="preserve"> Inputs_TS!AE$17</f>
        <v>1</v>
      </c>
      <c r="AF50" s="95">
        <f xml:space="preserve"> Inputs_TS!AF$17</f>
        <v>1</v>
      </c>
      <c r="AG50" s="95">
        <f xml:space="preserve"> Inputs_TS!AG$17</f>
        <v>1</v>
      </c>
      <c r="AH50" s="95">
        <f xml:space="preserve"> Inputs_TS!AH$17</f>
        <v>1</v>
      </c>
      <c r="AI50" s="95">
        <f xml:space="preserve"> Inputs_TS!AI$17</f>
        <v>1</v>
      </c>
      <c r="AJ50" s="95">
        <f xml:space="preserve"> Inputs_TS!AJ$17</f>
        <v>1</v>
      </c>
      <c r="AK50" s="95">
        <f xml:space="preserve"> Inputs_TS!AK$17</f>
        <v>1</v>
      </c>
      <c r="AL50" s="95">
        <f xml:space="preserve"> Inputs_TS!AL$17</f>
        <v>1</v>
      </c>
      <c r="AM50" s="95">
        <f xml:space="preserve"> Inputs_TS!AM$17</f>
        <v>1</v>
      </c>
      <c r="AN50" s="95">
        <f xml:space="preserve"> Inputs_TS!AN$17</f>
        <v>1</v>
      </c>
      <c r="AO50" s="95">
        <f xml:space="preserve"> Inputs_TS!AO$17</f>
        <v>1</v>
      </c>
      <c r="AP50" s="95">
        <f xml:space="preserve"> Inputs_TS!AP$17</f>
        <v>1</v>
      </c>
      <c r="AQ50" s="95">
        <f xml:space="preserve"> Inputs_TS!AQ$17</f>
        <v>1</v>
      </c>
      <c r="AR50" s="95">
        <f xml:space="preserve"> Inputs_TS!AR$17</f>
        <v>1</v>
      </c>
      <c r="AS50" s="95">
        <f xml:space="preserve"> Inputs_TS!AS$17</f>
        <v>1</v>
      </c>
    </row>
    <row r="51" spans="1:45" ht="15" customHeight="1" x14ac:dyDescent="0.3">
      <c r="A51" s="81"/>
      <c r="B51" s="129"/>
      <c r="C51" s="130"/>
      <c r="D51" s="106"/>
      <c r="E51" s="110"/>
      <c r="F51" s="110"/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10"/>
      <c r="R51" s="110"/>
      <c r="S51" s="110"/>
      <c r="T51" s="110"/>
      <c r="U51" s="110"/>
      <c r="V51" s="110"/>
      <c r="W51" s="110"/>
      <c r="X51" s="110"/>
      <c r="Y51" s="110"/>
      <c r="Z51" s="110"/>
      <c r="AA51" s="110"/>
      <c r="AB51" s="110"/>
      <c r="AC51" s="110"/>
      <c r="AD51" s="110"/>
      <c r="AE51" s="110"/>
      <c r="AF51" s="110"/>
      <c r="AG51" s="110"/>
      <c r="AH51" s="110"/>
      <c r="AI51" s="110"/>
      <c r="AJ51" s="110"/>
      <c r="AK51" s="110"/>
      <c r="AL51" s="110"/>
      <c r="AM51" s="110"/>
      <c r="AN51" s="110"/>
      <c r="AO51" s="110"/>
      <c r="AP51" s="110"/>
      <c r="AQ51" s="110"/>
      <c r="AR51" s="110"/>
      <c r="AS51" s="110"/>
    </row>
    <row r="52" spans="1:45" ht="15" customHeight="1" x14ac:dyDescent="0.3">
      <c r="A52" s="81"/>
      <c r="B52" s="129"/>
      <c r="C52" s="130"/>
      <c r="D52" s="106"/>
      <c r="E52" s="110" t="s">
        <v>1054</v>
      </c>
      <c r="F52" s="110"/>
      <c r="G52" s="110" t="s">
        <v>579</v>
      </c>
      <c r="H52" s="110"/>
      <c r="I52" s="110">
        <f>SUM(K52:AS52)</f>
        <v>0</v>
      </c>
      <c r="J52" s="110"/>
      <c r="K52" s="110">
        <f>IF($F$46 = "Original", K47, 0) * 10^-3 * K$50</f>
        <v>0</v>
      </c>
      <c r="L52" s="110">
        <f t="shared" ref="L52:AS53" si="58">IF($F$46 = "Original", L47, 0) * 10^-3 * L$50</f>
        <v>0</v>
      </c>
      <c r="M52" s="110">
        <f t="shared" si="58"/>
        <v>0</v>
      </c>
      <c r="N52" s="110">
        <f t="shared" si="58"/>
        <v>0</v>
      </c>
      <c r="O52" s="110">
        <f t="shared" si="58"/>
        <v>0</v>
      </c>
      <c r="P52" s="110">
        <f t="shared" si="58"/>
        <v>0</v>
      </c>
      <c r="Q52" s="110">
        <f t="shared" si="58"/>
        <v>0</v>
      </c>
      <c r="R52" s="110">
        <f t="shared" si="58"/>
        <v>0</v>
      </c>
      <c r="S52" s="110">
        <f t="shared" si="58"/>
        <v>0</v>
      </c>
      <c r="T52" s="110">
        <f t="shared" si="58"/>
        <v>0</v>
      </c>
      <c r="U52" s="110">
        <f t="shared" si="58"/>
        <v>0</v>
      </c>
      <c r="V52" s="110">
        <f t="shared" si="58"/>
        <v>0</v>
      </c>
      <c r="W52" s="110">
        <f t="shared" si="58"/>
        <v>0</v>
      </c>
      <c r="X52" s="110">
        <f t="shared" si="58"/>
        <v>0</v>
      </c>
      <c r="Y52" s="110">
        <f t="shared" si="58"/>
        <v>0</v>
      </c>
      <c r="Z52" s="110">
        <f t="shared" si="58"/>
        <v>0</v>
      </c>
      <c r="AA52" s="110">
        <f t="shared" si="58"/>
        <v>0</v>
      </c>
      <c r="AB52" s="110">
        <f t="shared" si="58"/>
        <v>0</v>
      </c>
      <c r="AC52" s="110">
        <f t="shared" si="58"/>
        <v>0</v>
      </c>
      <c r="AD52" s="110">
        <f t="shared" si="58"/>
        <v>0</v>
      </c>
      <c r="AE52" s="110">
        <f t="shared" si="58"/>
        <v>0</v>
      </c>
      <c r="AF52" s="110">
        <f t="shared" si="58"/>
        <v>0</v>
      </c>
      <c r="AG52" s="110">
        <f t="shared" si="58"/>
        <v>0</v>
      </c>
      <c r="AH52" s="110">
        <f t="shared" si="58"/>
        <v>0</v>
      </c>
      <c r="AI52" s="110">
        <f t="shared" si="58"/>
        <v>0</v>
      </c>
      <c r="AJ52" s="110">
        <f t="shared" si="58"/>
        <v>0</v>
      </c>
      <c r="AK52" s="110">
        <f t="shared" si="58"/>
        <v>0</v>
      </c>
      <c r="AL52" s="110">
        <f t="shared" si="58"/>
        <v>0</v>
      </c>
      <c r="AM52" s="110">
        <f t="shared" si="58"/>
        <v>0</v>
      </c>
      <c r="AN52" s="110">
        <f t="shared" si="58"/>
        <v>0</v>
      </c>
      <c r="AO52" s="110">
        <f t="shared" si="58"/>
        <v>0</v>
      </c>
      <c r="AP52" s="110">
        <f t="shared" si="58"/>
        <v>0</v>
      </c>
      <c r="AQ52" s="110">
        <f t="shared" si="58"/>
        <v>0</v>
      </c>
      <c r="AR52" s="110">
        <f t="shared" si="58"/>
        <v>0</v>
      </c>
      <c r="AS52" s="110">
        <f t="shared" si="58"/>
        <v>0</v>
      </c>
    </row>
    <row r="53" spans="1:45" ht="15" customHeight="1" x14ac:dyDescent="0.3">
      <c r="A53" s="81"/>
      <c r="B53" s="129"/>
      <c r="C53" s="130"/>
      <c r="D53" s="106"/>
      <c r="E53" s="110" t="s">
        <v>1055</v>
      </c>
      <c r="F53" s="110"/>
      <c r="G53" s="110" t="s">
        <v>579</v>
      </c>
      <c r="H53" s="110"/>
      <c r="I53" s="110">
        <f>SUM(K53:AS53)</f>
        <v>0</v>
      </c>
      <c r="J53" s="110"/>
      <c r="K53" s="110">
        <f>IF($F$46 = "Original", K48, 0) * 10^-3 * K$50</f>
        <v>0</v>
      </c>
      <c r="L53" s="110">
        <f t="shared" si="58"/>
        <v>0</v>
      </c>
      <c r="M53" s="110">
        <f t="shared" si="58"/>
        <v>0</v>
      </c>
      <c r="N53" s="110">
        <f t="shared" si="58"/>
        <v>0</v>
      </c>
      <c r="O53" s="110">
        <f t="shared" si="58"/>
        <v>0</v>
      </c>
      <c r="P53" s="110">
        <f t="shared" si="58"/>
        <v>0</v>
      </c>
      <c r="Q53" s="110">
        <f t="shared" si="58"/>
        <v>0</v>
      </c>
      <c r="R53" s="110">
        <f t="shared" si="58"/>
        <v>0</v>
      </c>
      <c r="S53" s="110">
        <f t="shared" si="58"/>
        <v>0</v>
      </c>
      <c r="T53" s="110">
        <f t="shared" si="58"/>
        <v>0</v>
      </c>
      <c r="U53" s="110">
        <f t="shared" si="58"/>
        <v>0</v>
      </c>
      <c r="V53" s="110">
        <f t="shared" si="58"/>
        <v>0</v>
      </c>
      <c r="W53" s="110">
        <f t="shared" si="58"/>
        <v>0</v>
      </c>
      <c r="X53" s="110">
        <f t="shared" si="58"/>
        <v>0</v>
      </c>
      <c r="Y53" s="110">
        <f t="shared" si="58"/>
        <v>0</v>
      </c>
      <c r="Z53" s="110">
        <f t="shared" si="58"/>
        <v>0</v>
      </c>
      <c r="AA53" s="110">
        <f t="shared" si="58"/>
        <v>0</v>
      </c>
      <c r="AB53" s="110">
        <f t="shared" si="58"/>
        <v>0</v>
      </c>
      <c r="AC53" s="110">
        <f t="shared" si="58"/>
        <v>0</v>
      </c>
      <c r="AD53" s="110">
        <f t="shared" si="58"/>
        <v>0</v>
      </c>
      <c r="AE53" s="110">
        <f t="shared" si="58"/>
        <v>0</v>
      </c>
      <c r="AF53" s="110">
        <f t="shared" si="58"/>
        <v>0</v>
      </c>
      <c r="AG53" s="110">
        <f t="shared" si="58"/>
        <v>0</v>
      </c>
      <c r="AH53" s="110">
        <f t="shared" si="58"/>
        <v>0</v>
      </c>
      <c r="AI53" s="110">
        <f t="shared" si="58"/>
        <v>0</v>
      </c>
      <c r="AJ53" s="110">
        <f t="shared" si="58"/>
        <v>0</v>
      </c>
      <c r="AK53" s="110">
        <f t="shared" si="58"/>
        <v>0</v>
      </c>
      <c r="AL53" s="110">
        <f t="shared" si="58"/>
        <v>0</v>
      </c>
      <c r="AM53" s="110">
        <f t="shared" si="58"/>
        <v>0</v>
      </c>
      <c r="AN53" s="110">
        <f t="shared" si="58"/>
        <v>0</v>
      </c>
      <c r="AO53" s="110">
        <f t="shared" si="58"/>
        <v>0</v>
      </c>
      <c r="AP53" s="110">
        <f t="shared" si="58"/>
        <v>0</v>
      </c>
      <c r="AQ53" s="110">
        <f t="shared" si="58"/>
        <v>0</v>
      </c>
      <c r="AR53" s="110">
        <f t="shared" si="58"/>
        <v>0</v>
      </c>
      <c r="AS53" s="110">
        <f t="shared" si="58"/>
        <v>0</v>
      </c>
    </row>
    <row r="54" spans="1:45" ht="15" customHeight="1" x14ac:dyDescent="0.3">
      <c r="A54" s="81"/>
      <c r="B54" s="129"/>
      <c r="C54" s="130"/>
      <c r="D54" s="106"/>
      <c r="E54" s="110"/>
      <c r="F54" s="110"/>
      <c r="G54" s="110"/>
      <c r="H54" s="110"/>
      <c r="I54" s="110"/>
      <c r="J54" s="110"/>
      <c r="K54" s="110"/>
      <c r="L54" s="110"/>
      <c r="M54" s="110"/>
      <c r="N54" s="110"/>
      <c r="O54" s="110"/>
      <c r="P54" s="110"/>
      <c r="Q54" s="110"/>
      <c r="R54" s="110"/>
      <c r="S54" s="110"/>
      <c r="T54" s="110"/>
      <c r="U54" s="110"/>
      <c r="V54" s="110"/>
      <c r="W54" s="110"/>
      <c r="X54" s="110"/>
      <c r="Y54" s="110"/>
      <c r="Z54" s="110"/>
      <c r="AA54" s="110"/>
      <c r="AB54" s="110"/>
      <c r="AC54" s="110"/>
      <c r="AD54" s="110"/>
      <c r="AE54" s="110"/>
      <c r="AF54" s="110"/>
      <c r="AG54" s="110"/>
      <c r="AH54" s="110"/>
      <c r="AI54" s="110"/>
      <c r="AJ54" s="110"/>
      <c r="AK54" s="110"/>
      <c r="AL54" s="110"/>
      <c r="AM54" s="110"/>
      <c r="AN54" s="110"/>
      <c r="AO54" s="110"/>
      <c r="AP54" s="110"/>
      <c r="AQ54" s="110"/>
      <c r="AR54" s="110"/>
      <c r="AS54" s="110"/>
    </row>
    <row r="55" spans="1:45" ht="15" customHeight="1" x14ac:dyDescent="0.3">
      <c r="A55" s="1"/>
      <c r="C55" s="113" t="s">
        <v>538</v>
      </c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40"/>
      <c r="P55" s="40"/>
      <c r="Q55" s="40"/>
      <c r="R55" s="40"/>
      <c r="S55" s="40"/>
      <c r="T55" s="40"/>
      <c r="U55" s="40"/>
      <c r="V55" s="40"/>
      <c r="W55" s="40"/>
      <c r="X55" s="40"/>
      <c r="Y55" s="40"/>
      <c r="Z55" s="40"/>
      <c r="AA55" s="40"/>
      <c r="AB55" s="40"/>
      <c r="AC55" s="40"/>
      <c r="AD55" s="40"/>
      <c r="AE55" s="40"/>
      <c r="AF55" s="40"/>
      <c r="AG55" s="40"/>
      <c r="AH55" s="40"/>
      <c r="AI55" s="40"/>
      <c r="AJ55" s="40"/>
      <c r="AK55" s="40"/>
      <c r="AL55" s="40"/>
      <c r="AM55" s="40"/>
      <c r="AN55" s="40"/>
      <c r="AO55" s="40"/>
      <c r="AP55" s="40"/>
      <c r="AQ55" s="40"/>
      <c r="AR55" s="40"/>
      <c r="AS55" s="40"/>
    </row>
    <row r="56" spans="1:45" ht="15" customHeight="1" x14ac:dyDescent="0.3">
      <c r="A56" s="1"/>
      <c r="E56" s="362" t="str">
        <f xml:space="preserve"> COMMUS_23FS_Model!E$50</f>
        <v>Copper cathode</v>
      </c>
      <c r="F56" s="362">
        <f xml:space="preserve"> COMMUS_23FS_Model!F$50</f>
        <v>0</v>
      </c>
      <c r="G56" s="362" t="str">
        <f xml:space="preserve"> COMMUS_23FS_Model!G$50</f>
        <v>tonnes</v>
      </c>
      <c r="H56" s="362">
        <f xml:space="preserve"> COMMUS_23FS_Model!H$50</f>
        <v>0</v>
      </c>
      <c r="I56" s="362">
        <f xml:space="preserve"> COMMUS_23FS_Model!I$50</f>
        <v>939749</v>
      </c>
      <c r="J56" s="362">
        <f xml:space="preserve"> COMMUS_23FS_Model!J$50</f>
        <v>0</v>
      </c>
      <c r="K56" s="362">
        <f xml:space="preserve"> COMMUS_23FS_Model!K$50</f>
        <v>0</v>
      </c>
      <c r="L56" s="362">
        <f xml:space="preserve"> COMMUS_23FS_Model!L$50</f>
        <v>0</v>
      </c>
      <c r="M56" s="362">
        <f xml:space="preserve"> COMMUS_23FS_Model!M$50</f>
        <v>0</v>
      </c>
      <c r="N56" s="362">
        <f xml:space="preserve"> COMMUS_23FS_Model!N$50</f>
        <v>0</v>
      </c>
      <c r="O56" s="362">
        <f xml:space="preserve"> COMMUS_23FS_Model!O$50</f>
        <v>0</v>
      </c>
      <c r="P56" s="362">
        <f xml:space="preserve"> COMMUS_23FS_Model!P$50</f>
        <v>0</v>
      </c>
      <c r="Q56" s="362">
        <f xml:space="preserve"> COMMUS_23FS_Model!Q$50</f>
        <v>0</v>
      </c>
      <c r="R56" s="362">
        <f xml:space="preserve"> COMMUS_23FS_Model!R$50</f>
        <v>0</v>
      </c>
      <c r="S56" s="362">
        <f xml:space="preserve"> COMMUS_23FS_Model!S$50</f>
        <v>0</v>
      </c>
      <c r="T56" s="362">
        <f xml:space="preserve"> COMMUS_23FS_Model!T$50</f>
        <v>0</v>
      </c>
      <c r="U56" s="362">
        <f xml:space="preserve"> COMMUS_23FS_Model!U$50</f>
        <v>0</v>
      </c>
      <c r="V56" s="362">
        <f xml:space="preserve"> COMMUS_23FS_Model!V$50</f>
        <v>0</v>
      </c>
      <c r="W56" s="362">
        <f xml:space="preserve"> COMMUS_23FS_Model!W$50</f>
        <v>0</v>
      </c>
      <c r="X56" s="362">
        <f xml:space="preserve"> COMMUS_23FS_Model!X$50</f>
        <v>26145</v>
      </c>
      <c r="Y56" s="362">
        <f xml:space="preserve"> COMMUS_23FS_Model!Y$50</f>
        <v>57390</v>
      </c>
      <c r="Z56" s="362">
        <f xml:space="preserve"> COMMUS_23FS_Model!Z$50</f>
        <v>59899</v>
      </c>
      <c r="AA56" s="362">
        <f xml:space="preserve"> COMMUS_23FS_Model!AA$50</f>
        <v>73852</v>
      </c>
      <c r="AB56" s="362">
        <f xml:space="preserve"> COMMUS_23FS_Model!AB$50</f>
        <v>60290</v>
      </c>
      <c r="AC56" s="362">
        <f xml:space="preserve"> COMMUS_23FS_Model!AC$50</f>
        <v>82654</v>
      </c>
      <c r="AD56" s="362">
        <f xml:space="preserve"> COMMUS_23FS_Model!AD$50</f>
        <v>82654</v>
      </c>
      <c r="AE56" s="362">
        <f xml:space="preserve"> COMMUS_23FS_Model!AE$50</f>
        <v>82654</v>
      </c>
      <c r="AF56" s="362">
        <f xml:space="preserve"> COMMUS_23FS_Model!AF$50</f>
        <v>82654</v>
      </c>
      <c r="AG56" s="362">
        <f xml:space="preserve"> COMMUS_23FS_Model!AG$50</f>
        <v>82654</v>
      </c>
      <c r="AH56" s="362">
        <f xml:space="preserve"> COMMUS_23FS_Model!AH$50</f>
        <v>82654</v>
      </c>
      <c r="AI56" s="362">
        <f xml:space="preserve"> COMMUS_23FS_Model!AI$50</f>
        <v>68878</v>
      </c>
      <c r="AJ56" s="362">
        <f xml:space="preserve"> COMMUS_23FS_Model!AJ$50</f>
        <v>68878</v>
      </c>
      <c r="AK56" s="362">
        <f xml:space="preserve"> COMMUS_23FS_Model!AK$50</f>
        <v>28493</v>
      </c>
      <c r="AL56" s="362">
        <f xml:space="preserve"> COMMUS_23FS_Model!AL$50</f>
        <v>0</v>
      </c>
      <c r="AM56" s="362">
        <f xml:space="preserve"> COMMUS_23FS_Model!AM$50</f>
        <v>0</v>
      </c>
      <c r="AN56" s="362">
        <f xml:space="preserve"> COMMUS_23FS_Model!AN$50</f>
        <v>0</v>
      </c>
      <c r="AO56" s="362">
        <f xml:space="preserve"> COMMUS_23FS_Model!AO$50</f>
        <v>0</v>
      </c>
      <c r="AP56" s="362">
        <f xml:space="preserve"> COMMUS_23FS_Model!AP$50</f>
        <v>0</v>
      </c>
      <c r="AQ56" s="362">
        <f xml:space="preserve"> COMMUS_23FS_Model!AQ$50</f>
        <v>0</v>
      </c>
      <c r="AR56" s="362">
        <f xml:space="preserve"> COMMUS_23FS_Model!AR$50</f>
        <v>0</v>
      </c>
      <c r="AS56" s="362">
        <f xml:space="preserve"> COMMUS_23FS_Model!AS$50</f>
        <v>0</v>
      </c>
    </row>
    <row r="57" spans="1:45" ht="15" customHeight="1" x14ac:dyDescent="0.3">
      <c r="A57" s="1"/>
      <c r="E57" s="362" t="str">
        <f xml:space="preserve"> COMMUS_23FS_Model!E$51</f>
        <v>Blister copper</v>
      </c>
      <c r="F57" s="362">
        <f xml:space="preserve"> COMMUS_23FS_Model!F$51</f>
        <v>0</v>
      </c>
      <c r="G57" s="362" t="str">
        <f xml:space="preserve"> COMMUS_23FS_Model!G$51</f>
        <v>tonnes</v>
      </c>
      <c r="H57" s="362">
        <f xml:space="preserve"> COMMUS_23FS_Model!H$51</f>
        <v>0</v>
      </c>
      <c r="I57" s="362">
        <f xml:space="preserve"> COMMUS_23FS_Model!I$51</f>
        <v>364525</v>
      </c>
      <c r="J57" s="362">
        <f xml:space="preserve"> COMMUS_23FS_Model!J$51</f>
        <v>0</v>
      </c>
      <c r="K57" s="362">
        <f xml:space="preserve"> COMMUS_23FS_Model!K$51</f>
        <v>0</v>
      </c>
      <c r="L57" s="362">
        <f xml:space="preserve"> COMMUS_23FS_Model!L$51</f>
        <v>0</v>
      </c>
      <c r="M57" s="362">
        <f xml:space="preserve"> COMMUS_23FS_Model!M$51</f>
        <v>0</v>
      </c>
      <c r="N57" s="362">
        <f xml:space="preserve"> COMMUS_23FS_Model!N$51</f>
        <v>0</v>
      </c>
      <c r="O57" s="362">
        <f xml:space="preserve"> COMMUS_23FS_Model!O$51</f>
        <v>0</v>
      </c>
      <c r="P57" s="362">
        <f xml:space="preserve"> COMMUS_23FS_Model!P$51</f>
        <v>0</v>
      </c>
      <c r="Q57" s="362">
        <f xml:space="preserve"> COMMUS_23FS_Model!Q$51</f>
        <v>0</v>
      </c>
      <c r="R57" s="362">
        <f xml:space="preserve"> COMMUS_23FS_Model!R$51</f>
        <v>0</v>
      </c>
      <c r="S57" s="362">
        <f xml:space="preserve"> COMMUS_23FS_Model!S$51</f>
        <v>0</v>
      </c>
      <c r="T57" s="362">
        <f xml:space="preserve"> COMMUS_23FS_Model!T$51</f>
        <v>0</v>
      </c>
      <c r="U57" s="362">
        <f xml:space="preserve"> COMMUS_23FS_Model!U$51</f>
        <v>0</v>
      </c>
      <c r="V57" s="362">
        <f xml:space="preserve"> COMMUS_23FS_Model!V$51</f>
        <v>11808</v>
      </c>
      <c r="W57" s="362">
        <f xml:space="preserve"> COMMUS_23FS_Model!W$51</f>
        <v>29048</v>
      </c>
      <c r="X57" s="362">
        <f xml:space="preserve"> COMMUS_23FS_Model!X$51</f>
        <v>34233</v>
      </c>
      <c r="Y57" s="362">
        <f xml:space="preserve"> COMMUS_23FS_Model!Y$51</f>
        <v>32411</v>
      </c>
      <c r="Z57" s="362">
        <f xml:space="preserve"> COMMUS_23FS_Model!Z$51</f>
        <v>24924</v>
      </c>
      <c r="AA57" s="362">
        <f xml:space="preserve"> COMMUS_23FS_Model!AA$51</f>
        <v>22433</v>
      </c>
      <c r="AB57" s="362">
        <f xml:space="preserve"> COMMUS_23FS_Model!AB$51</f>
        <v>21362</v>
      </c>
      <c r="AC57" s="362">
        <f xml:space="preserve"> COMMUS_23FS_Model!AC$51</f>
        <v>23504.833333333332</v>
      </c>
      <c r="AD57" s="362">
        <f xml:space="preserve"> COMMUS_23FS_Model!AD$51</f>
        <v>23504.833333333332</v>
      </c>
      <c r="AE57" s="362">
        <f xml:space="preserve"> COMMUS_23FS_Model!AE$51</f>
        <v>23504.833333333332</v>
      </c>
      <c r="AF57" s="362">
        <f xml:space="preserve"> COMMUS_23FS_Model!AF$51</f>
        <v>23504.833333333332</v>
      </c>
      <c r="AG57" s="362">
        <f xml:space="preserve"> COMMUS_23FS_Model!AG$51</f>
        <v>23504.833333333332</v>
      </c>
      <c r="AH57" s="362">
        <f xml:space="preserve"> COMMUS_23FS_Model!AH$51</f>
        <v>23504.833333333332</v>
      </c>
      <c r="AI57" s="362">
        <f xml:space="preserve"> COMMUS_23FS_Model!AI$51</f>
        <v>19587</v>
      </c>
      <c r="AJ57" s="362">
        <f xml:space="preserve"> COMMUS_23FS_Model!AJ$51</f>
        <v>19587</v>
      </c>
      <c r="AK57" s="362">
        <f xml:space="preserve"> COMMUS_23FS_Model!AK$51</f>
        <v>8103</v>
      </c>
      <c r="AL57" s="362">
        <f xml:space="preserve"> COMMUS_23FS_Model!AL$51</f>
        <v>0</v>
      </c>
      <c r="AM57" s="362">
        <f xml:space="preserve"> COMMUS_23FS_Model!AM$51</f>
        <v>0</v>
      </c>
      <c r="AN57" s="362">
        <f xml:space="preserve"> COMMUS_23FS_Model!AN$51</f>
        <v>0</v>
      </c>
      <c r="AO57" s="362">
        <f xml:space="preserve"> COMMUS_23FS_Model!AO$51</f>
        <v>0</v>
      </c>
      <c r="AP57" s="362">
        <f xml:space="preserve"> COMMUS_23FS_Model!AP$51</f>
        <v>0</v>
      </c>
      <c r="AQ57" s="362">
        <f xml:space="preserve"> COMMUS_23FS_Model!AQ$51</f>
        <v>0</v>
      </c>
      <c r="AR57" s="362">
        <f xml:space="preserve"> COMMUS_23FS_Model!AR$51</f>
        <v>0</v>
      </c>
      <c r="AS57" s="362">
        <f xml:space="preserve"> COMMUS_23FS_Model!AS$51</f>
        <v>0</v>
      </c>
    </row>
    <row r="58" spans="1:45" ht="15" customHeight="1" x14ac:dyDescent="0.3">
      <c r="A58" s="1"/>
      <c r="E58" s="362" t="str">
        <f xml:space="preserve"> COMMUS_23FS_Model!E$52</f>
        <v>Copper matt</v>
      </c>
      <c r="F58" s="362">
        <f xml:space="preserve"> COMMUS_23FS_Model!F$52</f>
        <v>0</v>
      </c>
      <c r="G58" s="362" t="str">
        <f xml:space="preserve"> COMMUS_23FS_Model!G$52</f>
        <v>tonnes</v>
      </c>
      <c r="H58" s="362">
        <f xml:space="preserve"> COMMUS_23FS_Model!H$52</f>
        <v>0</v>
      </c>
      <c r="I58" s="362">
        <f xml:space="preserve"> COMMUS_23FS_Model!I$52</f>
        <v>40880</v>
      </c>
      <c r="J58" s="362">
        <f xml:space="preserve"> COMMUS_23FS_Model!J$52</f>
        <v>0</v>
      </c>
      <c r="K58" s="362">
        <f xml:space="preserve"> COMMUS_23FS_Model!K$52</f>
        <v>0</v>
      </c>
      <c r="L58" s="362">
        <f xml:space="preserve"> COMMUS_23FS_Model!L$52</f>
        <v>0</v>
      </c>
      <c r="M58" s="362">
        <f xml:space="preserve"> COMMUS_23FS_Model!M$52</f>
        <v>0</v>
      </c>
      <c r="N58" s="362">
        <f xml:space="preserve"> COMMUS_23FS_Model!N$52</f>
        <v>0</v>
      </c>
      <c r="O58" s="362">
        <f xml:space="preserve"> COMMUS_23FS_Model!O$52</f>
        <v>0</v>
      </c>
      <c r="P58" s="362">
        <f xml:space="preserve"> COMMUS_23FS_Model!P$52</f>
        <v>0</v>
      </c>
      <c r="Q58" s="362">
        <f xml:space="preserve"> COMMUS_23FS_Model!Q$52</f>
        <v>0</v>
      </c>
      <c r="R58" s="362">
        <f xml:space="preserve"> COMMUS_23FS_Model!R$52</f>
        <v>0</v>
      </c>
      <c r="S58" s="362">
        <f xml:space="preserve"> COMMUS_23FS_Model!S$52</f>
        <v>0</v>
      </c>
      <c r="T58" s="362">
        <f xml:space="preserve"> COMMUS_23FS_Model!T$52</f>
        <v>0</v>
      </c>
      <c r="U58" s="362">
        <f xml:space="preserve"> COMMUS_23FS_Model!U$52</f>
        <v>0</v>
      </c>
      <c r="V58" s="362">
        <f xml:space="preserve"> COMMUS_23FS_Model!V$52</f>
        <v>735</v>
      </c>
      <c r="W58" s="362">
        <f xml:space="preserve"> COMMUS_23FS_Model!W$52</f>
        <v>4026</v>
      </c>
      <c r="X58" s="362">
        <f xml:space="preserve"> COMMUS_23FS_Model!X$52</f>
        <v>3910</v>
      </c>
      <c r="Y58" s="362">
        <f xml:space="preserve"> COMMUS_23FS_Model!Y$52</f>
        <v>3656</v>
      </c>
      <c r="Z58" s="362">
        <f xml:space="preserve"> COMMUS_23FS_Model!Z$52</f>
        <v>1848</v>
      </c>
      <c r="AA58" s="362">
        <f xml:space="preserve"> COMMUS_23FS_Model!AA$52</f>
        <v>2275</v>
      </c>
      <c r="AB58" s="362">
        <f xml:space="preserve"> COMMUS_23FS_Model!AB$52</f>
        <v>3507</v>
      </c>
      <c r="AC58" s="362">
        <f xml:space="preserve"> COMMUS_23FS_Model!AC$52</f>
        <v>2611.8333333333335</v>
      </c>
      <c r="AD58" s="362">
        <f xml:space="preserve"> COMMUS_23FS_Model!AD$52</f>
        <v>2611.8333333333335</v>
      </c>
      <c r="AE58" s="362">
        <f xml:space="preserve"> COMMUS_23FS_Model!AE$52</f>
        <v>2611.8333333333335</v>
      </c>
      <c r="AF58" s="362">
        <f xml:space="preserve"> COMMUS_23FS_Model!AF$52</f>
        <v>2611.8333333333335</v>
      </c>
      <c r="AG58" s="362">
        <f xml:space="preserve"> COMMUS_23FS_Model!AG$52</f>
        <v>2611.8333333333335</v>
      </c>
      <c r="AH58" s="362">
        <f xml:space="preserve"> COMMUS_23FS_Model!AH$52</f>
        <v>2611.8333333333335</v>
      </c>
      <c r="AI58" s="362">
        <f xml:space="preserve"> COMMUS_23FS_Model!AI$52</f>
        <v>2176</v>
      </c>
      <c r="AJ58" s="362">
        <f xml:space="preserve"> COMMUS_23FS_Model!AJ$52</f>
        <v>2176</v>
      </c>
      <c r="AK58" s="362">
        <f xml:space="preserve"> COMMUS_23FS_Model!AK$52</f>
        <v>900</v>
      </c>
      <c r="AL58" s="362">
        <f xml:space="preserve"> COMMUS_23FS_Model!AL$52</f>
        <v>0</v>
      </c>
      <c r="AM58" s="362">
        <f xml:space="preserve"> COMMUS_23FS_Model!AM$52</f>
        <v>0</v>
      </c>
      <c r="AN58" s="362">
        <f xml:space="preserve"> COMMUS_23FS_Model!AN$52</f>
        <v>0</v>
      </c>
      <c r="AO58" s="362">
        <f xml:space="preserve"> COMMUS_23FS_Model!AO$52</f>
        <v>0</v>
      </c>
      <c r="AP58" s="362">
        <f xml:space="preserve"> COMMUS_23FS_Model!AP$52</f>
        <v>0</v>
      </c>
      <c r="AQ58" s="362">
        <f xml:space="preserve"> COMMUS_23FS_Model!AQ$52</f>
        <v>0</v>
      </c>
      <c r="AR58" s="362">
        <f xml:space="preserve"> COMMUS_23FS_Model!AR$52</f>
        <v>0</v>
      </c>
      <c r="AS58" s="362">
        <f xml:space="preserve"> COMMUS_23FS_Model!AS$52</f>
        <v>0</v>
      </c>
    </row>
    <row r="59" spans="1:45" ht="15" customHeight="1" x14ac:dyDescent="0.3">
      <c r="A59" s="1"/>
      <c r="E59" s="362" t="str">
        <f xml:space="preserve"> COMMUS_23FS_Model!E$53</f>
        <v>Copper sulfide concentrates</v>
      </c>
      <c r="F59" s="362">
        <f xml:space="preserve"> COMMUS_23FS_Model!F$53</f>
        <v>0</v>
      </c>
      <c r="G59" s="362" t="str">
        <f xml:space="preserve"> COMMUS_23FS_Model!G$53</f>
        <v>tonnes</v>
      </c>
      <c r="H59" s="362">
        <f xml:space="preserve"> COMMUS_23FS_Model!H$53</f>
        <v>0</v>
      </c>
      <c r="I59" s="362">
        <f xml:space="preserve"> COMMUS_23FS_Model!I$53</f>
        <v>372689</v>
      </c>
      <c r="J59" s="362">
        <f xml:space="preserve"> COMMUS_23FS_Model!J$53</f>
        <v>0</v>
      </c>
      <c r="K59" s="362">
        <f xml:space="preserve"> COMMUS_23FS_Model!K$53</f>
        <v>0</v>
      </c>
      <c r="L59" s="362">
        <f xml:space="preserve"> COMMUS_23FS_Model!L$53</f>
        <v>0</v>
      </c>
      <c r="M59" s="362">
        <f xml:space="preserve"> COMMUS_23FS_Model!M$53</f>
        <v>0</v>
      </c>
      <c r="N59" s="362">
        <f xml:space="preserve"> COMMUS_23FS_Model!N$53</f>
        <v>0</v>
      </c>
      <c r="O59" s="362">
        <f xml:space="preserve"> COMMUS_23FS_Model!O$53</f>
        <v>0</v>
      </c>
      <c r="P59" s="362">
        <f xml:space="preserve"> COMMUS_23FS_Model!P$53</f>
        <v>0</v>
      </c>
      <c r="Q59" s="362">
        <f xml:space="preserve"> COMMUS_23FS_Model!Q$53</f>
        <v>0</v>
      </c>
      <c r="R59" s="362">
        <f xml:space="preserve"> COMMUS_23FS_Model!R$53</f>
        <v>0</v>
      </c>
      <c r="S59" s="362">
        <f xml:space="preserve"> COMMUS_23FS_Model!S$53</f>
        <v>0</v>
      </c>
      <c r="T59" s="362">
        <f xml:space="preserve"> COMMUS_23FS_Model!T$53</f>
        <v>0</v>
      </c>
      <c r="U59" s="362">
        <f xml:space="preserve"> COMMUS_23FS_Model!U$53</f>
        <v>0</v>
      </c>
      <c r="V59" s="362">
        <f xml:space="preserve"> COMMUS_23FS_Model!V$53</f>
        <v>22146</v>
      </c>
      <c r="W59" s="362">
        <f xml:space="preserve"> COMMUS_23FS_Model!W$53</f>
        <v>71511</v>
      </c>
      <c r="X59" s="362">
        <f xml:space="preserve"> COMMUS_23FS_Model!X$53</f>
        <v>61170</v>
      </c>
      <c r="Y59" s="362">
        <f xml:space="preserve"> COMMUS_23FS_Model!Y$53</f>
        <v>36712</v>
      </c>
      <c r="Z59" s="362">
        <f xml:space="preserve"> COMMUS_23FS_Model!Z$53</f>
        <v>116222</v>
      </c>
      <c r="AA59" s="362">
        <f xml:space="preserve"> COMMUS_23FS_Model!AA$53</f>
        <v>40314</v>
      </c>
      <c r="AB59" s="362">
        <f xml:space="preserve"> COMMUS_23FS_Model!AB$53</f>
        <v>24614</v>
      </c>
      <c r="AC59" s="362">
        <f xml:space="preserve"> COMMUS_23FS_Model!AC$53</f>
        <v>0</v>
      </c>
      <c r="AD59" s="362">
        <f xml:space="preserve"> COMMUS_23FS_Model!AD$53</f>
        <v>0</v>
      </c>
      <c r="AE59" s="362">
        <f xml:space="preserve"> COMMUS_23FS_Model!AE$53</f>
        <v>0</v>
      </c>
      <c r="AF59" s="362">
        <f xml:space="preserve"> COMMUS_23FS_Model!AF$53</f>
        <v>0</v>
      </c>
      <c r="AG59" s="362">
        <f xml:space="preserve"> COMMUS_23FS_Model!AG$53</f>
        <v>0</v>
      </c>
      <c r="AH59" s="362">
        <f xml:space="preserve"> COMMUS_23FS_Model!AH$53</f>
        <v>0</v>
      </c>
      <c r="AI59" s="362">
        <f xml:space="preserve"> COMMUS_23FS_Model!AI$53</f>
        <v>0</v>
      </c>
      <c r="AJ59" s="362">
        <f xml:space="preserve"> COMMUS_23FS_Model!AJ$53</f>
        <v>0</v>
      </c>
      <c r="AK59" s="362">
        <f xml:space="preserve"> COMMUS_23FS_Model!AK$53</f>
        <v>0</v>
      </c>
      <c r="AL59" s="362">
        <f xml:space="preserve"> COMMUS_23FS_Model!AL$53</f>
        <v>0</v>
      </c>
      <c r="AM59" s="362">
        <f xml:space="preserve"> COMMUS_23FS_Model!AM$53</f>
        <v>0</v>
      </c>
      <c r="AN59" s="362">
        <f xml:space="preserve"> COMMUS_23FS_Model!AN$53</f>
        <v>0</v>
      </c>
      <c r="AO59" s="362">
        <f xml:space="preserve"> COMMUS_23FS_Model!AO$53</f>
        <v>0</v>
      </c>
      <c r="AP59" s="362">
        <f xml:space="preserve"> COMMUS_23FS_Model!AP$53</f>
        <v>0</v>
      </c>
      <c r="AQ59" s="362">
        <f xml:space="preserve"> COMMUS_23FS_Model!AQ$53</f>
        <v>0</v>
      </c>
      <c r="AR59" s="362">
        <f xml:space="preserve"> COMMUS_23FS_Model!AR$53</f>
        <v>0</v>
      </c>
      <c r="AS59" s="362">
        <f xml:space="preserve"> COMMUS_23FS_Model!AS$53</f>
        <v>0</v>
      </c>
    </row>
    <row r="60" spans="1:45" ht="15" customHeight="1" x14ac:dyDescent="0.3">
      <c r="A60" s="1"/>
      <c r="E60" s="362" t="str">
        <f xml:space="preserve"> COMMUS_23FS_Model!E$54</f>
        <v>Copper oxide concentrates</v>
      </c>
      <c r="F60" s="362">
        <f xml:space="preserve"> COMMUS_23FS_Model!F$54</f>
        <v>0</v>
      </c>
      <c r="G60" s="362" t="str">
        <f xml:space="preserve"> COMMUS_23FS_Model!G$54</f>
        <v>tonnes</v>
      </c>
      <c r="H60" s="362">
        <f xml:space="preserve"> COMMUS_23FS_Model!H$54</f>
        <v>0</v>
      </c>
      <c r="I60" s="362">
        <f xml:space="preserve"> COMMUS_23FS_Model!I$54</f>
        <v>50936.000000000015</v>
      </c>
      <c r="J60" s="362">
        <f xml:space="preserve"> COMMUS_23FS_Model!J$54</f>
        <v>0</v>
      </c>
      <c r="K60" s="362">
        <f xml:space="preserve"> COMMUS_23FS_Model!K$54</f>
        <v>0</v>
      </c>
      <c r="L60" s="362">
        <f xml:space="preserve"> COMMUS_23FS_Model!L$54</f>
        <v>0</v>
      </c>
      <c r="M60" s="362">
        <f xml:space="preserve"> COMMUS_23FS_Model!M$54</f>
        <v>0</v>
      </c>
      <c r="N60" s="362">
        <f xml:space="preserve"> COMMUS_23FS_Model!N$54</f>
        <v>0</v>
      </c>
      <c r="O60" s="362">
        <f xml:space="preserve"> COMMUS_23FS_Model!O$54</f>
        <v>0</v>
      </c>
      <c r="P60" s="362">
        <f xml:space="preserve"> COMMUS_23FS_Model!P$54</f>
        <v>0</v>
      </c>
      <c r="Q60" s="362">
        <f xml:space="preserve"> COMMUS_23FS_Model!Q$54</f>
        <v>0</v>
      </c>
      <c r="R60" s="362">
        <f xml:space="preserve"> COMMUS_23FS_Model!R$54</f>
        <v>0</v>
      </c>
      <c r="S60" s="362">
        <f xml:space="preserve"> COMMUS_23FS_Model!S$54</f>
        <v>0</v>
      </c>
      <c r="T60" s="362">
        <f xml:space="preserve"> COMMUS_23FS_Model!T$54</f>
        <v>0</v>
      </c>
      <c r="U60" s="362">
        <f xml:space="preserve"> COMMUS_23FS_Model!U$54</f>
        <v>0</v>
      </c>
      <c r="V60" s="362">
        <f xml:space="preserve"> COMMUS_23FS_Model!V$54</f>
        <v>5003</v>
      </c>
      <c r="W60" s="362">
        <f xml:space="preserve"> COMMUS_23FS_Model!W$54</f>
        <v>7379</v>
      </c>
      <c r="X60" s="362">
        <f xml:space="preserve"> COMMUS_23FS_Model!X$54</f>
        <v>5794</v>
      </c>
      <c r="Y60" s="362">
        <f xml:space="preserve"> COMMUS_23FS_Model!Y$54</f>
        <v>1079</v>
      </c>
      <c r="Z60" s="362">
        <f xml:space="preserve"> COMMUS_23FS_Model!Z$54</f>
        <v>12902</v>
      </c>
      <c r="AA60" s="362">
        <f xml:space="preserve"> COMMUS_23FS_Model!AA$54</f>
        <v>8220</v>
      </c>
      <c r="AB60" s="362">
        <f xml:space="preserve"> COMMUS_23FS_Model!AB$54</f>
        <v>1680</v>
      </c>
      <c r="AC60" s="362">
        <f xml:space="preserve"> COMMUS_23FS_Model!AC$54</f>
        <v>1479.8333333333333</v>
      </c>
      <c r="AD60" s="362">
        <f xml:space="preserve"> COMMUS_23FS_Model!AD$54</f>
        <v>1479.8333333333333</v>
      </c>
      <c r="AE60" s="362">
        <f xml:space="preserve"> COMMUS_23FS_Model!AE$54</f>
        <v>1479.8333333333333</v>
      </c>
      <c r="AF60" s="362">
        <f xml:space="preserve"> COMMUS_23FS_Model!AF$54</f>
        <v>1479.8333333333333</v>
      </c>
      <c r="AG60" s="362">
        <f xml:space="preserve"> COMMUS_23FS_Model!AG$54</f>
        <v>1479.8333333333333</v>
      </c>
      <c r="AH60" s="362">
        <f xml:space="preserve"> COMMUS_23FS_Model!AH$54</f>
        <v>1479.8333333333333</v>
      </c>
      <c r="AI60" s="362">
        <f xml:space="preserve"> COMMUS_23FS_Model!AI$54</f>
        <v>0</v>
      </c>
      <c r="AJ60" s="362">
        <f xml:space="preserve"> COMMUS_23FS_Model!AJ$54</f>
        <v>0</v>
      </c>
      <c r="AK60" s="362">
        <f xml:space="preserve"> COMMUS_23FS_Model!AK$54</f>
        <v>0</v>
      </c>
      <c r="AL60" s="362">
        <f xml:space="preserve"> COMMUS_23FS_Model!AL$54</f>
        <v>0</v>
      </c>
      <c r="AM60" s="362">
        <f xml:space="preserve"> COMMUS_23FS_Model!AM$54</f>
        <v>0</v>
      </c>
      <c r="AN60" s="362">
        <f xml:space="preserve"> COMMUS_23FS_Model!AN$54</f>
        <v>0</v>
      </c>
      <c r="AO60" s="362">
        <f xml:space="preserve"> COMMUS_23FS_Model!AO$54</f>
        <v>0</v>
      </c>
      <c r="AP60" s="362">
        <f xml:space="preserve"> COMMUS_23FS_Model!AP$54</f>
        <v>0</v>
      </c>
      <c r="AQ60" s="362">
        <f xml:space="preserve"> COMMUS_23FS_Model!AQ$54</f>
        <v>0</v>
      </c>
      <c r="AR60" s="362">
        <f xml:space="preserve"> COMMUS_23FS_Model!AR$54</f>
        <v>0</v>
      </c>
      <c r="AS60" s="362">
        <f xml:space="preserve"> COMMUS_23FS_Model!AS$54</f>
        <v>0</v>
      </c>
    </row>
    <row r="61" spans="1:45" ht="15" customHeight="1" x14ac:dyDescent="0.3">
      <c r="I61" s="116"/>
      <c r="AL61" s="42"/>
      <c r="AM61" s="42"/>
      <c r="AN61" s="42"/>
      <c r="AO61" s="42"/>
      <c r="AP61" s="42"/>
      <c r="AQ61" s="42"/>
      <c r="AR61" s="42"/>
      <c r="AS61" s="42"/>
    </row>
    <row r="62" spans="1:45" ht="15" customHeight="1" x14ac:dyDescent="0.3">
      <c r="A62" s="1"/>
      <c r="E62" s="40" t="s">
        <v>540</v>
      </c>
      <c r="F62" s="40"/>
      <c r="G62" s="40" t="s">
        <v>160</v>
      </c>
      <c r="H62" s="40"/>
      <c r="I62" s="40"/>
      <c r="J62" s="40"/>
      <c r="K62" s="40">
        <f t="shared" ref="K62:AS62" si="59">IF(OR(K2 = 2023, K2 = 2024), 1, 0)</f>
        <v>0</v>
      </c>
      <c r="L62" s="40">
        <f t="shared" si="59"/>
        <v>0</v>
      </c>
      <c r="M62" s="40">
        <f t="shared" si="59"/>
        <v>0</v>
      </c>
      <c r="N62" s="40">
        <f t="shared" si="59"/>
        <v>0</v>
      </c>
      <c r="O62" s="40">
        <f t="shared" si="59"/>
        <v>0</v>
      </c>
      <c r="P62" s="40">
        <f t="shared" si="59"/>
        <v>0</v>
      </c>
      <c r="Q62" s="40">
        <f t="shared" si="59"/>
        <v>0</v>
      </c>
      <c r="R62" s="40">
        <f t="shared" si="59"/>
        <v>0</v>
      </c>
      <c r="S62" s="40">
        <f t="shared" si="59"/>
        <v>0</v>
      </c>
      <c r="T62" s="40">
        <f t="shared" si="59"/>
        <v>0</v>
      </c>
      <c r="U62" s="40">
        <f t="shared" si="59"/>
        <v>0</v>
      </c>
      <c r="V62" s="40">
        <f t="shared" si="59"/>
        <v>0</v>
      </c>
      <c r="W62" s="40">
        <f t="shared" si="59"/>
        <v>0</v>
      </c>
      <c r="X62" s="40">
        <f t="shared" si="59"/>
        <v>0</v>
      </c>
      <c r="Y62" s="40">
        <f t="shared" si="59"/>
        <v>0</v>
      </c>
      <c r="Z62" s="40">
        <f t="shared" si="59"/>
        <v>0</v>
      </c>
      <c r="AA62" s="40">
        <f t="shared" si="59"/>
        <v>0</v>
      </c>
      <c r="AB62" s="40">
        <f t="shared" si="59"/>
        <v>1</v>
      </c>
      <c r="AC62" s="40">
        <f t="shared" si="59"/>
        <v>1</v>
      </c>
      <c r="AD62" s="40">
        <f t="shared" si="59"/>
        <v>0</v>
      </c>
      <c r="AE62" s="40">
        <f t="shared" si="59"/>
        <v>0</v>
      </c>
      <c r="AF62" s="40">
        <f t="shared" si="59"/>
        <v>0</v>
      </c>
      <c r="AG62" s="40">
        <f t="shared" si="59"/>
        <v>0</v>
      </c>
      <c r="AH62" s="40">
        <f t="shared" si="59"/>
        <v>0</v>
      </c>
      <c r="AI62" s="40">
        <f t="shared" si="59"/>
        <v>0</v>
      </c>
      <c r="AJ62" s="40">
        <f t="shared" si="59"/>
        <v>0</v>
      </c>
      <c r="AK62" s="40">
        <f t="shared" si="59"/>
        <v>0</v>
      </c>
      <c r="AL62" s="40">
        <f t="shared" si="59"/>
        <v>0</v>
      </c>
      <c r="AM62" s="40">
        <f t="shared" si="59"/>
        <v>0</v>
      </c>
      <c r="AN62" s="40">
        <f t="shared" si="59"/>
        <v>0</v>
      </c>
      <c r="AO62" s="40">
        <f t="shared" si="59"/>
        <v>0</v>
      </c>
      <c r="AP62" s="40">
        <f t="shared" si="59"/>
        <v>0</v>
      </c>
      <c r="AQ62" s="40">
        <f t="shared" si="59"/>
        <v>0</v>
      </c>
      <c r="AR62" s="40">
        <f t="shared" si="59"/>
        <v>0</v>
      </c>
      <c r="AS62" s="40">
        <f t="shared" si="59"/>
        <v>0</v>
      </c>
    </row>
    <row r="63" spans="1:45" ht="15" customHeight="1" x14ac:dyDescent="0.3">
      <c r="A63" s="1"/>
      <c r="E63" s="104" t="str">
        <f xml:space="preserve"> Inputs_TS!E$101</f>
        <v>Copper cathode (Zijin annual reports)</v>
      </c>
      <c r="F63" s="104"/>
      <c r="G63" s="104" t="str">
        <f xml:space="preserve"> Inputs_TS!G$101</f>
        <v>tonnes</v>
      </c>
      <c r="H63" s="104" t="str">
        <f xml:space="preserve"> Inputs_TS!H$101</f>
        <v>IX</v>
      </c>
      <c r="I63" s="104"/>
      <c r="J63" s="61">
        <f xml:space="preserve"> Inputs_TS!J$101</f>
        <v>0</v>
      </c>
      <c r="K63" s="104">
        <f xml:space="preserve"> Inputs_TS!K$101</f>
        <v>0</v>
      </c>
      <c r="L63" s="104">
        <f xml:space="preserve"> Inputs_TS!L$101</f>
        <v>0</v>
      </c>
      <c r="M63" s="104">
        <f xml:space="preserve"> Inputs_TS!M$101</f>
        <v>0</v>
      </c>
      <c r="N63" s="104">
        <f xml:space="preserve"> Inputs_TS!N$101</f>
        <v>0</v>
      </c>
      <c r="O63" s="104">
        <f xml:space="preserve"> Inputs_TS!O$101</f>
        <v>0</v>
      </c>
      <c r="P63" s="104">
        <f xml:space="preserve"> Inputs_TS!P$101</f>
        <v>0</v>
      </c>
      <c r="Q63" s="104">
        <f xml:space="preserve"> Inputs_TS!Q$101</f>
        <v>0</v>
      </c>
      <c r="R63" s="104">
        <f xml:space="preserve"> Inputs_TS!R$101</f>
        <v>0</v>
      </c>
      <c r="S63" s="104">
        <f xml:space="preserve"> Inputs_TS!S$101</f>
        <v>0</v>
      </c>
      <c r="T63" s="104">
        <f xml:space="preserve"> Inputs_TS!T$101</f>
        <v>0</v>
      </c>
      <c r="U63" s="104">
        <f xml:space="preserve"> Inputs_TS!U$101</f>
        <v>0</v>
      </c>
      <c r="V63" s="104">
        <f xml:space="preserve"> Inputs_TS!V$101</f>
        <v>0</v>
      </c>
      <c r="W63" s="104">
        <f xml:space="preserve"> Inputs_TS!W$101</f>
        <v>0</v>
      </c>
      <c r="X63" s="104">
        <f xml:space="preserve"> Inputs_TS!X$101</f>
        <v>26173</v>
      </c>
      <c r="Y63" s="104">
        <f xml:space="preserve"> Inputs_TS!Y$101</f>
        <v>57400</v>
      </c>
      <c r="Z63" s="104">
        <f xml:space="preserve"> Inputs_TS!Z$101</f>
        <v>59928</v>
      </c>
      <c r="AA63" s="104">
        <f xml:space="preserve"> Inputs_TS!AA$101</f>
        <v>73834</v>
      </c>
      <c r="AB63" s="104">
        <f xml:space="preserve"> Inputs_TS!AB$101</f>
        <v>72921</v>
      </c>
      <c r="AC63" s="104">
        <f xml:space="preserve"> Inputs_TS!AC$101</f>
        <v>51914</v>
      </c>
      <c r="AD63" s="104">
        <f xml:space="preserve"> Inputs_TS!AD$101</f>
        <v>0</v>
      </c>
      <c r="AE63" s="104">
        <f xml:space="preserve"> Inputs_TS!AE$101</f>
        <v>0</v>
      </c>
      <c r="AF63" s="104">
        <f xml:space="preserve"> Inputs_TS!AF$101</f>
        <v>0</v>
      </c>
      <c r="AG63" s="104">
        <f xml:space="preserve"> Inputs_TS!AG$101</f>
        <v>0</v>
      </c>
      <c r="AH63" s="104">
        <f xml:space="preserve"> Inputs_TS!AH$101</f>
        <v>0</v>
      </c>
      <c r="AI63" s="104">
        <f xml:space="preserve"> Inputs_TS!AI$101</f>
        <v>0</v>
      </c>
      <c r="AJ63" s="104">
        <f xml:space="preserve"> Inputs_TS!AJ$101</f>
        <v>0</v>
      </c>
      <c r="AK63" s="104">
        <f xml:space="preserve"> Inputs_TS!AK$101</f>
        <v>0</v>
      </c>
      <c r="AL63" s="104">
        <f xml:space="preserve"> Inputs_TS!AL$101</f>
        <v>0</v>
      </c>
      <c r="AM63" s="104">
        <f xml:space="preserve"> Inputs_TS!AM$101</f>
        <v>0</v>
      </c>
      <c r="AN63" s="104">
        <f xml:space="preserve"> Inputs_TS!AN$101</f>
        <v>0</v>
      </c>
      <c r="AO63" s="104">
        <f xml:space="preserve"> Inputs_TS!AO$101</f>
        <v>0</v>
      </c>
      <c r="AP63" s="104">
        <f xml:space="preserve"> Inputs_TS!AP$101</f>
        <v>0</v>
      </c>
      <c r="AQ63" s="104">
        <f xml:space="preserve"> Inputs_TS!AQ$101</f>
        <v>0</v>
      </c>
      <c r="AR63" s="104">
        <f xml:space="preserve"> Inputs_TS!AR$101</f>
        <v>0</v>
      </c>
      <c r="AS63" s="104">
        <f xml:space="preserve"> Inputs_TS!AS$101</f>
        <v>0</v>
      </c>
    </row>
    <row r="64" spans="1:45" ht="15" customHeight="1" x14ac:dyDescent="0.3">
      <c r="A64" s="139"/>
      <c r="B64" s="180"/>
      <c r="C64" s="181"/>
      <c r="D64" s="36"/>
      <c r="E64" s="36" t="s">
        <v>541</v>
      </c>
      <c r="F64" s="36"/>
      <c r="G64" s="36" t="s">
        <v>38</v>
      </c>
      <c r="H64" s="36"/>
      <c r="I64" s="36"/>
      <c r="J64" s="142"/>
      <c r="K64" s="36">
        <f t="shared" ref="K64:O64" si="60">K62 * K63</f>
        <v>0</v>
      </c>
      <c r="L64" s="36">
        <f t="shared" si="60"/>
        <v>0</v>
      </c>
      <c r="M64" s="36">
        <f t="shared" si="60"/>
        <v>0</v>
      </c>
      <c r="N64" s="36">
        <f t="shared" si="60"/>
        <v>0</v>
      </c>
      <c r="O64" s="36">
        <f t="shared" si="60"/>
        <v>0</v>
      </c>
      <c r="P64" s="36">
        <f t="shared" ref="P64" si="61">P62 * P63</f>
        <v>0</v>
      </c>
      <c r="Q64" s="36">
        <f t="shared" ref="Q64" si="62">Q62 * Q63</f>
        <v>0</v>
      </c>
      <c r="R64" s="36">
        <f t="shared" ref="R64" si="63">R62 * R63</f>
        <v>0</v>
      </c>
      <c r="S64" s="36">
        <f t="shared" ref="S64" si="64">S62 * S63</f>
        <v>0</v>
      </c>
      <c r="T64" s="36">
        <f t="shared" ref="T64" si="65">T62 * T63</f>
        <v>0</v>
      </c>
      <c r="U64" s="36">
        <f t="shared" ref="U64" si="66">U62 * U63</f>
        <v>0</v>
      </c>
      <c r="V64" s="36">
        <f t="shared" ref="V64" si="67">V62 * V63</f>
        <v>0</v>
      </c>
      <c r="W64" s="36">
        <f t="shared" ref="W64" si="68">W62 * W63</f>
        <v>0</v>
      </c>
      <c r="X64" s="36">
        <f t="shared" ref="X64" si="69">X62 * X63</f>
        <v>0</v>
      </c>
      <c r="Y64" s="36">
        <f t="shared" ref="Y64" si="70">Y62 * Y63</f>
        <v>0</v>
      </c>
      <c r="Z64" s="36">
        <f t="shared" ref="Z64" si="71">Z62 * Z63</f>
        <v>0</v>
      </c>
      <c r="AA64" s="36">
        <f t="shared" ref="AA64" si="72">AA62 * AA63</f>
        <v>0</v>
      </c>
      <c r="AB64" s="36">
        <f t="shared" ref="AB64" si="73">AB62 * AB63</f>
        <v>72921</v>
      </c>
      <c r="AC64" s="36">
        <f t="shared" ref="AC64" si="74">AC62 * AC63</f>
        <v>51914</v>
      </c>
      <c r="AD64" s="36">
        <f t="shared" ref="AD64" si="75">AD62 * AD63</f>
        <v>0</v>
      </c>
      <c r="AE64" s="36">
        <f t="shared" ref="AE64" si="76">AE62 * AE63</f>
        <v>0</v>
      </c>
      <c r="AF64" s="36">
        <f t="shared" ref="AF64" si="77">AF62 * AF63</f>
        <v>0</v>
      </c>
      <c r="AG64" s="36">
        <f t="shared" ref="AG64" si="78">AG62 * AG63</f>
        <v>0</v>
      </c>
      <c r="AH64" s="36">
        <f t="shared" ref="AH64" si="79">AH62 * AH63</f>
        <v>0</v>
      </c>
      <c r="AI64" s="36">
        <f t="shared" ref="AI64" si="80">AI62 * AI63</f>
        <v>0</v>
      </c>
      <c r="AJ64" s="36">
        <f t="shared" ref="AJ64" si="81">AJ62 * AJ63</f>
        <v>0</v>
      </c>
      <c r="AK64" s="36">
        <f t="shared" ref="AK64" si="82">AK62 * AK63</f>
        <v>0</v>
      </c>
      <c r="AL64" s="36">
        <f t="shared" ref="AL64" si="83">AL62 * AL63</f>
        <v>0</v>
      </c>
      <c r="AM64" s="36">
        <f t="shared" ref="AM64" si="84">AM62 * AM63</f>
        <v>0</v>
      </c>
      <c r="AN64" s="36">
        <f t="shared" ref="AN64" si="85">AN62 * AN63</f>
        <v>0</v>
      </c>
      <c r="AO64" s="36">
        <f t="shared" ref="AO64" si="86">AO62 * AO63</f>
        <v>0</v>
      </c>
      <c r="AP64" s="36">
        <f t="shared" ref="AP64" si="87">AP62 * AP63</f>
        <v>0</v>
      </c>
      <c r="AQ64" s="36">
        <f t="shared" ref="AQ64" si="88">AQ62 * AQ63</f>
        <v>0</v>
      </c>
      <c r="AR64" s="36">
        <f t="shared" ref="AR64" si="89">AR62 * AR63</f>
        <v>0</v>
      </c>
      <c r="AS64" s="36">
        <f>AS62 * AS63</f>
        <v>0</v>
      </c>
    </row>
    <row r="65" spans="1:45" ht="15" customHeight="1" x14ac:dyDescent="0.3">
      <c r="A65" s="139"/>
      <c r="B65" s="180"/>
      <c r="C65" s="181"/>
      <c r="D65" s="36"/>
      <c r="E65" s="36"/>
      <c r="F65" s="36"/>
      <c r="G65" s="36"/>
      <c r="H65" s="36"/>
      <c r="I65" s="36"/>
      <c r="J65" s="142"/>
      <c r="K65" s="36"/>
      <c r="L65" s="36"/>
      <c r="M65" s="36"/>
      <c r="N65" s="36"/>
      <c r="O65" s="36"/>
      <c r="P65" s="36"/>
      <c r="Q65" s="36"/>
      <c r="R65" s="36"/>
      <c r="S65" s="36"/>
      <c r="T65" s="36"/>
      <c r="U65" s="36"/>
      <c r="V65" s="36"/>
      <c r="W65" s="36"/>
      <c r="X65" s="36"/>
      <c r="Y65" s="36"/>
      <c r="Z65" s="36"/>
      <c r="AA65" s="36"/>
      <c r="AB65" s="36"/>
      <c r="AC65" s="36"/>
      <c r="AD65" s="36"/>
      <c r="AE65" s="36"/>
      <c r="AF65" s="36"/>
      <c r="AG65" s="36"/>
      <c r="AH65" s="36"/>
      <c r="AI65" s="36"/>
      <c r="AJ65" s="36"/>
      <c r="AK65" s="36"/>
      <c r="AL65" s="36"/>
      <c r="AM65" s="36"/>
      <c r="AN65" s="36"/>
      <c r="AO65" s="36"/>
      <c r="AP65" s="36"/>
      <c r="AQ65" s="36"/>
      <c r="AR65" s="36"/>
      <c r="AS65" s="36"/>
    </row>
    <row r="66" spans="1:45" ht="15" customHeight="1" x14ac:dyDescent="0.3">
      <c r="A66" s="1"/>
      <c r="E66" s="362" t="str">
        <f xml:space="preserve"> COMMUS_23FS_Model!E$50</f>
        <v>Copper cathode</v>
      </c>
      <c r="F66" s="362">
        <f xml:space="preserve"> COMMUS_23FS_Model!F$50</f>
        <v>0</v>
      </c>
      <c r="G66" s="362" t="str">
        <f xml:space="preserve"> COMMUS_23FS_Model!G$50</f>
        <v>tonnes</v>
      </c>
      <c r="H66" s="362">
        <f xml:space="preserve"> COMMUS_23FS_Model!H$50</f>
        <v>0</v>
      </c>
      <c r="I66" s="362">
        <f xml:space="preserve"> COMMUS_23FS_Model!I$50</f>
        <v>939749</v>
      </c>
      <c r="J66" s="362">
        <f xml:space="preserve"> COMMUS_23FS_Model!J$50</f>
        <v>0</v>
      </c>
      <c r="K66" s="362">
        <f xml:space="preserve"> COMMUS_23FS_Model!K$50</f>
        <v>0</v>
      </c>
      <c r="L66" s="362">
        <f xml:space="preserve"> COMMUS_23FS_Model!L$50</f>
        <v>0</v>
      </c>
      <c r="M66" s="362">
        <f xml:space="preserve"> COMMUS_23FS_Model!M$50</f>
        <v>0</v>
      </c>
      <c r="N66" s="362">
        <f xml:space="preserve"> COMMUS_23FS_Model!N$50</f>
        <v>0</v>
      </c>
      <c r="O66" s="362">
        <f xml:space="preserve"> COMMUS_23FS_Model!O$50</f>
        <v>0</v>
      </c>
      <c r="P66" s="362">
        <f xml:space="preserve"> COMMUS_23FS_Model!P$50</f>
        <v>0</v>
      </c>
      <c r="Q66" s="362">
        <f xml:space="preserve"> COMMUS_23FS_Model!Q$50</f>
        <v>0</v>
      </c>
      <c r="R66" s="362">
        <f xml:space="preserve"> COMMUS_23FS_Model!R$50</f>
        <v>0</v>
      </c>
      <c r="S66" s="362">
        <f xml:space="preserve"> COMMUS_23FS_Model!S$50</f>
        <v>0</v>
      </c>
      <c r="T66" s="362">
        <f xml:space="preserve"> COMMUS_23FS_Model!T$50</f>
        <v>0</v>
      </c>
      <c r="U66" s="362">
        <f xml:space="preserve"> COMMUS_23FS_Model!U$50</f>
        <v>0</v>
      </c>
      <c r="V66" s="362">
        <f xml:space="preserve"> COMMUS_23FS_Model!V$50</f>
        <v>0</v>
      </c>
      <c r="W66" s="362">
        <f xml:space="preserve"> COMMUS_23FS_Model!W$50</f>
        <v>0</v>
      </c>
      <c r="X66" s="362">
        <f xml:space="preserve"> COMMUS_23FS_Model!X$50</f>
        <v>26145</v>
      </c>
      <c r="Y66" s="362">
        <f xml:space="preserve"> COMMUS_23FS_Model!Y$50</f>
        <v>57390</v>
      </c>
      <c r="Z66" s="362">
        <f xml:space="preserve"> COMMUS_23FS_Model!Z$50</f>
        <v>59899</v>
      </c>
      <c r="AA66" s="362">
        <f xml:space="preserve"> COMMUS_23FS_Model!AA$50</f>
        <v>73852</v>
      </c>
      <c r="AB66" s="362">
        <f xml:space="preserve"> COMMUS_23FS_Model!AB$50</f>
        <v>60290</v>
      </c>
      <c r="AC66" s="362">
        <f xml:space="preserve"> COMMUS_23FS_Model!AC$50</f>
        <v>82654</v>
      </c>
      <c r="AD66" s="362">
        <f xml:space="preserve"> COMMUS_23FS_Model!AD$50</f>
        <v>82654</v>
      </c>
      <c r="AE66" s="362">
        <f xml:space="preserve"> COMMUS_23FS_Model!AE$50</f>
        <v>82654</v>
      </c>
      <c r="AF66" s="362">
        <f xml:space="preserve"> COMMUS_23FS_Model!AF$50</f>
        <v>82654</v>
      </c>
      <c r="AG66" s="362">
        <f xml:space="preserve"> COMMUS_23FS_Model!AG$50</f>
        <v>82654</v>
      </c>
      <c r="AH66" s="362">
        <f xml:space="preserve"> COMMUS_23FS_Model!AH$50</f>
        <v>82654</v>
      </c>
      <c r="AI66" s="362">
        <f xml:space="preserve"> COMMUS_23FS_Model!AI$50</f>
        <v>68878</v>
      </c>
      <c r="AJ66" s="362">
        <f xml:space="preserve"> COMMUS_23FS_Model!AJ$50</f>
        <v>68878</v>
      </c>
      <c r="AK66" s="362">
        <f xml:space="preserve"> COMMUS_23FS_Model!AK$50</f>
        <v>28493</v>
      </c>
      <c r="AL66" s="362">
        <f xml:space="preserve"> COMMUS_23FS_Model!AL$50</f>
        <v>0</v>
      </c>
      <c r="AM66" s="362">
        <f xml:space="preserve"> COMMUS_23FS_Model!AM$50</f>
        <v>0</v>
      </c>
      <c r="AN66" s="362">
        <f xml:space="preserve"> COMMUS_23FS_Model!AN$50</f>
        <v>0</v>
      </c>
      <c r="AO66" s="362">
        <f xml:space="preserve"> COMMUS_23FS_Model!AO$50</f>
        <v>0</v>
      </c>
      <c r="AP66" s="362">
        <f xml:space="preserve"> COMMUS_23FS_Model!AP$50</f>
        <v>0</v>
      </c>
      <c r="AQ66" s="362">
        <f xml:space="preserve"> COMMUS_23FS_Model!AQ$50</f>
        <v>0</v>
      </c>
      <c r="AR66" s="362">
        <f xml:space="preserve"> COMMUS_23FS_Model!AR$50</f>
        <v>0</v>
      </c>
      <c r="AS66" s="362">
        <f xml:space="preserve"> COMMUS_23FS_Model!AS$50</f>
        <v>0</v>
      </c>
    </row>
    <row r="67" spans="1:45" ht="15" customHeight="1" x14ac:dyDescent="0.3">
      <c r="A67" s="1"/>
      <c r="E67" s="40" t="str">
        <f xml:space="preserve"> E$64</f>
        <v>2023, 2024 copper cathode</v>
      </c>
      <c r="F67" s="40">
        <f t="shared" ref="F67:O67" si="90" xml:space="preserve"> F$64</f>
        <v>0</v>
      </c>
      <c r="G67" s="40" t="str">
        <f t="shared" si="90"/>
        <v>tonnes</v>
      </c>
      <c r="H67" s="40">
        <f t="shared" si="90"/>
        <v>0</v>
      </c>
      <c r="I67" s="40">
        <f t="shared" si="90"/>
        <v>0</v>
      </c>
      <c r="J67" s="40">
        <f t="shared" si="90"/>
        <v>0</v>
      </c>
      <c r="K67" s="40">
        <f t="shared" si="90"/>
        <v>0</v>
      </c>
      <c r="L67" s="40">
        <f t="shared" si="90"/>
        <v>0</v>
      </c>
      <c r="M67" s="40">
        <f t="shared" si="90"/>
        <v>0</v>
      </c>
      <c r="N67" s="40">
        <f t="shared" si="90"/>
        <v>0</v>
      </c>
      <c r="O67" s="40">
        <f t="shared" si="90"/>
        <v>0</v>
      </c>
      <c r="P67" s="40">
        <f t="shared" ref="P67:AS67" si="91" xml:space="preserve"> P$64</f>
        <v>0</v>
      </c>
      <c r="Q67" s="40">
        <f t="shared" si="91"/>
        <v>0</v>
      </c>
      <c r="R67" s="40">
        <f t="shared" si="91"/>
        <v>0</v>
      </c>
      <c r="S67" s="40">
        <f t="shared" si="91"/>
        <v>0</v>
      </c>
      <c r="T67" s="40">
        <f t="shared" si="91"/>
        <v>0</v>
      </c>
      <c r="U67" s="40">
        <f t="shared" si="91"/>
        <v>0</v>
      </c>
      <c r="V67" s="40">
        <f t="shared" si="91"/>
        <v>0</v>
      </c>
      <c r="W67" s="40">
        <f t="shared" si="91"/>
        <v>0</v>
      </c>
      <c r="X67" s="40">
        <f t="shared" si="91"/>
        <v>0</v>
      </c>
      <c r="Y67" s="40">
        <f t="shared" si="91"/>
        <v>0</v>
      </c>
      <c r="Z67" s="40">
        <f t="shared" si="91"/>
        <v>0</v>
      </c>
      <c r="AA67" s="40">
        <f t="shared" si="91"/>
        <v>0</v>
      </c>
      <c r="AB67" s="40">
        <f t="shared" si="91"/>
        <v>72921</v>
      </c>
      <c r="AC67" s="40">
        <f t="shared" si="91"/>
        <v>51914</v>
      </c>
      <c r="AD67" s="40">
        <f t="shared" si="91"/>
        <v>0</v>
      </c>
      <c r="AE67" s="40">
        <f t="shared" si="91"/>
        <v>0</v>
      </c>
      <c r="AF67" s="40">
        <f t="shared" si="91"/>
        <v>0</v>
      </c>
      <c r="AG67" s="40">
        <f t="shared" si="91"/>
        <v>0</v>
      </c>
      <c r="AH67" s="40">
        <f t="shared" si="91"/>
        <v>0</v>
      </c>
      <c r="AI67" s="40">
        <f t="shared" si="91"/>
        <v>0</v>
      </c>
      <c r="AJ67" s="40">
        <f t="shared" si="91"/>
        <v>0</v>
      </c>
      <c r="AK67" s="40">
        <f t="shared" si="91"/>
        <v>0</v>
      </c>
      <c r="AL67" s="40">
        <f t="shared" si="91"/>
        <v>0</v>
      </c>
      <c r="AM67" s="40">
        <f t="shared" si="91"/>
        <v>0</v>
      </c>
      <c r="AN67" s="40">
        <f t="shared" si="91"/>
        <v>0</v>
      </c>
      <c r="AO67" s="40">
        <f t="shared" si="91"/>
        <v>0</v>
      </c>
      <c r="AP67" s="40">
        <f t="shared" si="91"/>
        <v>0</v>
      </c>
      <c r="AQ67" s="40">
        <f t="shared" si="91"/>
        <v>0</v>
      </c>
      <c r="AR67" s="40">
        <f t="shared" si="91"/>
        <v>0</v>
      </c>
      <c r="AS67" s="40">
        <f t="shared" si="91"/>
        <v>0</v>
      </c>
    </row>
    <row r="68" spans="1:45" ht="15" customHeight="1" x14ac:dyDescent="0.3">
      <c r="A68" s="1"/>
      <c r="E68" s="40" t="s">
        <v>545</v>
      </c>
      <c r="F68" s="40"/>
      <c r="G68" s="40" t="s">
        <v>38</v>
      </c>
      <c r="H68" s="40"/>
      <c r="I68" s="40">
        <f>SUM(K68:AS68)</f>
        <v>921640</v>
      </c>
      <c r="J68" s="40"/>
      <c r="K68" s="40">
        <f t="shared" ref="K68:O68" si="92">IF(K67 = 0, K66, K67)</f>
        <v>0</v>
      </c>
      <c r="L68" s="40">
        <f t="shared" si="92"/>
        <v>0</v>
      </c>
      <c r="M68" s="40">
        <f t="shared" si="92"/>
        <v>0</v>
      </c>
      <c r="N68" s="40">
        <f t="shared" si="92"/>
        <v>0</v>
      </c>
      <c r="O68" s="40">
        <f t="shared" si="92"/>
        <v>0</v>
      </c>
      <c r="P68" s="40">
        <f t="shared" ref="P68" si="93">IF(P67 = 0, P66, P67)</f>
        <v>0</v>
      </c>
      <c r="Q68" s="40">
        <f t="shared" ref="Q68" si="94">IF(Q67 = 0, Q66, Q67)</f>
        <v>0</v>
      </c>
      <c r="R68" s="40">
        <f t="shared" ref="R68" si="95">IF(R67 = 0, R66, R67)</f>
        <v>0</v>
      </c>
      <c r="S68" s="40">
        <f t="shared" ref="S68" si="96">IF(S67 = 0, S66, S67)</f>
        <v>0</v>
      </c>
      <c r="T68" s="40">
        <f t="shared" ref="T68" si="97">IF(T67 = 0, T66, T67)</f>
        <v>0</v>
      </c>
      <c r="U68" s="40">
        <f t="shared" ref="U68" si="98">IF(U67 = 0, U66, U67)</f>
        <v>0</v>
      </c>
      <c r="V68" s="40">
        <f t="shared" ref="V68" si="99">IF(V67 = 0, V66, V67)</f>
        <v>0</v>
      </c>
      <c r="W68" s="40">
        <f t="shared" ref="W68" si="100">IF(W67 = 0, W66, W67)</f>
        <v>0</v>
      </c>
      <c r="X68" s="40">
        <f t="shared" ref="X68" si="101">IF(X67 = 0, X66, X67)</f>
        <v>26145</v>
      </c>
      <c r="Y68" s="40">
        <f t="shared" ref="Y68" si="102">IF(Y67 = 0, Y66, Y67)</f>
        <v>57390</v>
      </c>
      <c r="Z68" s="40">
        <f t="shared" ref="Z68" si="103">IF(Z67 = 0, Z66, Z67)</f>
        <v>59899</v>
      </c>
      <c r="AA68" s="40">
        <f t="shared" ref="AA68" si="104">IF(AA67 = 0, AA66, AA67)</f>
        <v>73852</v>
      </c>
      <c r="AB68" s="40">
        <f t="shared" ref="AB68" si="105">IF(AB67 = 0, AB66, AB67)</f>
        <v>72921</v>
      </c>
      <c r="AC68" s="40">
        <f t="shared" ref="AC68" si="106">IF(AC67 = 0, AC66, AC67)</f>
        <v>51914</v>
      </c>
      <c r="AD68" s="40">
        <f t="shared" ref="AD68" si="107">IF(AD67 = 0, AD66, AD67)</f>
        <v>82654</v>
      </c>
      <c r="AE68" s="40">
        <f t="shared" ref="AE68" si="108">IF(AE67 = 0, AE66, AE67)</f>
        <v>82654</v>
      </c>
      <c r="AF68" s="40">
        <f t="shared" ref="AF68" si="109">IF(AF67 = 0, AF66, AF67)</f>
        <v>82654</v>
      </c>
      <c r="AG68" s="40">
        <f t="shared" ref="AG68" si="110">IF(AG67 = 0, AG66, AG67)</f>
        <v>82654</v>
      </c>
      <c r="AH68" s="40">
        <f t="shared" ref="AH68" si="111">IF(AH67 = 0, AH66, AH67)</f>
        <v>82654</v>
      </c>
      <c r="AI68" s="40">
        <f t="shared" ref="AI68" si="112">IF(AI67 = 0, AI66, AI67)</f>
        <v>68878</v>
      </c>
      <c r="AJ68" s="40">
        <f t="shared" ref="AJ68" si="113">IF(AJ67 = 0, AJ66, AJ67)</f>
        <v>68878</v>
      </c>
      <c r="AK68" s="40">
        <f t="shared" ref="AK68" si="114">IF(AK67 = 0, AK66, AK67)</f>
        <v>28493</v>
      </c>
      <c r="AL68" s="40">
        <f t="shared" ref="AL68" si="115">IF(AL67 = 0, AL66, AL67)</f>
        <v>0</v>
      </c>
      <c r="AM68" s="40">
        <f t="shared" ref="AM68" si="116">IF(AM67 = 0, AM66, AM67)</f>
        <v>0</v>
      </c>
      <c r="AN68" s="40">
        <f t="shared" ref="AN68" si="117">IF(AN67 = 0, AN66, AN67)</f>
        <v>0</v>
      </c>
      <c r="AO68" s="40">
        <f t="shared" ref="AO68" si="118">IF(AO67 = 0, AO66, AO67)</f>
        <v>0</v>
      </c>
      <c r="AP68" s="40">
        <f t="shared" ref="AP68" si="119">IF(AP67 = 0, AP66, AP67)</f>
        <v>0</v>
      </c>
      <c r="AQ68" s="40">
        <f t="shared" ref="AQ68" si="120">IF(AQ67 = 0, AQ66, AQ67)</f>
        <v>0</v>
      </c>
      <c r="AR68" s="40">
        <f t="shared" ref="AR68" si="121">IF(AR67 = 0, AR66, AR67)</f>
        <v>0</v>
      </c>
      <c r="AS68" s="40">
        <f>IF(AS67 = 0, AS66, AS67)</f>
        <v>0</v>
      </c>
    </row>
    <row r="69" spans="1:45" ht="15" customHeight="1" x14ac:dyDescent="0.3">
      <c r="A69" s="1"/>
      <c r="E69" s="40"/>
      <c r="F69" s="40"/>
      <c r="G69" s="40"/>
      <c r="H69" s="40"/>
      <c r="I69" s="40"/>
      <c r="J69" s="40"/>
      <c r="K69" s="40"/>
      <c r="L69" s="40"/>
      <c r="M69" s="40"/>
      <c r="N69" s="40"/>
      <c r="O69" s="40"/>
      <c r="P69" s="40"/>
      <c r="Q69" s="40"/>
      <c r="R69" s="40"/>
      <c r="S69" s="40"/>
      <c r="T69" s="40"/>
      <c r="U69" s="40"/>
      <c r="V69" s="40"/>
      <c r="W69" s="40"/>
      <c r="X69" s="40"/>
      <c r="Y69" s="40"/>
      <c r="Z69" s="40"/>
      <c r="AA69" s="40"/>
      <c r="AB69" s="40"/>
      <c r="AC69" s="40"/>
      <c r="AD69" s="40"/>
      <c r="AE69" s="40"/>
      <c r="AF69" s="40"/>
      <c r="AG69" s="40"/>
      <c r="AH69" s="40"/>
      <c r="AI69" s="40"/>
      <c r="AJ69" s="40"/>
      <c r="AK69" s="40"/>
      <c r="AL69" s="40"/>
      <c r="AM69" s="40"/>
      <c r="AN69" s="40"/>
      <c r="AO69" s="40"/>
      <c r="AP69" s="40"/>
      <c r="AQ69" s="40"/>
      <c r="AR69" s="40"/>
      <c r="AS69" s="40"/>
    </row>
    <row r="70" spans="1:45" ht="15" customHeight="1" x14ac:dyDescent="0.3">
      <c r="A70" s="692"/>
      <c r="B70" s="693"/>
      <c r="C70" s="694"/>
      <c r="D70" s="260"/>
      <c r="E70" s="294" t="s">
        <v>413</v>
      </c>
      <c r="F70" s="294" t="s">
        <v>552</v>
      </c>
      <c r="G70" s="294" t="s">
        <v>38</v>
      </c>
      <c r="H70" s="294"/>
      <c r="I70" s="294">
        <f>SUM(K70:AS70)</f>
        <v>1750670</v>
      </c>
      <c r="J70" s="294"/>
      <c r="K70" s="294">
        <f t="shared" ref="K70:O70" si="122">SUM(K57:K60) + K68</f>
        <v>0</v>
      </c>
      <c r="L70" s="294">
        <f t="shared" si="122"/>
        <v>0</v>
      </c>
      <c r="M70" s="294">
        <f t="shared" si="122"/>
        <v>0</v>
      </c>
      <c r="N70" s="294">
        <f t="shared" si="122"/>
        <v>0</v>
      </c>
      <c r="O70" s="294">
        <f t="shared" si="122"/>
        <v>0</v>
      </c>
      <c r="P70" s="294">
        <f t="shared" ref="P70" si="123">SUM(P57:P60) + P68</f>
        <v>0</v>
      </c>
      <c r="Q70" s="294">
        <f t="shared" ref="Q70:AS70" si="124">SUM(Q57:Q60) + Q68</f>
        <v>0</v>
      </c>
      <c r="R70" s="294">
        <f t="shared" si="124"/>
        <v>0</v>
      </c>
      <c r="S70" s="294">
        <f t="shared" si="124"/>
        <v>0</v>
      </c>
      <c r="T70" s="294">
        <f t="shared" si="124"/>
        <v>0</v>
      </c>
      <c r="U70" s="294">
        <f t="shared" si="124"/>
        <v>0</v>
      </c>
      <c r="V70" s="294">
        <f t="shared" si="124"/>
        <v>39692</v>
      </c>
      <c r="W70" s="294">
        <f t="shared" si="124"/>
        <v>111964</v>
      </c>
      <c r="X70" s="294">
        <f t="shared" si="124"/>
        <v>131252</v>
      </c>
      <c r="Y70" s="294">
        <f t="shared" si="124"/>
        <v>131248</v>
      </c>
      <c r="Z70" s="294">
        <f t="shared" si="124"/>
        <v>215795</v>
      </c>
      <c r="AA70" s="294">
        <f t="shared" si="124"/>
        <v>147094</v>
      </c>
      <c r="AB70" s="294">
        <f t="shared" si="124"/>
        <v>124084</v>
      </c>
      <c r="AC70" s="294">
        <f t="shared" si="124"/>
        <v>79510.5</v>
      </c>
      <c r="AD70" s="294">
        <f t="shared" si="124"/>
        <v>110250.5</v>
      </c>
      <c r="AE70" s="294">
        <f t="shared" si="124"/>
        <v>110250.5</v>
      </c>
      <c r="AF70" s="294">
        <f t="shared" si="124"/>
        <v>110250.5</v>
      </c>
      <c r="AG70" s="294">
        <f t="shared" si="124"/>
        <v>110250.5</v>
      </c>
      <c r="AH70" s="294">
        <f t="shared" si="124"/>
        <v>110250.5</v>
      </c>
      <c r="AI70" s="294">
        <f t="shared" si="124"/>
        <v>90641</v>
      </c>
      <c r="AJ70" s="294">
        <f t="shared" si="124"/>
        <v>90641</v>
      </c>
      <c r="AK70" s="294">
        <f t="shared" si="124"/>
        <v>37496</v>
      </c>
      <c r="AL70" s="294">
        <f t="shared" si="124"/>
        <v>0</v>
      </c>
      <c r="AM70" s="294">
        <f t="shared" si="124"/>
        <v>0</v>
      </c>
      <c r="AN70" s="294">
        <f t="shared" si="124"/>
        <v>0</v>
      </c>
      <c r="AO70" s="294">
        <f t="shared" si="124"/>
        <v>0</v>
      </c>
      <c r="AP70" s="294">
        <f t="shared" si="124"/>
        <v>0</v>
      </c>
      <c r="AQ70" s="294">
        <f t="shared" si="124"/>
        <v>0</v>
      </c>
      <c r="AR70" s="294">
        <f t="shared" si="124"/>
        <v>0</v>
      </c>
      <c r="AS70" s="294">
        <f t="shared" si="124"/>
        <v>0</v>
      </c>
    </row>
    <row r="71" spans="1:45" ht="15" customHeight="1" x14ac:dyDescent="0.3">
      <c r="A71" s="1"/>
      <c r="E71" s="40"/>
      <c r="F71" s="40"/>
      <c r="G71" s="40"/>
      <c r="H71" s="40"/>
      <c r="I71" s="40"/>
      <c r="J71" s="40"/>
      <c r="K71" s="40"/>
      <c r="L71" s="40"/>
      <c r="M71" s="40"/>
      <c r="N71" s="40"/>
      <c r="O71" s="40"/>
      <c r="P71" s="40"/>
      <c r="Q71" s="40"/>
      <c r="R71" s="40"/>
      <c r="S71" s="40"/>
      <c r="T71" s="40"/>
      <c r="U71" s="40"/>
      <c r="V71" s="40"/>
      <c r="W71" s="40"/>
      <c r="X71" s="40"/>
      <c r="Y71" s="40"/>
      <c r="Z71" s="40"/>
      <c r="AA71" s="40"/>
      <c r="AB71" s="40"/>
      <c r="AC71" s="40"/>
      <c r="AD71" s="40"/>
      <c r="AE71" s="40"/>
      <c r="AF71" s="40"/>
      <c r="AG71" s="40"/>
      <c r="AH71" s="40"/>
      <c r="AI71" s="40"/>
      <c r="AJ71" s="40"/>
      <c r="AK71" s="40"/>
      <c r="AL71" s="40"/>
      <c r="AM71" s="40"/>
      <c r="AN71" s="40"/>
      <c r="AO71" s="40"/>
      <c r="AP71" s="40"/>
      <c r="AQ71" s="40"/>
      <c r="AR71" s="40"/>
      <c r="AS71" s="40"/>
    </row>
    <row r="72" spans="1:45" ht="15" customHeight="1" x14ac:dyDescent="0.3">
      <c r="A72" s="1"/>
      <c r="C72" s="113" t="s">
        <v>1043</v>
      </c>
      <c r="E72" s="40"/>
      <c r="F72" s="40"/>
      <c r="G72" s="40"/>
      <c r="H72" s="40"/>
      <c r="I72" s="40"/>
      <c r="J72" s="40"/>
      <c r="K72" s="40"/>
      <c r="L72" s="40"/>
      <c r="M72" s="40"/>
      <c r="N72" s="40"/>
      <c r="O72" s="40"/>
      <c r="P72" s="40"/>
      <c r="Q72" s="40"/>
      <c r="R72" s="40"/>
      <c r="S72" s="40"/>
      <c r="T72" s="40"/>
      <c r="U72" s="40"/>
      <c r="V72" s="40"/>
      <c r="W72" s="40"/>
      <c r="X72" s="40"/>
      <c r="Y72" s="40"/>
      <c r="Z72" s="40"/>
      <c r="AA72" s="40"/>
      <c r="AB72" s="40"/>
      <c r="AC72" s="40"/>
      <c r="AD72" s="40"/>
      <c r="AE72" s="40"/>
      <c r="AF72" s="40"/>
      <c r="AG72" s="40"/>
      <c r="AH72" s="40"/>
      <c r="AI72" s="40"/>
      <c r="AJ72" s="40"/>
      <c r="AK72" s="40"/>
      <c r="AL72" s="40"/>
      <c r="AM72" s="40"/>
      <c r="AN72" s="40"/>
      <c r="AO72" s="40"/>
      <c r="AP72" s="40"/>
      <c r="AQ72" s="40"/>
      <c r="AR72" s="40"/>
      <c r="AS72" s="40"/>
    </row>
    <row r="73" spans="1:45" ht="15" customHeight="1" x14ac:dyDescent="0.3">
      <c r="A73" s="1"/>
      <c r="E73" s="104" t="str">
        <f xml:space="preserve"> Inputs_Con!E$13</f>
        <v>Production case: FS or original</v>
      </c>
      <c r="F73" s="104" t="str">
        <f xml:space="preserve"> Inputs_Con!F$13</f>
        <v>FS</v>
      </c>
      <c r="G73" s="104" t="str">
        <f xml:space="preserve"> Inputs_Con!G$13</f>
        <v>selected</v>
      </c>
      <c r="H73" s="40"/>
      <c r="I73" s="40"/>
      <c r="J73" s="40"/>
      <c r="K73" s="40"/>
      <c r="L73" s="40"/>
      <c r="M73" s="40"/>
      <c r="N73" s="40"/>
      <c r="O73" s="40"/>
      <c r="P73" s="40"/>
      <c r="Q73" s="40"/>
      <c r="R73" s="40"/>
      <c r="S73" s="40"/>
      <c r="T73" s="40"/>
      <c r="U73" s="40"/>
      <c r="V73" s="40"/>
      <c r="W73" s="40"/>
      <c r="X73" s="40"/>
      <c r="Y73" s="40"/>
      <c r="Z73" s="40"/>
      <c r="AA73" s="40"/>
      <c r="AB73" s="40"/>
      <c r="AC73" s="40"/>
      <c r="AD73" s="40"/>
      <c r="AE73" s="40"/>
      <c r="AF73" s="40"/>
      <c r="AG73" s="40"/>
      <c r="AH73" s="40"/>
      <c r="AI73" s="40"/>
      <c r="AJ73" s="40"/>
      <c r="AK73" s="40"/>
      <c r="AL73" s="40"/>
      <c r="AM73" s="40"/>
      <c r="AN73" s="40"/>
      <c r="AO73" s="40"/>
      <c r="AP73" s="40"/>
      <c r="AQ73" s="40"/>
      <c r="AR73" s="40"/>
      <c r="AS73" s="40"/>
    </row>
    <row r="74" spans="1:45" ht="15" customHeight="1" x14ac:dyDescent="0.3">
      <c r="A74" s="1"/>
      <c r="E74" s="40" t="str">
        <f xml:space="preserve"> E$23</f>
        <v>Copper production: historic + forecast</v>
      </c>
      <c r="F74" s="40">
        <f t="shared" ref="F74:O74" si="125" xml:space="preserve"> F$23</f>
        <v>0</v>
      </c>
      <c r="G74" s="40" t="str">
        <f t="shared" si="125"/>
        <v>tonnes</v>
      </c>
      <c r="H74" s="40">
        <f t="shared" si="125"/>
        <v>0</v>
      </c>
      <c r="I74" s="40">
        <f t="shared" si="125"/>
        <v>1887633</v>
      </c>
      <c r="J74" s="40">
        <f t="shared" si="125"/>
        <v>0</v>
      </c>
      <c r="K74" s="40">
        <f t="shared" si="125"/>
        <v>0</v>
      </c>
      <c r="L74" s="40">
        <f t="shared" si="125"/>
        <v>0</v>
      </c>
      <c r="M74" s="40">
        <f t="shared" si="125"/>
        <v>0</v>
      </c>
      <c r="N74" s="40">
        <f t="shared" si="125"/>
        <v>0</v>
      </c>
      <c r="O74" s="40">
        <f t="shared" si="125"/>
        <v>0</v>
      </c>
      <c r="P74" s="40">
        <f t="shared" ref="P74:AS74" si="126" xml:space="preserve"> P$23</f>
        <v>0</v>
      </c>
      <c r="Q74" s="40">
        <f t="shared" si="126"/>
        <v>0</v>
      </c>
      <c r="R74" s="40">
        <f t="shared" si="126"/>
        <v>0</v>
      </c>
      <c r="S74" s="40">
        <f t="shared" si="126"/>
        <v>0</v>
      </c>
      <c r="T74" s="40">
        <f t="shared" si="126"/>
        <v>0</v>
      </c>
      <c r="U74" s="40">
        <f t="shared" si="126"/>
        <v>0</v>
      </c>
      <c r="V74" s="40">
        <f t="shared" si="126"/>
        <v>21940</v>
      </c>
      <c r="W74" s="40">
        <f t="shared" si="126"/>
        <v>53235</v>
      </c>
      <c r="X74" s="40">
        <f t="shared" si="126"/>
        <v>84286</v>
      </c>
      <c r="Y74" s="40">
        <f t="shared" si="126"/>
        <v>114265</v>
      </c>
      <c r="Z74" s="40">
        <f t="shared" si="126"/>
        <v>121072</v>
      </c>
      <c r="AA74" s="40">
        <f t="shared" si="126"/>
        <v>128233</v>
      </c>
      <c r="AB74" s="40">
        <f t="shared" si="126"/>
        <v>127018</v>
      </c>
      <c r="AC74" s="40">
        <f t="shared" si="126"/>
        <v>94584</v>
      </c>
      <c r="AD74" s="40">
        <f t="shared" si="126"/>
        <v>127000</v>
      </c>
      <c r="AE74" s="40">
        <f t="shared" si="126"/>
        <v>127000</v>
      </c>
      <c r="AF74" s="40">
        <f t="shared" si="126"/>
        <v>127000</v>
      </c>
      <c r="AG74" s="40">
        <f t="shared" si="126"/>
        <v>127000</v>
      </c>
      <c r="AH74" s="40">
        <f t="shared" si="126"/>
        <v>127000</v>
      </c>
      <c r="AI74" s="40">
        <f t="shared" si="126"/>
        <v>127000</v>
      </c>
      <c r="AJ74" s="40">
        <f t="shared" si="126"/>
        <v>127000</v>
      </c>
      <c r="AK74" s="40">
        <f t="shared" si="126"/>
        <v>127000</v>
      </c>
      <c r="AL74" s="40">
        <f t="shared" si="126"/>
        <v>127000</v>
      </c>
      <c r="AM74" s="40">
        <f t="shared" si="126"/>
        <v>0</v>
      </c>
      <c r="AN74" s="40">
        <f t="shared" si="126"/>
        <v>0</v>
      </c>
      <c r="AO74" s="40">
        <f t="shared" si="126"/>
        <v>0</v>
      </c>
      <c r="AP74" s="40">
        <f t="shared" si="126"/>
        <v>0</v>
      </c>
      <c r="AQ74" s="40">
        <f t="shared" si="126"/>
        <v>0</v>
      </c>
      <c r="AR74" s="40">
        <f t="shared" si="126"/>
        <v>0</v>
      </c>
      <c r="AS74" s="40">
        <f t="shared" si="126"/>
        <v>0</v>
      </c>
    </row>
    <row r="75" spans="1:45" ht="15" customHeight="1" x14ac:dyDescent="0.3">
      <c r="A75" s="1"/>
      <c r="E75" s="169" t="str">
        <f t="shared" ref="E75:O75" si="127" xml:space="preserve"> E$70</f>
        <v>Total copper production</v>
      </c>
      <c r="F75" s="169" t="str">
        <f t="shared" si="127"/>
        <v>FS</v>
      </c>
      <c r="G75" s="169" t="str">
        <f t="shared" si="127"/>
        <v>tonnes</v>
      </c>
      <c r="H75" s="169">
        <f t="shared" si="127"/>
        <v>0</v>
      </c>
      <c r="I75" s="169">
        <f t="shared" si="127"/>
        <v>1750670</v>
      </c>
      <c r="J75" s="169">
        <f t="shared" si="127"/>
        <v>0</v>
      </c>
      <c r="K75" s="169">
        <f t="shared" si="127"/>
        <v>0</v>
      </c>
      <c r="L75" s="169">
        <f t="shared" si="127"/>
        <v>0</v>
      </c>
      <c r="M75" s="169">
        <f t="shared" si="127"/>
        <v>0</v>
      </c>
      <c r="N75" s="169">
        <f t="shared" si="127"/>
        <v>0</v>
      </c>
      <c r="O75" s="169">
        <f t="shared" si="127"/>
        <v>0</v>
      </c>
      <c r="P75" s="169">
        <f t="shared" ref="P75:AS75" si="128" xml:space="preserve"> P$70</f>
        <v>0</v>
      </c>
      <c r="Q75" s="169">
        <f t="shared" si="128"/>
        <v>0</v>
      </c>
      <c r="R75" s="169">
        <f t="shared" si="128"/>
        <v>0</v>
      </c>
      <c r="S75" s="169">
        <f t="shared" si="128"/>
        <v>0</v>
      </c>
      <c r="T75" s="169">
        <f t="shared" si="128"/>
        <v>0</v>
      </c>
      <c r="U75" s="169">
        <f t="shared" si="128"/>
        <v>0</v>
      </c>
      <c r="V75" s="169">
        <f t="shared" si="128"/>
        <v>39692</v>
      </c>
      <c r="W75" s="169">
        <f t="shared" si="128"/>
        <v>111964</v>
      </c>
      <c r="X75" s="169">
        <f t="shared" si="128"/>
        <v>131252</v>
      </c>
      <c r="Y75" s="169">
        <f t="shared" si="128"/>
        <v>131248</v>
      </c>
      <c r="Z75" s="169">
        <f t="shared" si="128"/>
        <v>215795</v>
      </c>
      <c r="AA75" s="169">
        <f t="shared" si="128"/>
        <v>147094</v>
      </c>
      <c r="AB75" s="169">
        <f t="shared" si="128"/>
        <v>124084</v>
      </c>
      <c r="AC75" s="169">
        <f t="shared" si="128"/>
        <v>79510.5</v>
      </c>
      <c r="AD75" s="169">
        <f t="shared" si="128"/>
        <v>110250.5</v>
      </c>
      <c r="AE75" s="169">
        <f t="shared" si="128"/>
        <v>110250.5</v>
      </c>
      <c r="AF75" s="169">
        <f t="shared" si="128"/>
        <v>110250.5</v>
      </c>
      <c r="AG75" s="169">
        <f t="shared" si="128"/>
        <v>110250.5</v>
      </c>
      <c r="AH75" s="169">
        <f t="shared" si="128"/>
        <v>110250.5</v>
      </c>
      <c r="AI75" s="169">
        <f t="shared" si="128"/>
        <v>90641</v>
      </c>
      <c r="AJ75" s="169">
        <f t="shared" si="128"/>
        <v>90641</v>
      </c>
      <c r="AK75" s="169">
        <f t="shared" si="128"/>
        <v>37496</v>
      </c>
      <c r="AL75" s="169">
        <f t="shared" si="128"/>
        <v>0</v>
      </c>
      <c r="AM75" s="169">
        <f t="shared" si="128"/>
        <v>0</v>
      </c>
      <c r="AN75" s="169">
        <f t="shared" si="128"/>
        <v>0</v>
      </c>
      <c r="AO75" s="169">
        <f t="shared" si="128"/>
        <v>0</v>
      </c>
      <c r="AP75" s="169">
        <f t="shared" si="128"/>
        <v>0</v>
      </c>
      <c r="AQ75" s="169">
        <f t="shared" si="128"/>
        <v>0</v>
      </c>
      <c r="AR75" s="169">
        <f t="shared" si="128"/>
        <v>0</v>
      </c>
      <c r="AS75" s="169">
        <f t="shared" si="128"/>
        <v>0</v>
      </c>
    </row>
    <row r="76" spans="1:45" ht="15" customHeight="1" x14ac:dyDescent="0.3">
      <c r="A76" s="1"/>
      <c r="E76" s="169"/>
      <c r="F76" s="169"/>
      <c r="G76" s="169"/>
      <c r="H76" s="169"/>
      <c r="I76" s="169"/>
      <c r="J76" s="169"/>
      <c r="K76" s="169"/>
      <c r="L76" s="169"/>
      <c r="M76" s="169"/>
      <c r="N76" s="169"/>
      <c r="O76" s="169"/>
      <c r="P76" s="169"/>
      <c r="Q76" s="169"/>
      <c r="R76" s="169"/>
      <c r="S76" s="169"/>
      <c r="T76" s="169"/>
      <c r="U76" s="169"/>
      <c r="V76" s="169"/>
      <c r="W76" s="169"/>
      <c r="X76" s="169"/>
      <c r="Y76" s="169"/>
      <c r="Z76" s="169"/>
      <c r="AA76" s="169"/>
      <c r="AB76" s="169"/>
      <c r="AC76" s="169"/>
      <c r="AD76" s="169"/>
      <c r="AE76" s="169"/>
      <c r="AF76" s="169"/>
      <c r="AG76" s="169"/>
      <c r="AH76" s="169"/>
      <c r="AI76" s="169"/>
      <c r="AJ76" s="169"/>
      <c r="AK76" s="169"/>
      <c r="AL76" s="169"/>
      <c r="AM76" s="169"/>
      <c r="AN76" s="169"/>
      <c r="AO76" s="169"/>
      <c r="AP76" s="169"/>
      <c r="AQ76" s="169"/>
      <c r="AR76" s="169"/>
      <c r="AS76" s="169"/>
    </row>
    <row r="77" spans="1:45" ht="15" customHeight="1" x14ac:dyDescent="0.3">
      <c r="A77" s="1"/>
      <c r="E77" s="855" t="str">
        <f xml:space="preserve"> Inputs_TS!E$17</f>
        <v>Copper production sensitivity (forecast period)</v>
      </c>
      <c r="F77" s="855">
        <f xml:space="preserve"> Inputs_TS!F$17</f>
        <v>0</v>
      </c>
      <c r="G77" s="855" t="str">
        <f xml:space="preserve"> Inputs_TS!G$17</f>
        <v>%</v>
      </c>
      <c r="H77" s="855">
        <f xml:space="preserve"> Inputs_TS!H$17</f>
        <v>0</v>
      </c>
      <c r="I77" s="855">
        <f xml:space="preserve"> Inputs_TS!I$17</f>
        <v>0</v>
      </c>
      <c r="J77" s="855">
        <f xml:space="preserve"> Inputs_TS!J$17</f>
        <v>0</v>
      </c>
      <c r="K77" s="95">
        <f xml:space="preserve"> Inputs_TS!K$17</f>
        <v>1</v>
      </c>
      <c r="L77" s="95">
        <f xml:space="preserve"> Inputs_TS!L$17</f>
        <v>1</v>
      </c>
      <c r="M77" s="95">
        <f xml:space="preserve"> Inputs_TS!M$17</f>
        <v>1</v>
      </c>
      <c r="N77" s="95">
        <f xml:space="preserve"> Inputs_TS!N$17</f>
        <v>1</v>
      </c>
      <c r="O77" s="95">
        <f xml:space="preserve"> Inputs_TS!O$17</f>
        <v>1</v>
      </c>
      <c r="P77" s="95">
        <f xml:space="preserve"> Inputs_TS!P$17</f>
        <v>1</v>
      </c>
      <c r="Q77" s="95">
        <f xml:space="preserve"> Inputs_TS!Q$17</f>
        <v>1</v>
      </c>
      <c r="R77" s="95">
        <f xml:space="preserve"> Inputs_TS!R$17</f>
        <v>1</v>
      </c>
      <c r="S77" s="95">
        <f xml:space="preserve"> Inputs_TS!S$17</f>
        <v>1</v>
      </c>
      <c r="T77" s="95">
        <f xml:space="preserve"> Inputs_TS!T$17</f>
        <v>1</v>
      </c>
      <c r="U77" s="95">
        <f xml:space="preserve"> Inputs_TS!U$17</f>
        <v>1</v>
      </c>
      <c r="V77" s="95">
        <f xml:space="preserve"> Inputs_TS!V$17</f>
        <v>1</v>
      </c>
      <c r="W77" s="95">
        <f xml:space="preserve"> Inputs_TS!W$17</f>
        <v>1</v>
      </c>
      <c r="X77" s="95">
        <f xml:space="preserve"> Inputs_TS!X$17</f>
        <v>1</v>
      </c>
      <c r="Y77" s="95">
        <f xml:space="preserve"> Inputs_TS!Y$17</f>
        <v>1</v>
      </c>
      <c r="Z77" s="95">
        <f xml:space="preserve"> Inputs_TS!Z$17</f>
        <v>1</v>
      </c>
      <c r="AA77" s="95">
        <f xml:space="preserve"> Inputs_TS!AA$17</f>
        <v>1</v>
      </c>
      <c r="AB77" s="95">
        <f xml:space="preserve"> Inputs_TS!AB$17</f>
        <v>1</v>
      </c>
      <c r="AC77" s="95">
        <f xml:space="preserve"> Inputs_TS!AC$17</f>
        <v>1</v>
      </c>
      <c r="AD77" s="95">
        <f xml:space="preserve"> Inputs_TS!AD$17</f>
        <v>1</v>
      </c>
      <c r="AE77" s="95">
        <f xml:space="preserve"> Inputs_TS!AE$17</f>
        <v>1</v>
      </c>
      <c r="AF77" s="95">
        <f xml:space="preserve"> Inputs_TS!AF$17</f>
        <v>1</v>
      </c>
      <c r="AG77" s="95">
        <f xml:space="preserve"> Inputs_TS!AG$17</f>
        <v>1</v>
      </c>
      <c r="AH77" s="95">
        <f xml:space="preserve"> Inputs_TS!AH$17</f>
        <v>1</v>
      </c>
      <c r="AI77" s="95">
        <f xml:space="preserve"> Inputs_TS!AI$17</f>
        <v>1</v>
      </c>
      <c r="AJ77" s="95">
        <f xml:space="preserve"> Inputs_TS!AJ$17</f>
        <v>1</v>
      </c>
      <c r="AK77" s="95">
        <f xml:space="preserve"> Inputs_TS!AK$17</f>
        <v>1</v>
      </c>
      <c r="AL77" s="95">
        <f xml:space="preserve"> Inputs_TS!AL$17</f>
        <v>1</v>
      </c>
      <c r="AM77" s="95">
        <f xml:space="preserve"> Inputs_TS!AM$17</f>
        <v>1</v>
      </c>
      <c r="AN77" s="95">
        <f xml:space="preserve"> Inputs_TS!AN$17</f>
        <v>1</v>
      </c>
      <c r="AO77" s="95">
        <f xml:space="preserve"> Inputs_TS!AO$17</f>
        <v>1</v>
      </c>
      <c r="AP77" s="95">
        <f xml:space="preserve"> Inputs_TS!AP$17</f>
        <v>1</v>
      </c>
      <c r="AQ77" s="95">
        <f xml:space="preserve"> Inputs_TS!AQ$17</f>
        <v>1</v>
      </c>
      <c r="AR77" s="95">
        <f xml:space="preserve"> Inputs_TS!AR$17</f>
        <v>1</v>
      </c>
      <c r="AS77" s="95">
        <f xml:space="preserve"> Inputs_TS!AS$17</f>
        <v>1</v>
      </c>
    </row>
    <row r="78" spans="1:45" ht="15" customHeight="1" x14ac:dyDescent="0.3">
      <c r="A78" s="1"/>
      <c r="E78" s="169"/>
      <c r="F78" s="169"/>
      <c r="G78" s="169"/>
      <c r="H78" s="169"/>
      <c r="I78" s="169"/>
      <c r="J78" s="169"/>
      <c r="K78" s="169"/>
      <c r="L78" s="169"/>
      <c r="M78" s="169"/>
      <c r="N78" s="169"/>
      <c r="O78" s="169"/>
      <c r="P78" s="169"/>
      <c r="Q78" s="169"/>
      <c r="R78" s="169"/>
      <c r="S78" s="169"/>
      <c r="T78" s="169"/>
      <c r="U78" s="169"/>
      <c r="V78" s="169"/>
      <c r="W78" s="169"/>
      <c r="X78" s="169"/>
      <c r="Y78" s="169"/>
      <c r="Z78" s="169"/>
      <c r="AA78" s="169"/>
      <c r="AB78" s="169"/>
      <c r="AC78" s="169"/>
      <c r="AD78" s="169"/>
      <c r="AE78" s="169"/>
      <c r="AF78" s="169"/>
      <c r="AG78" s="169"/>
      <c r="AH78" s="169"/>
      <c r="AI78" s="169"/>
      <c r="AJ78" s="169"/>
      <c r="AK78" s="169"/>
      <c r="AL78" s="169"/>
      <c r="AM78" s="169"/>
      <c r="AN78" s="169"/>
      <c r="AO78" s="169"/>
      <c r="AP78" s="169"/>
      <c r="AQ78" s="169"/>
      <c r="AR78" s="169"/>
      <c r="AS78" s="169"/>
    </row>
    <row r="79" spans="1:45" ht="15" customHeight="1" x14ac:dyDescent="0.3">
      <c r="A79" s="97"/>
      <c r="B79" s="762"/>
      <c r="C79" s="763"/>
      <c r="D79" s="386"/>
      <c r="E79" s="764" t="s">
        <v>1044</v>
      </c>
      <c r="F79" s="764"/>
      <c r="G79" s="764" t="s">
        <v>579</v>
      </c>
      <c r="H79" s="764"/>
      <c r="I79" s="764">
        <f>SUM(K79:AS79)</f>
        <v>1750.6700000000008</v>
      </c>
      <c r="J79" s="764"/>
      <c r="K79" s="764">
        <f>IF($F73 = "FS", K75, K74) * 10^-3 * K77</f>
        <v>0</v>
      </c>
      <c r="L79" s="764">
        <f t="shared" ref="L79:AS79" si="129">IF($F73 = "FS", L75, L74) * 10^-3 * L77</f>
        <v>0</v>
      </c>
      <c r="M79" s="764">
        <f t="shared" si="129"/>
        <v>0</v>
      </c>
      <c r="N79" s="764">
        <f t="shared" si="129"/>
        <v>0</v>
      </c>
      <c r="O79" s="764">
        <f t="shared" si="129"/>
        <v>0</v>
      </c>
      <c r="P79" s="764">
        <f t="shared" si="129"/>
        <v>0</v>
      </c>
      <c r="Q79" s="764">
        <f t="shared" si="129"/>
        <v>0</v>
      </c>
      <c r="R79" s="764">
        <f t="shared" si="129"/>
        <v>0</v>
      </c>
      <c r="S79" s="764">
        <f t="shared" si="129"/>
        <v>0</v>
      </c>
      <c r="T79" s="764">
        <f t="shared" si="129"/>
        <v>0</v>
      </c>
      <c r="U79" s="764">
        <f t="shared" si="129"/>
        <v>0</v>
      </c>
      <c r="V79" s="764">
        <f t="shared" si="129"/>
        <v>39.692</v>
      </c>
      <c r="W79" s="764">
        <f t="shared" si="129"/>
        <v>111.964</v>
      </c>
      <c r="X79" s="764">
        <f t="shared" si="129"/>
        <v>131.25200000000001</v>
      </c>
      <c r="Y79" s="764">
        <f t="shared" si="129"/>
        <v>131.24799999999999</v>
      </c>
      <c r="Z79" s="764">
        <f t="shared" si="129"/>
        <v>215.79500000000002</v>
      </c>
      <c r="AA79" s="764">
        <f t="shared" si="129"/>
        <v>147.09399999999999</v>
      </c>
      <c r="AB79" s="764">
        <f t="shared" si="129"/>
        <v>124.084</v>
      </c>
      <c r="AC79" s="764">
        <f t="shared" si="129"/>
        <v>79.510500000000008</v>
      </c>
      <c r="AD79" s="764">
        <f t="shared" si="129"/>
        <v>110.2505</v>
      </c>
      <c r="AE79" s="764">
        <f t="shared" si="129"/>
        <v>110.2505</v>
      </c>
      <c r="AF79" s="764">
        <f t="shared" si="129"/>
        <v>110.2505</v>
      </c>
      <c r="AG79" s="764">
        <f t="shared" si="129"/>
        <v>110.2505</v>
      </c>
      <c r="AH79" s="764">
        <f t="shared" si="129"/>
        <v>110.2505</v>
      </c>
      <c r="AI79" s="764">
        <f t="shared" si="129"/>
        <v>90.641000000000005</v>
      </c>
      <c r="AJ79" s="764">
        <f t="shared" si="129"/>
        <v>90.641000000000005</v>
      </c>
      <c r="AK79" s="764">
        <f t="shared" si="129"/>
        <v>37.496000000000002</v>
      </c>
      <c r="AL79" s="764">
        <f t="shared" si="129"/>
        <v>0</v>
      </c>
      <c r="AM79" s="764">
        <f t="shared" si="129"/>
        <v>0</v>
      </c>
      <c r="AN79" s="764">
        <f t="shared" si="129"/>
        <v>0</v>
      </c>
      <c r="AO79" s="764">
        <f t="shared" si="129"/>
        <v>0</v>
      </c>
      <c r="AP79" s="764">
        <f t="shared" si="129"/>
        <v>0</v>
      </c>
      <c r="AQ79" s="764">
        <f t="shared" si="129"/>
        <v>0</v>
      </c>
      <c r="AR79" s="764">
        <f t="shared" si="129"/>
        <v>0</v>
      </c>
      <c r="AS79" s="764">
        <f t="shared" si="129"/>
        <v>0</v>
      </c>
    </row>
    <row r="80" spans="1:45" ht="15" customHeight="1" x14ac:dyDescent="0.3">
      <c r="A80" s="97"/>
      <c r="B80" s="762"/>
      <c r="C80" s="763"/>
      <c r="D80" s="386"/>
      <c r="E80" s="764"/>
      <c r="F80" s="764"/>
      <c r="G80" s="764"/>
      <c r="H80" s="764"/>
      <c r="I80" s="764"/>
      <c r="J80" s="764"/>
      <c r="K80" s="764"/>
      <c r="L80" s="764"/>
      <c r="M80" s="764"/>
      <c r="N80" s="764"/>
      <c r="O80" s="764"/>
      <c r="P80" s="764"/>
      <c r="Q80" s="764"/>
      <c r="R80" s="764"/>
      <c r="S80" s="764"/>
      <c r="T80" s="764"/>
      <c r="U80" s="764"/>
      <c r="V80" s="764"/>
      <c r="W80" s="764"/>
      <c r="X80" s="764"/>
      <c r="Y80" s="764"/>
      <c r="Z80" s="764"/>
      <c r="AA80" s="764"/>
      <c r="AB80" s="764"/>
      <c r="AC80" s="764"/>
      <c r="AD80" s="764"/>
      <c r="AE80" s="764"/>
      <c r="AF80" s="764"/>
      <c r="AG80" s="764"/>
      <c r="AH80" s="764"/>
      <c r="AI80" s="764"/>
      <c r="AJ80" s="764"/>
      <c r="AK80" s="764"/>
      <c r="AL80" s="764"/>
      <c r="AM80" s="764"/>
      <c r="AN80" s="764"/>
      <c r="AO80" s="764"/>
      <c r="AP80" s="764"/>
      <c r="AQ80" s="764"/>
      <c r="AR80" s="764"/>
      <c r="AS80" s="764"/>
    </row>
    <row r="81" spans="1:45" ht="15" customHeight="1" x14ac:dyDescent="0.3">
      <c r="A81" s="97"/>
      <c r="B81" s="762"/>
      <c r="C81" s="763"/>
      <c r="D81" s="386"/>
      <c r="E81" s="127" t="str">
        <f xml:space="preserve"> E$68</f>
        <v>Copper cathode: FS (updated)</v>
      </c>
      <c r="F81" s="127">
        <f t="shared" ref="F81:AS81" si="130" xml:space="preserve"> F$68</f>
        <v>0</v>
      </c>
      <c r="G81" s="127" t="str">
        <f t="shared" si="130"/>
        <v>tonnes</v>
      </c>
      <c r="H81" s="127">
        <f t="shared" si="130"/>
        <v>0</v>
      </c>
      <c r="I81" s="127">
        <f t="shared" si="130"/>
        <v>921640</v>
      </c>
      <c r="J81" s="127">
        <f t="shared" si="130"/>
        <v>0</v>
      </c>
      <c r="K81" s="127">
        <f t="shared" si="130"/>
        <v>0</v>
      </c>
      <c r="L81" s="127">
        <f t="shared" si="130"/>
        <v>0</v>
      </c>
      <c r="M81" s="127">
        <f t="shared" si="130"/>
        <v>0</v>
      </c>
      <c r="N81" s="127">
        <f t="shared" si="130"/>
        <v>0</v>
      </c>
      <c r="O81" s="127">
        <f t="shared" si="130"/>
        <v>0</v>
      </c>
      <c r="P81" s="127">
        <f t="shared" si="130"/>
        <v>0</v>
      </c>
      <c r="Q81" s="127">
        <f t="shared" si="130"/>
        <v>0</v>
      </c>
      <c r="R81" s="127">
        <f t="shared" si="130"/>
        <v>0</v>
      </c>
      <c r="S81" s="127">
        <f t="shared" si="130"/>
        <v>0</v>
      </c>
      <c r="T81" s="127">
        <f t="shared" si="130"/>
        <v>0</v>
      </c>
      <c r="U81" s="127">
        <f t="shared" si="130"/>
        <v>0</v>
      </c>
      <c r="V81" s="127">
        <f t="shared" si="130"/>
        <v>0</v>
      </c>
      <c r="W81" s="127">
        <f t="shared" si="130"/>
        <v>0</v>
      </c>
      <c r="X81" s="127">
        <f t="shared" si="130"/>
        <v>26145</v>
      </c>
      <c r="Y81" s="127">
        <f t="shared" si="130"/>
        <v>57390</v>
      </c>
      <c r="Z81" s="127">
        <f t="shared" si="130"/>
        <v>59899</v>
      </c>
      <c r="AA81" s="127">
        <f t="shared" si="130"/>
        <v>73852</v>
      </c>
      <c r="AB81" s="127">
        <f t="shared" si="130"/>
        <v>72921</v>
      </c>
      <c r="AC81" s="127">
        <f t="shared" si="130"/>
        <v>51914</v>
      </c>
      <c r="AD81" s="127">
        <f t="shared" si="130"/>
        <v>82654</v>
      </c>
      <c r="AE81" s="127">
        <f t="shared" si="130"/>
        <v>82654</v>
      </c>
      <c r="AF81" s="127">
        <f t="shared" si="130"/>
        <v>82654</v>
      </c>
      <c r="AG81" s="127">
        <f t="shared" si="130"/>
        <v>82654</v>
      </c>
      <c r="AH81" s="127">
        <f t="shared" si="130"/>
        <v>82654</v>
      </c>
      <c r="AI81" s="127">
        <f t="shared" si="130"/>
        <v>68878</v>
      </c>
      <c r="AJ81" s="127">
        <f t="shared" si="130"/>
        <v>68878</v>
      </c>
      <c r="AK81" s="127">
        <f t="shared" si="130"/>
        <v>28493</v>
      </c>
      <c r="AL81" s="127">
        <f t="shared" si="130"/>
        <v>0</v>
      </c>
      <c r="AM81" s="127">
        <f t="shared" si="130"/>
        <v>0</v>
      </c>
      <c r="AN81" s="127">
        <f t="shared" si="130"/>
        <v>0</v>
      </c>
      <c r="AO81" s="127">
        <f t="shared" si="130"/>
        <v>0</v>
      </c>
      <c r="AP81" s="127">
        <f t="shared" si="130"/>
        <v>0</v>
      </c>
      <c r="AQ81" s="127">
        <f t="shared" si="130"/>
        <v>0</v>
      </c>
      <c r="AR81" s="127">
        <f t="shared" si="130"/>
        <v>0</v>
      </c>
      <c r="AS81" s="127">
        <f t="shared" si="130"/>
        <v>0</v>
      </c>
    </row>
    <row r="82" spans="1:45" ht="15" customHeight="1" x14ac:dyDescent="0.3">
      <c r="A82" s="1"/>
      <c r="E82" s="362" t="str">
        <f xml:space="preserve"> COMMUS_23FS_Model!E$51</f>
        <v>Blister copper</v>
      </c>
      <c r="F82" s="362">
        <f xml:space="preserve"> COMMUS_23FS_Model!F$51</f>
        <v>0</v>
      </c>
      <c r="G82" s="362" t="str">
        <f xml:space="preserve"> COMMUS_23FS_Model!G$51</f>
        <v>tonnes</v>
      </c>
      <c r="H82" s="362">
        <f xml:space="preserve"> COMMUS_23FS_Model!H$51</f>
        <v>0</v>
      </c>
      <c r="I82" s="362">
        <f xml:space="preserve"> COMMUS_23FS_Model!I$51</f>
        <v>364525</v>
      </c>
      <c r="J82" s="362">
        <f xml:space="preserve"> COMMUS_23FS_Model!J$51</f>
        <v>0</v>
      </c>
      <c r="K82" s="362">
        <f xml:space="preserve"> COMMUS_23FS_Model!K$51</f>
        <v>0</v>
      </c>
      <c r="L82" s="362">
        <f xml:space="preserve"> COMMUS_23FS_Model!L$51</f>
        <v>0</v>
      </c>
      <c r="M82" s="362">
        <f xml:space="preserve"> COMMUS_23FS_Model!M$51</f>
        <v>0</v>
      </c>
      <c r="N82" s="362">
        <f xml:space="preserve"> COMMUS_23FS_Model!N$51</f>
        <v>0</v>
      </c>
      <c r="O82" s="362">
        <f xml:space="preserve"> COMMUS_23FS_Model!O$51</f>
        <v>0</v>
      </c>
      <c r="P82" s="362">
        <f xml:space="preserve"> COMMUS_23FS_Model!P$51</f>
        <v>0</v>
      </c>
      <c r="Q82" s="362">
        <f xml:space="preserve"> COMMUS_23FS_Model!Q$51</f>
        <v>0</v>
      </c>
      <c r="R82" s="362">
        <f xml:space="preserve"> COMMUS_23FS_Model!R$51</f>
        <v>0</v>
      </c>
      <c r="S82" s="362">
        <f xml:space="preserve"> COMMUS_23FS_Model!S$51</f>
        <v>0</v>
      </c>
      <c r="T82" s="362">
        <f xml:space="preserve"> COMMUS_23FS_Model!T$51</f>
        <v>0</v>
      </c>
      <c r="U82" s="362">
        <f xml:space="preserve"> COMMUS_23FS_Model!U$51</f>
        <v>0</v>
      </c>
      <c r="V82" s="362">
        <f xml:space="preserve"> COMMUS_23FS_Model!V$51</f>
        <v>11808</v>
      </c>
      <c r="W82" s="362">
        <f xml:space="preserve"> COMMUS_23FS_Model!W$51</f>
        <v>29048</v>
      </c>
      <c r="X82" s="362">
        <f xml:space="preserve"> COMMUS_23FS_Model!X$51</f>
        <v>34233</v>
      </c>
      <c r="Y82" s="362">
        <f xml:space="preserve"> COMMUS_23FS_Model!Y$51</f>
        <v>32411</v>
      </c>
      <c r="Z82" s="362">
        <f xml:space="preserve"> COMMUS_23FS_Model!Z$51</f>
        <v>24924</v>
      </c>
      <c r="AA82" s="362">
        <f xml:space="preserve"> COMMUS_23FS_Model!AA$51</f>
        <v>22433</v>
      </c>
      <c r="AB82" s="362">
        <f xml:space="preserve"> COMMUS_23FS_Model!AB$51</f>
        <v>21362</v>
      </c>
      <c r="AC82" s="362">
        <f xml:space="preserve"> COMMUS_23FS_Model!AC$51</f>
        <v>23504.833333333332</v>
      </c>
      <c r="AD82" s="362">
        <f xml:space="preserve"> COMMUS_23FS_Model!AD$51</f>
        <v>23504.833333333332</v>
      </c>
      <c r="AE82" s="362">
        <f xml:space="preserve"> COMMUS_23FS_Model!AE$51</f>
        <v>23504.833333333332</v>
      </c>
      <c r="AF82" s="362">
        <f xml:space="preserve"> COMMUS_23FS_Model!AF$51</f>
        <v>23504.833333333332</v>
      </c>
      <c r="AG82" s="362">
        <f xml:space="preserve"> COMMUS_23FS_Model!AG$51</f>
        <v>23504.833333333332</v>
      </c>
      <c r="AH82" s="362">
        <f xml:space="preserve"> COMMUS_23FS_Model!AH$51</f>
        <v>23504.833333333332</v>
      </c>
      <c r="AI82" s="362">
        <f xml:space="preserve"> COMMUS_23FS_Model!AI$51</f>
        <v>19587</v>
      </c>
      <c r="AJ82" s="362">
        <f xml:space="preserve"> COMMUS_23FS_Model!AJ$51</f>
        <v>19587</v>
      </c>
      <c r="AK82" s="362">
        <f xml:space="preserve"> COMMUS_23FS_Model!AK$51</f>
        <v>8103</v>
      </c>
      <c r="AL82" s="362">
        <f xml:space="preserve"> COMMUS_23FS_Model!AL$51</f>
        <v>0</v>
      </c>
      <c r="AM82" s="362">
        <f xml:space="preserve"> COMMUS_23FS_Model!AM$51</f>
        <v>0</v>
      </c>
      <c r="AN82" s="362">
        <f xml:space="preserve"> COMMUS_23FS_Model!AN$51</f>
        <v>0</v>
      </c>
      <c r="AO82" s="362">
        <f xml:space="preserve"> COMMUS_23FS_Model!AO$51</f>
        <v>0</v>
      </c>
      <c r="AP82" s="362">
        <f xml:space="preserve"> COMMUS_23FS_Model!AP$51</f>
        <v>0</v>
      </c>
      <c r="AQ82" s="362">
        <f xml:space="preserve"> COMMUS_23FS_Model!AQ$51</f>
        <v>0</v>
      </c>
      <c r="AR82" s="362">
        <f xml:space="preserve"> COMMUS_23FS_Model!AR$51</f>
        <v>0</v>
      </c>
      <c r="AS82" s="362">
        <f xml:space="preserve"> COMMUS_23FS_Model!AS$51</f>
        <v>0</v>
      </c>
    </row>
    <row r="83" spans="1:45" ht="15" customHeight="1" x14ac:dyDescent="0.3">
      <c r="A83" s="1"/>
      <c r="E83" s="362" t="str">
        <f xml:space="preserve"> COMMUS_23FS_Model!E$52</f>
        <v>Copper matt</v>
      </c>
      <c r="F83" s="362">
        <f xml:space="preserve"> COMMUS_23FS_Model!F$52</f>
        <v>0</v>
      </c>
      <c r="G83" s="362" t="str">
        <f xml:space="preserve"> COMMUS_23FS_Model!G$52</f>
        <v>tonnes</v>
      </c>
      <c r="H83" s="362">
        <f xml:space="preserve"> COMMUS_23FS_Model!H$52</f>
        <v>0</v>
      </c>
      <c r="I83" s="362">
        <f xml:space="preserve"> COMMUS_23FS_Model!I$52</f>
        <v>40880</v>
      </c>
      <c r="J83" s="362">
        <f xml:space="preserve"> COMMUS_23FS_Model!J$52</f>
        <v>0</v>
      </c>
      <c r="K83" s="362">
        <f xml:space="preserve"> COMMUS_23FS_Model!K$52</f>
        <v>0</v>
      </c>
      <c r="L83" s="362">
        <f xml:space="preserve"> COMMUS_23FS_Model!L$52</f>
        <v>0</v>
      </c>
      <c r="M83" s="362">
        <f xml:space="preserve"> COMMUS_23FS_Model!M$52</f>
        <v>0</v>
      </c>
      <c r="N83" s="362">
        <f xml:space="preserve"> COMMUS_23FS_Model!N$52</f>
        <v>0</v>
      </c>
      <c r="O83" s="362">
        <f xml:space="preserve"> COMMUS_23FS_Model!O$52</f>
        <v>0</v>
      </c>
      <c r="P83" s="362">
        <f xml:space="preserve"> COMMUS_23FS_Model!P$52</f>
        <v>0</v>
      </c>
      <c r="Q83" s="362">
        <f xml:space="preserve"> COMMUS_23FS_Model!Q$52</f>
        <v>0</v>
      </c>
      <c r="R83" s="362">
        <f xml:space="preserve"> COMMUS_23FS_Model!R$52</f>
        <v>0</v>
      </c>
      <c r="S83" s="362">
        <f xml:space="preserve"> COMMUS_23FS_Model!S$52</f>
        <v>0</v>
      </c>
      <c r="T83" s="362">
        <f xml:space="preserve"> COMMUS_23FS_Model!T$52</f>
        <v>0</v>
      </c>
      <c r="U83" s="362">
        <f xml:space="preserve"> COMMUS_23FS_Model!U$52</f>
        <v>0</v>
      </c>
      <c r="V83" s="362">
        <f xml:space="preserve"> COMMUS_23FS_Model!V$52</f>
        <v>735</v>
      </c>
      <c r="W83" s="362">
        <f xml:space="preserve"> COMMUS_23FS_Model!W$52</f>
        <v>4026</v>
      </c>
      <c r="X83" s="362">
        <f xml:space="preserve"> COMMUS_23FS_Model!X$52</f>
        <v>3910</v>
      </c>
      <c r="Y83" s="362">
        <f xml:space="preserve"> COMMUS_23FS_Model!Y$52</f>
        <v>3656</v>
      </c>
      <c r="Z83" s="362">
        <f xml:space="preserve"> COMMUS_23FS_Model!Z$52</f>
        <v>1848</v>
      </c>
      <c r="AA83" s="362">
        <f xml:space="preserve"> COMMUS_23FS_Model!AA$52</f>
        <v>2275</v>
      </c>
      <c r="AB83" s="362">
        <f xml:space="preserve"> COMMUS_23FS_Model!AB$52</f>
        <v>3507</v>
      </c>
      <c r="AC83" s="362">
        <f xml:space="preserve"> COMMUS_23FS_Model!AC$52</f>
        <v>2611.8333333333335</v>
      </c>
      <c r="AD83" s="362">
        <f xml:space="preserve"> COMMUS_23FS_Model!AD$52</f>
        <v>2611.8333333333335</v>
      </c>
      <c r="AE83" s="362">
        <f xml:space="preserve"> COMMUS_23FS_Model!AE$52</f>
        <v>2611.8333333333335</v>
      </c>
      <c r="AF83" s="362">
        <f xml:space="preserve"> COMMUS_23FS_Model!AF$52</f>
        <v>2611.8333333333335</v>
      </c>
      <c r="AG83" s="362">
        <f xml:space="preserve"> COMMUS_23FS_Model!AG$52</f>
        <v>2611.8333333333335</v>
      </c>
      <c r="AH83" s="362">
        <f xml:space="preserve"> COMMUS_23FS_Model!AH$52</f>
        <v>2611.8333333333335</v>
      </c>
      <c r="AI83" s="362">
        <f xml:space="preserve"> COMMUS_23FS_Model!AI$52</f>
        <v>2176</v>
      </c>
      <c r="AJ83" s="362">
        <f xml:space="preserve"> COMMUS_23FS_Model!AJ$52</f>
        <v>2176</v>
      </c>
      <c r="AK83" s="362">
        <f xml:space="preserve"> COMMUS_23FS_Model!AK$52</f>
        <v>900</v>
      </c>
      <c r="AL83" s="362">
        <f xml:space="preserve"> COMMUS_23FS_Model!AL$52</f>
        <v>0</v>
      </c>
      <c r="AM83" s="362">
        <f xml:space="preserve"> COMMUS_23FS_Model!AM$52</f>
        <v>0</v>
      </c>
      <c r="AN83" s="362">
        <f xml:space="preserve"> COMMUS_23FS_Model!AN$52</f>
        <v>0</v>
      </c>
      <c r="AO83" s="362">
        <f xml:space="preserve"> COMMUS_23FS_Model!AO$52</f>
        <v>0</v>
      </c>
      <c r="AP83" s="362">
        <f xml:space="preserve"> COMMUS_23FS_Model!AP$52</f>
        <v>0</v>
      </c>
      <c r="AQ83" s="362">
        <f xml:space="preserve"> COMMUS_23FS_Model!AQ$52</f>
        <v>0</v>
      </c>
      <c r="AR83" s="362">
        <f xml:space="preserve"> COMMUS_23FS_Model!AR$52</f>
        <v>0</v>
      </c>
      <c r="AS83" s="362">
        <f xml:space="preserve"> COMMUS_23FS_Model!AS$52</f>
        <v>0</v>
      </c>
    </row>
    <row r="84" spans="1:45" ht="15" customHeight="1" x14ac:dyDescent="0.3">
      <c r="A84" s="1"/>
      <c r="E84" s="362" t="str">
        <f xml:space="preserve"> COMMUS_23FS_Model!E$53</f>
        <v>Copper sulfide concentrates</v>
      </c>
      <c r="F84" s="362">
        <f xml:space="preserve"> COMMUS_23FS_Model!F$53</f>
        <v>0</v>
      </c>
      <c r="G84" s="362" t="str">
        <f xml:space="preserve"> COMMUS_23FS_Model!G$53</f>
        <v>tonnes</v>
      </c>
      <c r="H84" s="362">
        <f xml:space="preserve"> COMMUS_23FS_Model!H$53</f>
        <v>0</v>
      </c>
      <c r="I84" s="362">
        <f xml:space="preserve"> COMMUS_23FS_Model!I$53</f>
        <v>372689</v>
      </c>
      <c r="J84" s="362">
        <f xml:space="preserve"> COMMUS_23FS_Model!J$53</f>
        <v>0</v>
      </c>
      <c r="K84" s="362">
        <f xml:space="preserve"> COMMUS_23FS_Model!K$53</f>
        <v>0</v>
      </c>
      <c r="L84" s="362">
        <f xml:space="preserve"> COMMUS_23FS_Model!L$53</f>
        <v>0</v>
      </c>
      <c r="M84" s="362">
        <f xml:space="preserve"> COMMUS_23FS_Model!M$53</f>
        <v>0</v>
      </c>
      <c r="N84" s="362">
        <f xml:space="preserve"> COMMUS_23FS_Model!N$53</f>
        <v>0</v>
      </c>
      <c r="O84" s="362">
        <f xml:space="preserve"> COMMUS_23FS_Model!O$53</f>
        <v>0</v>
      </c>
      <c r="P84" s="362">
        <f xml:space="preserve"> COMMUS_23FS_Model!P$53</f>
        <v>0</v>
      </c>
      <c r="Q84" s="362">
        <f xml:space="preserve"> COMMUS_23FS_Model!Q$53</f>
        <v>0</v>
      </c>
      <c r="R84" s="362">
        <f xml:space="preserve"> COMMUS_23FS_Model!R$53</f>
        <v>0</v>
      </c>
      <c r="S84" s="362">
        <f xml:space="preserve"> COMMUS_23FS_Model!S$53</f>
        <v>0</v>
      </c>
      <c r="T84" s="362">
        <f xml:space="preserve"> COMMUS_23FS_Model!T$53</f>
        <v>0</v>
      </c>
      <c r="U84" s="362">
        <f xml:space="preserve"> COMMUS_23FS_Model!U$53</f>
        <v>0</v>
      </c>
      <c r="V84" s="362">
        <f xml:space="preserve"> COMMUS_23FS_Model!V$53</f>
        <v>22146</v>
      </c>
      <c r="W84" s="362">
        <f xml:space="preserve"> COMMUS_23FS_Model!W$53</f>
        <v>71511</v>
      </c>
      <c r="X84" s="362">
        <f xml:space="preserve"> COMMUS_23FS_Model!X$53</f>
        <v>61170</v>
      </c>
      <c r="Y84" s="362">
        <f xml:space="preserve"> COMMUS_23FS_Model!Y$53</f>
        <v>36712</v>
      </c>
      <c r="Z84" s="362">
        <f xml:space="preserve"> COMMUS_23FS_Model!Z$53</f>
        <v>116222</v>
      </c>
      <c r="AA84" s="362">
        <f xml:space="preserve"> COMMUS_23FS_Model!AA$53</f>
        <v>40314</v>
      </c>
      <c r="AB84" s="362">
        <f xml:space="preserve"> COMMUS_23FS_Model!AB$53</f>
        <v>24614</v>
      </c>
      <c r="AC84" s="362">
        <f xml:space="preserve"> COMMUS_23FS_Model!AC$53</f>
        <v>0</v>
      </c>
      <c r="AD84" s="362">
        <f xml:space="preserve"> COMMUS_23FS_Model!AD$53</f>
        <v>0</v>
      </c>
      <c r="AE84" s="362">
        <f xml:space="preserve"> COMMUS_23FS_Model!AE$53</f>
        <v>0</v>
      </c>
      <c r="AF84" s="362">
        <f xml:space="preserve"> COMMUS_23FS_Model!AF$53</f>
        <v>0</v>
      </c>
      <c r="AG84" s="362">
        <f xml:space="preserve"> COMMUS_23FS_Model!AG$53</f>
        <v>0</v>
      </c>
      <c r="AH84" s="362">
        <f xml:space="preserve"> COMMUS_23FS_Model!AH$53</f>
        <v>0</v>
      </c>
      <c r="AI84" s="362">
        <f xml:space="preserve"> COMMUS_23FS_Model!AI$53</f>
        <v>0</v>
      </c>
      <c r="AJ84" s="362">
        <f xml:space="preserve"> COMMUS_23FS_Model!AJ$53</f>
        <v>0</v>
      </c>
      <c r="AK84" s="362">
        <f xml:space="preserve"> COMMUS_23FS_Model!AK$53</f>
        <v>0</v>
      </c>
      <c r="AL84" s="362">
        <f xml:space="preserve"> COMMUS_23FS_Model!AL$53</f>
        <v>0</v>
      </c>
      <c r="AM84" s="362">
        <f xml:space="preserve"> COMMUS_23FS_Model!AM$53</f>
        <v>0</v>
      </c>
      <c r="AN84" s="362">
        <f xml:space="preserve"> COMMUS_23FS_Model!AN$53</f>
        <v>0</v>
      </c>
      <c r="AO84" s="362">
        <f xml:space="preserve"> COMMUS_23FS_Model!AO$53</f>
        <v>0</v>
      </c>
      <c r="AP84" s="362">
        <f xml:space="preserve"> COMMUS_23FS_Model!AP$53</f>
        <v>0</v>
      </c>
      <c r="AQ84" s="362">
        <f xml:space="preserve"> COMMUS_23FS_Model!AQ$53</f>
        <v>0</v>
      </c>
      <c r="AR84" s="362">
        <f xml:space="preserve"> COMMUS_23FS_Model!AR$53</f>
        <v>0</v>
      </c>
      <c r="AS84" s="362">
        <f xml:space="preserve"> COMMUS_23FS_Model!AS$53</f>
        <v>0</v>
      </c>
    </row>
    <row r="85" spans="1:45" ht="15" customHeight="1" x14ac:dyDescent="0.3">
      <c r="A85" s="1"/>
      <c r="E85" s="362" t="str">
        <f xml:space="preserve"> COMMUS_23FS_Model!E$54</f>
        <v>Copper oxide concentrates</v>
      </c>
      <c r="F85" s="362">
        <f xml:space="preserve"> COMMUS_23FS_Model!F$54</f>
        <v>0</v>
      </c>
      <c r="G85" s="362" t="str">
        <f xml:space="preserve"> COMMUS_23FS_Model!G$54</f>
        <v>tonnes</v>
      </c>
      <c r="H85" s="362">
        <f xml:space="preserve"> COMMUS_23FS_Model!H$54</f>
        <v>0</v>
      </c>
      <c r="I85" s="362">
        <f xml:space="preserve"> COMMUS_23FS_Model!I$54</f>
        <v>50936.000000000015</v>
      </c>
      <c r="J85" s="362">
        <f xml:space="preserve"> COMMUS_23FS_Model!J$54</f>
        <v>0</v>
      </c>
      <c r="K85" s="362">
        <f xml:space="preserve"> COMMUS_23FS_Model!K$54</f>
        <v>0</v>
      </c>
      <c r="L85" s="362">
        <f xml:space="preserve"> COMMUS_23FS_Model!L$54</f>
        <v>0</v>
      </c>
      <c r="M85" s="362">
        <f xml:space="preserve"> COMMUS_23FS_Model!M$54</f>
        <v>0</v>
      </c>
      <c r="N85" s="362">
        <f xml:space="preserve"> COMMUS_23FS_Model!N$54</f>
        <v>0</v>
      </c>
      <c r="O85" s="362">
        <f xml:space="preserve"> COMMUS_23FS_Model!O$54</f>
        <v>0</v>
      </c>
      <c r="P85" s="362">
        <f xml:space="preserve"> COMMUS_23FS_Model!P$54</f>
        <v>0</v>
      </c>
      <c r="Q85" s="362">
        <f xml:space="preserve"> COMMUS_23FS_Model!Q$54</f>
        <v>0</v>
      </c>
      <c r="R85" s="362">
        <f xml:space="preserve"> COMMUS_23FS_Model!R$54</f>
        <v>0</v>
      </c>
      <c r="S85" s="362">
        <f xml:space="preserve"> COMMUS_23FS_Model!S$54</f>
        <v>0</v>
      </c>
      <c r="T85" s="362">
        <f xml:space="preserve"> COMMUS_23FS_Model!T$54</f>
        <v>0</v>
      </c>
      <c r="U85" s="362">
        <f xml:space="preserve"> COMMUS_23FS_Model!U$54</f>
        <v>0</v>
      </c>
      <c r="V85" s="362">
        <f xml:space="preserve"> COMMUS_23FS_Model!V$54</f>
        <v>5003</v>
      </c>
      <c r="W85" s="362">
        <f xml:space="preserve"> COMMUS_23FS_Model!W$54</f>
        <v>7379</v>
      </c>
      <c r="X85" s="362">
        <f xml:space="preserve"> COMMUS_23FS_Model!X$54</f>
        <v>5794</v>
      </c>
      <c r="Y85" s="362">
        <f xml:space="preserve"> COMMUS_23FS_Model!Y$54</f>
        <v>1079</v>
      </c>
      <c r="Z85" s="362">
        <f xml:space="preserve"> COMMUS_23FS_Model!Z$54</f>
        <v>12902</v>
      </c>
      <c r="AA85" s="362">
        <f xml:space="preserve"> COMMUS_23FS_Model!AA$54</f>
        <v>8220</v>
      </c>
      <c r="AB85" s="362">
        <f xml:space="preserve"> COMMUS_23FS_Model!AB$54</f>
        <v>1680</v>
      </c>
      <c r="AC85" s="362">
        <f xml:space="preserve"> COMMUS_23FS_Model!AC$54</f>
        <v>1479.8333333333333</v>
      </c>
      <c r="AD85" s="362">
        <f xml:space="preserve"> COMMUS_23FS_Model!AD$54</f>
        <v>1479.8333333333333</v>
      </c>
      <c r="AE85" s="362">
        <f xml:space="preserve"> COMMUS_23FS_Model!AE$54</f>
        <v>1479.8333333333333</v>
      </c>
      <c r="AF85" s="362">
        <f xml:space="preserve"> COMMUS_23FS_Model!AF$54</f>
        <v>1479.8333333333333</v>
      </c>
      <c r="AG85" s="362">
        <f xml:space="preserve"> COMMUS_23FS_Model!AG$54</f>
        <v>1479.8333333333333</v>
      </c>
      <c r="AH85" s="362">
        <f xml:space="preserve"> COMMUS_23FS_Model!AH$54</f>
        <v>1479.8333333333333</v>
      </c>
      <c r="AI85" s="362">
        <f xml:space="preserve"> COMMUS_23FS_Model!AI$54</f>
        <v>0</v>
      </c>
      <c r="AJ85" s="362">
        <f xml:space="preserve"> COMMUS_23FS_Model!AJ$54</f>
        <v>0</v>
      </c>
      <c r="AK85" s="362">
        <f xml:space="preserve"> COMMUS_23FS_Model!AK$54</f>
        <v>0</v>
      </c>
      <c r="AL85" s="362">
        <f xml:space="preserve"> COMMUS_23FS_Model!AL$54</f>
        <v>0</v>
      </c>
      <c r="AM85" s="362">
        <f xml:space="preserve"> COMMUS_23FS_Model!AM$54</f>
        <v>0</v>
      </c>
      <c r="AN85" s="362">
        <f xml:space="preserve"> COMMUS_23FS_Model!AN$54</f>
        <v>0</v>
      </c>
      <c r="AO85" s="362">
        <f xml:space="preserve"> COMMUS_23FS_Model!AO$54</f>
        <v>0</v>
      </c>
      <c r="AP85" s="362">
        <f xml:space="preserve"> COMMUS_23FS_Model!AP$54</f>
        <v>0</v>
      </c>
      <c r="AQ85" s="362">
        <f xml:space="preserve"> COMMUS_23FS_Model!AQ$54</f>
        <v>0</v>
      </c>
      <c r="AR85" s="362">
        <f xml:space="preserve"> COMMUS_23FS_Model!AR$54</f>
        <v>0</v>
      </c>
      <c r="AS85" s="362">
        <f xml:space="preserve"> COMMUS_23FS_Model!AS$54</f>
        <v>0</v>
      </c>
    </row>
    <row r="86" spans="1:45" ht="15" customHeight="1" x14ac:dyDescent="0.3">
      <c r="A86" s="97"/>
      <c r="B86" s="762"/>
      <c r="C86" s="763"/>
      <c r="D86" s="386"/>
      <c r="E86" s="764"/>
      <c r="F86" s="764"/>
      <c r="G86" s="764"/>
      <c r="H86" s="764"/>
      <c r="I86" s="764"/>
      <c r="J86" s="764"/>
      <c r="K86" s="764"/>
      <c r="L86" s="764"/>
      <c r="M86" s="764"/>
      <c r="N86" s="764"/>
      <c r="O86" s="764"/>
      <c r="P86" s="764"/>
      <c r="Q86" s="764"/>
      <c r="R86" s="764"/>
      <c r="S86" s="764"/>
      <c r="T86" s="764"/>
      <c r="U86" s="764"/>
      <c r="V86" s="764"/>
      <c r="W86" s="764"/>
      <c r="X86" s="764"/>
      <c r="Y86" s="764"/>
      <c r="Z86" s="764"/>
      <c r="AA86" s="764"/>
      <c r="AB86" s="764"/>
      <c r="AC86" s="764"/>
      <c r="AD86" s="764"/>
      <c r="AE86" s="764"/>
      <c r="AF86" s="764"/>
      <c r="AG86" s="764"/>
      <c r="AH86" s="764"/>
      <c r="AI86" s="764"/>
      <c r="AJ86" s="764"/>
      <c r="AK86" s="764"/>
      <c r="AL86" s="764"/>
      <c r="AM86" s="764"/>
      <c r="AN86" s="764"/>
      <c r="AO86" s="764"/>
      <c r="AP86" s="764"/>
      <c r="AQ86" s="764"/>
      <c r="AR86" s="764"/>
      <c r="AS86" s="764"/>
    </row>
    <row r="87" spans="1:45" ht="15" customHeight="1" x14ac:dyDescent="0.3">
      <c r="A87" s="197"/>
      <c r="B87" s="524"/>
      <c r="C87" s="525"/>
      <c r="D87" s="243"/>
      <c r="E87" s="323" t="s">
        <v>1046</v>
      </c>
      <c r="F87" s="323" t="s">
        <v>552</v>
      </c>
      <c r="G87" s="323" t="s">
        <v>579</v>
      </c>
      <c r="H87" s="323"/>
      <c r="I87" s="323">
        <f>SUM(K87:AS87)</f>
        <v>921.6400000000001</v>
      </c>
      <c r="J87" s="323"/>
      <c r="K87" s="323">
        <f t="shared" ref="K87:AS87" si="131">IF($F$73 = "FS", K81, 0) * 10^-3 * K$77</f>
        <v>0</v>
      </c>
      <c r="L87" s="323">
        <f t="shared" si="131"/>
        <v>0</v>
      </c>
      <c r="M87" s="323">
        <f t="shared" si="131"/>
        <v>0</v>
      </c>
      <c r="N87" s="323">
        <f t="shared" si="131"/>
        <v>0</v>
      </c>
      <c r="O87" s="323">
        <f t="shared" si="131"/>
        <v>0</v>
      </c>
      <c r="P87" s="323">
        <f t="shared" si="131"/>
        <v>0</v>
      </c>
      <c r="Q87" s="323">
        <f t="shared" si="131"/>
        <v>0</v>
      </c>
      <c r="R87" s="323">
        <f t="shared" si="131"/>
        <v>0</v>
      </c>
      <c r="S87" s="323">
        <f t="shared" si="131"/>
        <v>0</v>
      </c>
      <c r="T87" s="323">
        <f t="shared" si="131"/>
        <v>0</v>
      </c>
      <c r="U87" s="323">
        <f t="shared" si="131"/>
        <v>0</v>
      </c>
      <c r="V87" s="323">
        <f t="shared" si="131"/>
        <v>0</v>
      </c>
      <c r="W87" s="323">
        <f t="shared" si="131"/>
        <v>0</v>
      </c>
      <c r="X87" s="323">
        <f t="shared" si="131"/>
        <v>26.145</v>
      </c>
      <c r="Y87" s="323">
        <f t="shared" si="131"/>
        <v>57.39</v>
      </c>
      <c r="Z87" s="323">
        <f t="shared" si="131"/>
        <v>59.899000000000001</v>
      </c>
      <c r="AA87" s="323">
        <f t="shared" si="131"/>
        <v>73.852000000000004</v>
      </c>
      <c r="AB87" s="323">
        <f t="shared" si="131"/>
        <v>72.921000000000006</v>
      </c>
      <c r="AC87" s="323">
        <f t="shared" si="131"/>
        <v>51.914000000000001</v>
      </c>
      <c r="AD87" s="323">
        <f t="shared" si="131"/>
        <v>82.653999999999996</v>
      </c>
      <c r="AE87" s="323">
        <f t="shared" si="131"/>
        <v>82.653999999999996</v>
      </c>
      <c r="AF87" s="323">
        <f t="shared" si="131"/>
        <v>82.653999999999996</v>
      </c>
      <c r="AG87" s="323">
        <f t="shared" si="131"/>
        <v>82.653999999999996</v>
      </c>
      <c r="AH87" s="323">
        <f t="shared" si="131"/>
        <v>82.653999999999996</v>
      </c>
      <c r="AI87" s="323">
        <f t="shared" si="131"/>
        <v>68.878</v>
      </c>
      <c r="AJ87" s="323">
        <f t="shared" si="131"/>
        <v>68.878</v>
      </c>
      <c r="AK87" s="323">
        <f t="shared" si="131"/>
        <v>28.493000000000002</v>
      </c>
      <c r="AL87" s="323">
        <f t="shared" si="131"/>
        <v>0</v>
      </c>
      <c r="AM87" s="323">
        <f t="shared" si="131"/>
        <v>0</v>
      </c>
      <c r="AN87" s="323">
        <f t="shared" si="131"/>
        <v>0</v>
      </c>
      <c r="AO87" s="323">
        <f t="shared" si="131"/>
        <v>0</v>
      </c>
      <c r="AP87" s="323">
        <f t="shared" si="131"/>
        <v>0</v>
      </c>
      <c r="AQ87" s="323">
        <f t="shared" si="131"/>
        <v>0</v>
      </c>
      <c r="AR87" s="323">
        <f t="shared" si="131"/>
        <v>0</v>
      </c>
      <c r="AS87" s="323">
        <f t="shared" si="131"/>
        <v>0</v>
      </c>
    </row>
    <row r="88" spans="1:45" ht="15" customHeight="1" x14ac:dyDescent="0.3">
      <c r="A88" s="197"/>
      <c r="B88" s="524"/>
      <c r="C88" s="525"/>
      <c r="D88" s="243"/>
      <c r="E88" s="323" t="s">
        <v>1047</v>
      </c>
      <c r="F88" s="323" t="s">
        <v>552</v>
      </c>
      <c r="G88" s="323" t="s">
        <v>579</v>
      </c>
      <c r="H88" s="323"/>
      <c r="I88" s="323">
        <f t="shared" ref="I88:I91" si="132">SUM(K88:AS88)</f>
        <v>364.52499999999998</v>
      </c>
      <c r="J88" s="323"/>
      <c r="K88" s="323">
        <f t="shared" ref="K88:AS88" si="133">IF($F$73 = "FS", K82, 0) * 10^-3 * K$77</f>
        <v>0</v>
      </c>
      <c r="L88" s="323">
        <f t="shared" si="133"/>
        <v>0</v>
      </c>
      <c r="M88" s="323">
        <f t="shared" si="133"/>
        <v>0</v>
      </c>
      <c r="N88" s="323">
        <f t="shared" si="133"/>
        <v>0</v>
      </c>
      <c r="O88" s="323">
        <f t="shared" si="133"/>
        <v>0</v>
      </c>
      <c r="P88" s="323">
        <f t="shared" si="133"/>
        <v>0</v>
      </c>
      <c r="Q88" s="323">
        <f t="shared" si="133"/>
        <v>0</v>
      </c>
      <c r="R88" s="323">
        <f t="shared" si="133"/>
        <v>0</v>
      </c>
      <c r="S88" s="323">
        <f t="shared" si="133"/>
        <v>0</v>
      </c>
      <c r="T88" s="323">
        <f t="shared" si="133"/>
        <v>0</v>
      </c>
      <c r="U88" s="323">
        <f t="shared" si="133"/>
        <v>0</v>
      </c>
      <c r="V88" s="323">
        <f t="shared" si="133"/>
        <v>11.808</v>
      </c>
      <c r="W88" s="323">
        <f t="shared" si="133"/>
        <v>29.048000000000002</v>
      </c>
      <c r="X88" s="323">
        <f t="shared" si="133"/>
        <v>34.233000000000004</v>
      </c>
      <c r="Y88" s="323">
        <f t="shared" si="133"/>
        <v>32.411000000000001</v>
      </c>
      <c r="Z88" s="323">
        <f t="shared" si="133"/>
        <v>24.923999999999999</v>
      </c>
      <c r="AA88" s="323">
        <f t="shared" si="133"/>
        <v>22.433</v>
      </c>
      <c r="AB88" s="323">
        <f t="shared" si="133"/>
        <v>21.362000000000002</v>
      </c>
      <c r="AC88" s="323">
        <f t="shared" si="133"/>
        <v>23.504833333333334</v>
      </c>
      <c r="AD88" s="323">
        <f t="shared" si="133"/>
        <v>23.504833333333334</v>
      </c>
      <c r="AE88" s="323">
        <f t="shared" si="133"/>
        <v>23.504833333333334</v>
      </c>
      <c r="AF88" s="323">
        <f t="shared" si="133"/>
        <v>23.504833333333334</v>
      </c>
      <c r="AG88" s="323">
        <f t="shared" si="133"/>
        <v>23.504833333333334</v>
      </c>
      <c r="AH88" s="323">
        <f t="shared" si="133"/>
        <v>23.504833333333334</v>
      </c>
      <c r="AI88" s="323">
        <f t="shared" si="133"/>
        <v>19.587</v>
      </c>
      <c r="AJ88" s="323">
        <f t="shared" si="133"/>
        <v>19.587</v>
      </c>
      <c r="AK88" s="323">
        <f t="shared" si="133"/>
        <v>8.1029999999999998</v>
      </c>
      <c r="AL88" s="323">
        <f t="shared" si="133"/>
        <v>0</v>
      </c>
      <c r="AM88" s="323">
        <f t="shared" si="133"/>
        <v>0</v>
      </c>
      <c r="AN88" s="323">
        <f t="shared" si="133"/>
        <v>0</v>
      </c>
      <c r="AO88" s="323">
        <f t="shared" si="133"/>
        <v>0</v>
      </c>
      <c r="AP88" s="323">
        <f t="shared" si="133"/>
        <v>0</v>
      </c>
      <c r="AQ88" s="323">
        <f t="shared" si="133"/>
        <v>0</v>
      </c>
      <c r="AR88" s="323">
        <f t="shared" si="133"/>
        <v>0</v>
      </c>
      <c r="AS88" s="323">
        <f t="shared" si="133"/>
        <v>0</v>
      </c>
    </row>
    <row r="89" spans="1:45" ht="15" customHeight="1" x14ac:dyDescent="0.3">
      <c r="A89" s="197"/>
      <c r="B89" s="524"/>
      <c r="C89" s="525"/>
      <c r="D89" s="243"/>
      <c r="E89" s="323" t="s">
        <v>1048</v>
      </c>
      <c r="F89" s="323" t="s">
        <v>552</v>
      </c>
      <c r="G89" s="323" t="s">
        <v>579</v>
      </c>
      <c r="H89" s="323"/>
      <c r="I89" s="323">
        <f t="shared" si="132"/>
        <v>40.88000000000001</v>
      </c>
      <c r="J89" s="323"/>
      <c r="K89" s="323">
        <f t="shared" ref="K89:AS89" si="134">IF($F$73 = "FS", K83, 0) * 10^-3 * K$77</f>
        <v>0</v>
      </c>
      <c r="L89" s="323">
        <f t="shared" si="134"/>
        <v>0</v>
      </c>
      <c r="M89" s="323">
        <f t="shared" si="134"/>
        <v>0</v>
      </c>
      <c r="N89" s="323">
        <f t="shared" si="134"/>
        <v>0</v>
      </c>
      <c r="O89" s="323">
        <f t="shared" si="134"/>
        <v>0</v>
      </c>
      <c r="P89" s="323">
        <f t="shared" si="134"/>
        <v>0</v>
      </c>
      <c r="Q89" s="323">
        <f t="shared" si="134"/>
        <v>0</v>
      </c>
      <c r="R89" s="323">
        <f t="shared" si="134"/>
        <v>0</v>
      </c>
      <c r="S89" s="323">
        <f t="shared" si="134"/>
        <v>0</v>
      </c>
      <c r="T89" s="323">
        <f t="shared" si="134"/>
        <v>0</v>
      </c>
      <c r="U89" s="323">
        <f t="shared" si="134"/>
        <v>0</v>
      </c>
      <c r="V89" s="323">
        <f t="shared" si="134"/>
        <v>0.73499999999999999</v>
      </c>
      <c r="W89" s="323">
        <f t="shared" si="134"/>
        <v>4.0259999999999998</v>
      </c>
      <c r="X89" s="323">
        <f t="shared" si="134"/>
        <v>3.91</v>
      </c>
      <c r="Y89" s="323">
        <f t="shared" si="134"/>
        <v>3.6560000000000001</v>
      </c>
      <c r="Z89" s="323">
        <f t="shared" si="134"/>
        <v>1.8480000000000001</v>
      </c>
      <c r="AA89" s="323">
        <f t="shared" si="134"/>
        <v>2.2749999999999999</v>
      </c>
      <c r="AB89" s="323">
        <f t="shared" si="134"/>
        <v>3.5070000000000001</v>
      </c>
      <c r="AC89" s="323">
        <f t="shared" si="134"/>
        <v>2.6118333333333337</v>
      </c>
      <c r="AD89" s="323">
        <f t="shared" si="134"/>
        <v>2.6118333333333337</v>
      </c>
      <c r="AE89" s="323">
        <f t="shared" si="134"/>
        <v>2.6118333333333337</v>
      </c>
      <c r="AF89" s="323">
        <f t="shared" si="134"/>
        <v>2.6118333333333337</v>
      </c>
      <c r="AG89" s="323">
        <f t="shared" si="134"/>
        <v>2.6118333333333337</v>
      </c>
      <c r="AH89" s="323">
        <f t="shared" si="134"/>
        <v>2.6118333333333337</v>
      </c>
      <c r="AI89" s="323">
        <f t="shared" si="134"/>
        <v>2.1760000000000002</v>
      </c>
      <c r="AJ89" s="323">
        <f t="shared" si="134"/>
        <v>2.1760000000000002</v>
      </c>
      <c r="AK89" s="323">
        <f t="shared" si="134"/>
        <v>0.9</v>
      </c>
      <c r="AL89" s="323">
        <f t="shared" si="134"/>
        <v>0</v>
      </c>
      <c r="AM89" s="323">
        <f t="shared" si="134"/>
        <v>0</v>
      </c>
      <c r="AN89" s="323">
        <f t="shared" si="134"/>
        <v>0</v>
      </c>
      <c r="AO89" s="323">
        <f t="shared" si="134"/>
        <v>0</v>
      </c>
      <c r="AP89" s="323">
        <f t="shared" si="134"/>
        <v>0</v>
      </c>
      <c r="AQ89" s="323">
        <f t="shared" si="134"/>
        <v>0</v>
      </c>
      <c r="AR89" s="323">
        <f t="shared" si="134"/>
        <v>0</v>
      </c>
      <c r="AS89" s="323">
        <f t="shared" si="134"/>
        <v>0</v>
      </c>
    </row>
    <row r="90" spans="1:45" ht="15" customHeight="1" x14ac:dyDescent="0.3">
      <c r="A90" s="197"/>
      <c r="B90" s="524"/>
      <c r="C90" s="525"/>
      <c r="D90" s="243"/>
      <c r="E90" s="323" t="s">
        <v>1049</v>
      </c>
      <c r="F90" s="323" t="s">
        <v>552</v>
      </c>
      <c r="G90" s="323" t="s">
        <v>579</v>
      </c>
      <c r="H90" s="323"/>
      <c r="I90" s="323">
        <f t="shared" si="132"/>
        <v>372.68899999999996</v>
      </c>
      <c r="J90" s="323"/>
      <c r="K90" s="323">
        <f t="shared" ref="K90:AS90" si="135">IF($F$73 = "FS", K84, 0) * 10^-3 * K$77</f>
        <v>0</v>
      </c>
      <c r="L90" s="323">
        <f t="shared" si="135"/>
        <v>0</v>
      </c>
      <c r="M90" s="323">
        <f t="shared" si="135"/>
        <v>0</v>
      </c>
      <c r="N90" s="323">
        <f t="shared" si="135"/>
        <v>0</v>
      </c>
      <c r="O90" s="323">
        <f t="shared" si="135"/>
        <v>0</v>
      </c>
      <c r="P90" s="323">
        <f t="shared" si="135"/>
        <v>0</v>
      </c>
      <c r="Q90" s="323">
        <f t="shared" si="135"/>
        <v>0</v>
      </c>
      <c r="R90" s="323">
        <f t="shared" si="135"/>
        <v>0</v>
      </c>
      <c r="S90" s="323">
        <f t="shared" si="135"/>
        <v>0</v>
      </c>
      <c r="T90" s="323">
        <f t="shared" si="135"/>
        <v>0</v>
      </c>
      <c r="U90" s="323">
        <f t="shared" si="135"/>
        <v>0</v>
      </c>
      <c r="V90" s="323">
        <f t="shared" si="135"/>
        <v>22.146000000000001</v>
      </c>
      <c r="W90" s="323">
        <f t="shared" si="135"/>
        <v>71.510999999999996</v>
      </c>
      <c r="X90" s="323">
        <f t="shared" si="135"/>
        <v>61.17</v>
      </c>
      <c r="Y90" s="323">
        <f t="shared" si="135"/>
        <v>36.712000000000003</v>
      </c>
      <c r="Z90" s="323">
        <f t="shared" si="135"/>
        <v>116.22200000000001</v>
      </c>
      <c r="AA90" s="323">
        <f t="shared" si="135"/>
        <v>40.314</v>
      </c>
      <c r="AB90" s="323">
        <f t="shared" si="135"/>
        <v>24.614000000000001</v>
      </c>
      <c r="AC90" s="323">
        <f t="shared" si="135"/>
        <v>0</v>
      </c>
      <c r="AD90" s="323">
        <f t="shared" si="135"/>
        <v>0</v>
      </c>
      <c r="AE90" s="323">
        <f t="shared" si="135"/>
        <v>0</v>
      </c>
      <c r="AF90" s="323">
        <f t="shared" si="135"/>
        <v>0</v>
      </c>
      <c r="AG90" s="323">
        <f t="shared" si="135"/>
        <v>0</v>
      </c>
      <c r="AH90" s="323">
        <f t="shared" si="135"/>
        <v>0</v>
      </c>
      <c r="AI90" s="323">
        <f t="shared" si="135"/>
        <v>0</v>
      </c>
      <c r="AJ90" s="323">
        <f t="shared" si="135"/>
        <v>0</v>
      </c>
      <c r="AK90" s="323">
        <f t="shared" si="135"/>
        <v>0</v>
      </c>
      <c r="AL90" s="323">
        <f t="shared" si="135"/>
        <v>0</v>
      </c>
      <c r="AM90" s="323">
        <f t="shared" si="135"/>
        <v>0</v>
      </c>
      <c r="AN90" s="323">
        <f t="shared" si="135"/>
        <v>0</v>
      </c>
      <c r="AO90" s="323">
        <f t="shared" si="135"/>
        <v>0</v>
      </c>
      <c r="AP90" s="323">
        <f t="shared" si="135"/>
        <v>0</v>
      </c>
      <c r="AQ90" s="323">
        <f t="shared" si="135"/>
        <v>0</v>
      </c>
      <c r="AR90" s="323">
        <f t="shared" si="135"/>
        <v>0</v>
      </c>
      <c r="AS90" s="323">
        <f t="shared" si="135"/>
        <v>0</v>
      </c>
    </row>
    <row r="91" spans="1:45" ht="15" customHeight="1" x14ac:dyDescent="0.3">
      <c r="A91" s="197"/>
      <c r="B91" s="524"/>
      <c r="C91" s="525"/>
      <c r="D91" s="243"/>
      <c r="E91" s="323" t="s">
        <v>1050</v>
      </c>
      <c r="F91" s="323" t="s">
        <v>552</v>
      </c>
      <c r="G91" s="323" t="s">
        <v>579</v>
      </c>
      <c r="H91" s="323"/>
      <c r="I91" s="323">
        <f t="shared" si="132"/>
        <v>50.935999999999993</v>
      </c>
      <c r="J91" s="323"/>
      <c r="K91" s="323">
        <f t="shared" ref="K91:AS91" si="136">IF($F$73 = "FS", K85, 0) * 10^-3 * K$77</f>
        <v>0</v>
      </c>
      <c r="L91" s="323">
        <f t="shared" si="136"/>
        <v>0</v>
      </c>
      <c r="M91" s="323">
        <f t="shared" si="136"/>
        <v>0</v>
      </c>
      <c r="N91" s="323">
        <f t="shared" si="136"/>
        <v>0</v>
      </c>
      <c r="O91" s="323">
        <f t="shared" si="136"/>
        <v>0</v>
      </c>
      <c r="P91" s="323">
        <f t="shared" si="136"/>
        <v>0</v>
      </c>
      <c r="Q91" s="323">
        <f t="shared" si="136"/>
        <v>0</v>
      </c>
      <c r="R91" s="323">
        <f t="shared" si="136"/>
        <v>0</v>
      </c>
      <c r="S91" s="323">
        <f t="shared" si="136"/>
        <v>0</v>
      </c>
      <c r="T91" s="323">
        <f t="shared" si="136"/>
        <v>0</v>
      </c>
      <c r="U91" s="323">
        <f t="shared" si="136"/>
        <v>0</v>
      </c>
      <c r="V91" s="323">
        <f t="shared" si="136"/>
        <v>5.0030000000000001</v>
      </c>
      <c r="W91" s="323">
        <f t="shared" si="136"/>
        <v>7.3790000000000004</v>
      </c>
      <c r="X91" s="323">
        <f t="shared" si="136"/>
        <v>5.7940000000000005</v>
      </c>
      <c r="Y91" s="323">
        <f t="shared" si="136"/>
        <v>1.079</v>
      </c>
      <c r="Z91" s="323">
        <f t="shared" si="136"/>
        <v>12.902000000000001</v>
      </c>
      <c r="AA91" s="323">
        <f t="shared" si="136"/>
        <v>8.2200000000000006</v>
      </c>
      <c r="AB91" s="323">
        <f t="shared" si="136"/>
        <v>1.68</v>
      </c>
      <c r="AC91" s="323">
        <f t="shared" si="136"/>
        <v>1.4798333333333333</v>
      </c>
      <c r="AD91" s="323">
        <f t="shared" si="136"/>
        <v>1.4798333333333333</v>
      </c>
      <c r="AE91" s="323">
        <f t="shared" si="136"/>
        <v>1.4798333333333333</v>
      </c>
      <c r="AF91" s="323">
        <f t="shared" si="136"/>
        <v>1.4798333333333333</v>
      </c>
      <c r="AG91" s="323">
        <f t="shared" si="136"/>
        <v>1.4798333333333333</v>
      </c>
      <c r="AH91" s="323">
        <f t="shared" si="136"/>
        <v>1.4798333333333333</v>
      </c>
      <c r="AI91" s="323">
        <f t="shared" si="136"/>
        <v>0</v>
      </c>
      <c r="AJ91" s="323">
        <f t="shared" si="136"/>
        <v>0</v>
      </c>
      <c r="AK91" s="323">
        <f t="shared" si="136"/>
        <v>0</v>
      </c>
      <c r="AL91" s="323">
        <f t="shared" si="136"/>
        <v>0</v>
      </c>
      <c r="AM91" s="323">
        <f t="shared" si="136"/>
        <v>0</v>
      </c>
      <c r="AN91" s="323">
        <f t="shared" si="136"/>
        <v>0</v>
      </c>
      <c r="AO91" s="323">
        <f t="shared" si="136"/>
        <v>0</v>
      </c>
      <c r="AP91" s="323">
        <f t="shared" si="136"/>
        <v>0</v>
      </c>
      <c r="AQ91" s="323">
        <f t="shared" si="136"/>
        <v>0</v>
      </c>
      <c r="AR91" s="323">
        <f t="shared" si="136"/>
        <v>0</v>
      </c>
      <c r="AS91" s="323">
        <f t="shared" si="136"/>
        <v>0</v>
      </c>
    </row>
    <row r="92" spans="1:45" ht="15" customHeight="1" x14ac:dyDescent="0.3">
      <c r="A92" s="197"/>
      <c r="B92" s="524"/>
      <c r="C92" s="525"/>
      <c r="D92" s="243"/>
      <c r="E92" s="323"/>
      <c r="F92" s="323"/>
      <c r="G92" s="323"/>
      <c r="H92" s="323"/>
      <c r="I92" s="323"/>
      <c r="J92" s="323"/>
      <c r="K92" s="323"/>
      <c r="L92" s="323"/>
      <c r="M92" s="323"/>
      <c r="N92" s="323"/>
      <c r="O92" s="323"/>
      <c r="P92" s="323"/>
      <c r="Q92" s="323"/>
      <c r="R92" s="323"/>
      <c r="S92" s="323"/>
      <c r="T92" s="323"/>
      <c r="U92" s="323"/>
      <c r="V92" s="323"/>
      <c r="W92" s="323"/>
      <c r="X92" s="323"/>
      <c r="Y92" s="323"/>
      <c r="Z92" s="323"/>
      <c r="AA92" s="323"/>
      <c r="AB92" s="323"/>
      <c r="AC92" s="323"/>
      <c r="AD92" s="323"/>
      <c r="AE92" s="323"/>
      <c r="AF92" s="323"/>
      <c r="AG92" s="323"/>
      <c r="AH92" s="323"/>
      <c r="AI92" s="323"/>
      <c r="AJ92" s="323"/>
      <c r="AK92" s="323"/>
      <c r="AL92" s="323"/>
      <c r="AM92" s="323"/>
      <c r="AN92" s="323"/>
      <c r="AO92" s="323"/>
      <c r="AP92" s="323"/>
      <c r="AQ92" s="323"/>
      <c r="AR92" s="323"/>
      <c r="AS92" s="323"/>
    </row>
    <row r="93" spans="1:45" ht="15" customHeight="1" x14ac:dyDescent="0.3">
      <c r="A93" s="1"/>
      <c r="C93" s="113" t="s">
        <v>43</v>
      </c>
      <c r="I93" s="116"/>
      <c r="J93" s="21"/>
      <c r="AL93" s="42"/>
      <c r="AM93" s="42"/>
      <c r="AN93" s="42"/>
      <c r="AO93" s="42"/>
      <c r="AP93" s="42"/>
      <c r="AQ93" s="42"/>
      <c r="AR93" s="42"/>
      <c r="AS93" s="42"/>
    </row>
    <row r="94" spans="1:45" ht="15" customHeight="1" x14ac:dyDescent="0.3">
      <c r="A94" s="1"/>
      <c r="E94" s="104" t="str">
        <f xml:space="preserve"> Inputs_TS!E$109</f>
        <v>Constructed historic cobalt production</v>
      </c>
      <c r="F94" s="104"/>
      <c r="G94" s="104" t="str">
        <f xml:space="preserve"> Inputs_TS!G$109</f>
        <v>tonnes</v>
      </c>
      <c r="H94" s="104" t="str">
        <f xml:space="preserve"> Inputs_TS!H$109</f>
        <v>IX, XIV</v>
      </c>
      <c r="I94" s="104"/>
      <c r="J94" s="104">
        <f xml:space="preserve"> Inputs_TS!J$109</f>
        <v>0</v>
      </c>
      <c r="K94" s="104">
        <f xml:space="preserve"> Inputs_TS!K$109</f>
        <v>0</v>
      </c>
      <c r="L94" s="104">
        <f xml:space="preserve"> Inputs_TS!L$109</f>
        <v>0</v>
      </c>
      <c r="M94" s="104">
        <f xml:space="preserve"> Inputs_TS!M$109</f>
        <v>0</v>
      </c>
      <c r="N94" s="104">
        <f xml:space="preserve"> Inputs_TS!N$109</f>
        <v>0</v>
      </c>
      <c r="O94" s="104">
        <f xml:space="preserve"> Inputs_TS!O$109</f>
        <v>0</v>
      </c>
      <c r="P94" s="104">
        <f xml:space="preserve"> Inputs_TS!P$109</f>
        <v>0</v>
      </c>
      <c r="Q94" s="104">
        <f xml:space="preserve"> Inputs_TS!Q$109</f>
        <v>0</v>
      </c>
      <c r="R94" s="104">
        <f xml:space="preserve"> Inputs_TS!R$109</f>
        <v>0</v>
      </c>
      <c r="S94" s="104">
        <f xml:space="preserve"> Inputs_TS!S$109</f>
        <v>0</v>
      </c>
      <c r="T94" s="104">
        <f xml:space="preserve"> Inputs_TS!T$109</f>
        <v>0</v>
      </c>
      <c r="U94" s="104">
        <f xml:space="preserve"> Inputs_TS!U$109</f>
        <v>0</v>
      </c>
      <c r="V94" s="104">
        <f xml:space="preserve"> Inputs_TS!V$109</f>
        <v>0</v>
      </c>
      <c r="W94" s="104">
        <f xml:space="preserve"> Inputs_TS!W$109</f>
        <v>0</v>
      </c>
      <c r="X94" s="104">
        <f xml:space="preserve"> Inputs_TS!X$109</f>
        <v>404.70775199999997</v>
      </c>
      <c r="Y94" s="104">
        <f xml:space="preserve"> Inputs_TS!Y$109</f>
        <v>1583</v>
      </c>
      <c r="Z94" s="104">
        <f xml:space="preserve"> Inputs_TS!Z$109</f>
        <v>1607</v>
      </c>
      <c r="AA94" s="104">
        <f xml:space="preserve"> Inputs_TS!AA$109</f>
        <v>2506</v>
      </c>
      <c r="AB94" s="104">
        <f xml:space="preserve"> Inputs_TS!AB$109</f>
        <v>2306</v>
      </c>
      <c r="AC94" s="104">
        <f xml:space="preserve"> Inputs_TS!AC$109</f>
        <v>778.15</v>
      </c>
      <c r="AD94" s="104">
        <f xml:space="preserve"> Inputs_TS!AD$109</f>
        <v>0</v>
      </c>
      <c r="AE94" s="104">
        <f xml:space="preserve"> Inputs_TS!AE$109</f>
        <v>0</v>
      </c>
      <c r="AF94" s="104">
        <f xml:space="preserve"> Inputs_TS!AF$109</f>
        <v>0</v>
      </c>
      <c r="AG94" s="104">
        <f xml:space="preserve"> Inputs_TS!AG$109</f>
        <v>0</v>
      </c>
      <c r="AH94" s="104">
        <f xml:space="preserve"> Inputs_TS!AH$109</f>
        <v>0</v>
      </c>
      <c r="AI94" s="104">
        <f xml:space="preserve"> Inputs_TS!AI$109</f>
        <v>0</v>
      </c>
      <c r="AJ94" s="104">
        <f xml:space="preserve"> Inputs_TS!AJ$109</f>
        <v>0</v>
      </c>
      <c r="AK94" s="104">
        <f xml:space="preserve"> Inputs_TS!AK$109</f>
        <v>0</v>
      </c>
      <c r="AL94" s="104">
        <f xml:space="preserve"> Inputs_TS!AL$109</f>
        <v>0</v>
      </c>
      <c r="AM94" s="104">
        <f xml:space="preserve"> Inputs_TS!AM$109</f>
        <v>0</v>
      </c>
      <c r="AN94" s="104">
        <f xml:space="preserve"> Inputs_TS!AN$109</f>
        <v>0</v>
      </c>
      <c r="AO94" s="104">
        <f xml:space="preserve"> Inputs_TS!AO$109</f>
        <v>0</v>
      </c>
      <c r="AP94" s="104">
        <f xml:space="preserve"> Inputs_TS!AP$109</f>
        <v>0</v>
      </c>
      <c r="AQ94" s="104">
        <f xml:space="preserve"> Inputs_TS!AQ$109</f>
        <v>0</v>
      </c>
      <c r="AR94" s="104">
        <f xml:space="preserve"> Inputs_TS!AR$109</f>
        <v>0</v>
      </c>
      <c r="AS94" s="104">
        <f xml:space="preserve"> Inputs_TS!AS$109</f>
        <v>0</v>
      </c>
    </row>
    <row r="95" spans="1:45" ht="15" customHeight="1" x14ac:dyDescent="0.3">
      <c r="A95" s="1"/>
      <c r="E95" s="104"/>
      <c r="F95" s="104"/>
      <c r="G95" s="104"/>
      <c r="H95" s="104"/>
      <c r="I95" s="104"/>
      <c r="J95" s="104"/>
      <c r="K95" s="104"/>
      <c r="L95" s="104"/>
      <c r="M95" s="104"/>
      <c r="N95" s="104"/>
      <c r="O95" s="104"/>
      <c r="P95" s="104"/>
      <c r="Q95" s="104"/>
      <c r="R95" s="104"/>
      <c r="S95" s="104"/>
      <c r="T95" s="104"/>
      <c r="U95" s="104"/>
      <c r="V95" s="104"/>
      <c r="W95" s="104"/>
      <c r="X95" s="104"/>
      <c r="Y95" s="104"/>
      <c r="Z95" s="104"/>
      <c r="AA95" s="104"/>
      <c r="AB95" s="104"/>
      <c r="AC95" s="104"/>
      <c r="AD95" s="104"/>
      <c r="AE95" s="104"/>
      <c r="AF95" s="104"/>
      <c r="AG95" s="104"/>
      <c r="AH95" s="104"/>
      <c r="AI95" s="104"/>
      <c r="AJ95" s="104"/>
      <c r="AK95" s="104"/>
      <c r="AL95" s="104"/>
      <c r="AM95" s="104"/>
      <c r="AN95" s="104"/>
      <c r="AO95" s="104"/>
      <c r="AP95" s="104"/>
      <c r="AQ95" s="104"/>
      <c r="AR95" s="104"/>
      <c r="AS95" s="104"/>
    </row>
    <row r="96" spans="1:45" ht="15" customHeight="1" x14ac:dyDescent="0.3">
      <c r="A96" s="1"/>
      <c r="E96" s="104" t="str">
        <f xml:space="preserve"> Inputs_TS!E$68</f>
        <v>Planned cobalt production (in year previously)</v>
      </c>
      <c r="F96" s="104"/>
      <c r="G96" s="104"/>
      <c r="H96" s="104" t="str">
        <f xml:space="preserve"> Inputs_TS!H$68</f>
        <v>IX</v>
      </c>
      <c r="I96" s="104"/>
      <c r="J96" s="104">
        <f xml:space="preserve"> Inputs_TS!J$68</f>
        <v>0</v>
      </c>
      <c r="K96" s="104">
        <f xml:space="preserve"> Inputs_TS!K$68</f>
        <v>0</v>
      </c>
      <c r="L96" s="104">
        <f xml:space="preserve"> Inputs_TS!L$68</f>
        <v>0</v>
      </c>
      <c r="M96" s="104">
        <f xml:space="preserve"> Inputs_TS!M$68</f>
        <v>0</v>
      </c>
      <c r="N96" s="104">
        <f xml:space="preserve"> Inputs_TS!N$68</f>
        <v>0</v>
      </c>
      <c r="O96" s="104">
        <f xml:space="preserve"> Inputs_TS!O$68</f>
        <v>0</v>
      </c>
      <c r="P96" s="104">
        <f xml:space="preserve"> Inputs_TS!P$68</f>
        <v>0</v>
      </c>
      <c r="Q96" s="104">
        <f xml:space="preserve"> Inputs_TS!Q$68</f>
        <v>0</v>
      </c>
      <c r="R96" s="104">
        <f xml:space="preserve"> Inputs_TS!R$68</f>
        <v>0</v>
      </c>
      <c r="S96" s="104">
        <f xml:space="preserve"> Inputs_TS!S$68</f>
        <v>0</v>
      </c>
      <c r="T96" s="104">
        <f xml:space="preserve"> Inputs_TS!T$68</f>
        <v>0</v>
      </c>
      <c r="U96" s="104">
        <f xml:space="preserve"> Inputs_TS!U$68</f>
        <v>0</v>
      </c>
      <c r="V96" s="104">
        <f xml:space="preserve"> Inputs_TS!V$68</f>
        <v>0</v>
      </c>
      <c r="W96" s="104">
        <f xml:space="preserve"> Inputs_TS!W$68</f>
        <v>0</v>
      </c>
      <c r="X96" s="104">
        <f xml:space="preserve"> Inputs_TS!X$68</f>
        <v>0</v>
      </c>
      <c r="Y96" s="104">
        <f xml:space="preserve"> Inputs_TS!Y$68</f>
        <v>0</v>
      </c>
      <c r="Z96" s="104">
        <f xml:space="preserve"> Inputs_TS!Z$68</f>
        <v>0</v>
      </c>
      <c r="AA96" s="104">
        <f xml:space="preserve"> Inputs_TS!AA$68</f>
        <v>1973</v>
      </c>
      <c r="AB96" s="104">
        <f xml:space="preserve"> Inputs_TS!AB$68</f>
        <v>2387</v>
      </c>
      <c r="AC96" s="104">
        <f xml:space="preserve"> Inputs_TS!AC$68</f>
        <v>2305</v>
      </c>
      <c r="AD96" s="104">
        <f xml:space="preserve"> Inputs_TS!AD$68</f>
        <v>0</v>
      </c>
      <c r="AE96" s="104">
        <f xml:space="preserve"> Inputs_TS!AE$68</f>
        <v>0</v>
      </c>
      <c r="AF96" s="104">
        <f xml:space="preserve"> Inputs_TS!AF$68</f>
        <v>0</v>
      </c>
      <c r="AG96" s="104">
        <f xml:space="preserve"> Inputs_TS!AG$68</f>
        <v>0</v>
      </c>
      <c r="AH96" s="104">
        <f xml:space="preserve"> Inputs_TS!AH$68</f>
        <v>0</v>
      </c>
      <c r="AI96" s="104">
        <f xml:space="preserve"> Inputs_TS!AI$68</f>
        <v>0</v>
      </c>
      <c r="AJ96" s="104">
        <f xml:space="preserve"> Inputs_TS!AJ$68</f>
        <v>0</v>
      </c>
      <c r="AK96" s="104">
        <f xml:space="preserve"> Inputs_TS!AK$68</f>
        <v>0</v>
      </c>
      <c r="AL96" s="104">
        <f xml:space="preserve"> Inputs_TS!AL$68</f>
        <v>0</v>
      </c>
      <c r="AM96" s="104">
        <f xml:space="preserve"> Inputs_TS!AM$68</f>
        <v>0</v>
      </c>
      <c r="AN96" s="104">
        <f xml:space="preserve"> Inputs_TS!AN$68</f>
        <v>0</v>
      </c>
      <c r="AO96" s="104">
        <f xml:space="preserve"> Inputs_TS!AO$68</f>
        <v>0</v>
      </c>
      <c r="AP96" s="104">
        <f xml:space="preserve"> Inputs_TS!AP$68</f>
        <v>0</v>
      </c>
      <c r="AQ96" s="104">
        <f xml:space="preserve"> Inputs_TS!AQ$68</f>
        <v>0</v>
      </c>
      <c r="AR96" s="104">
        <f xml:space="preserve"> Inputs_TS!AR$68</f>
        <v>0</v>
      </c>
      <c r="AS96" s="104">
        <f xml:space="preserve"> Inputs_TS!AS$68</f>
        <v>0</v>
      </c>
    </row>
    <row r="97" spans="1:45" ht="15" customHeight="1" x14ac:dyDescent="0.3">
      <c r="A97" s="1"/>
      <c r="E97" s="127" t="s">
        <v>101</v>
      </c>
      <c r="F97" s="128">
        <f>AVERAGEIF(S96:AS96, "&lt;&gt;0")</f>
        <v>2221.6666666666665</v>
      </c>
      <c r="G97" s="42" t="s">
        <v>37</v>
      </c>
      <c r="I97" s="116"/>
      <c r="J97" s="21"/>
      <c r="AL97" s="42"/>
      <c r="AM97" s="42"/>
      <c r="AN97" s="42"/>
      <c r="AO97" s="42"/>
      <c r="AP97" s="42"/>
      <c r="AQ97" s="42"/>
      <c r="AR97" s="42"/>
      <c r="AS97" s="42"/>
    </row>
    <row r="98" spans="1:45" ht="15" customHeight="1" x14ac:dyDescent="0.3">
      <c r="A98" s="1"/>
      <c r="E98" s="127"/>
      <c r="F98" s="128"/>
      <c r="I98" s="116"/>
      <c r="J98" s="21"/>
      <c r="AL98" s="42"/>
      <c r="AM98" s="42"/>
      <c r="AN98" s="42"/>
      <c r="AO98" s="42"/>
      <c r="AP98" s="42"/>
      <c r="AQ98" s="42"/>
      <c r="AR98" s="42"/>
      <c r="AS98" s="42"/>
    </row>
    <row r="99" spans="1:45" ht="15" customHeight="1" x14ac:dyDescent="0.3">
      <c r="A99" s="1"/>
      <c r="E99" s="127" t="str">
        <f t="shared" ref="E99:O99" si="137" xml:space="preserve"> E$97</f>
        <v>Planned cobalt production average</v>
      </c>
      <c r="F99" s="127">
        <f t="shared" si="137"/>
        <v>2221.6666666666665</v>
      </c>
      <c r="G99" s="127" t="str">
        <f t="shared" si="137"/>
        <v>tonnes pa</v>
      </c>
      <c r="H99" s="127">
        <f t="shared" si="137"/>
        <v>0</v>
      </c>
      <c r="I99" s="127">
        <f t="shared" si="137"/>
        <v>0</v>
      </c>
      <c r="J99" s="127">
        <f t="shared" si="137"/>
        <v>0</v>
      </c>
      <c r="K99" s="127">
        <f t="shared" si="137"/>
        <v>0</v>
      </c>
      <c r="L99" s="127">
        <f t="shared" si="137"/>
        <v>0</v>
      </c>
      <c r="M99" s="127">
        <f t="shared" si="137"/>
        <v>0</v>
      </c>
      <c r="N99" s="127">
        <f t="shared" si="137"/>
        <v>0</v>
      </c>
      <c r="O99" s="127">
        <f t="shared" si="137"/>
        <v>0</v>
      </c>
      <c r="P99" s="127">
        <f t="shared" ref="P99:AS99" si="138" xml:space="preserve"> P$97</f>
        <v>0</v>
      </c>
      <c r="Q99" s="127">
        <f t="shared" si="138"/>
        <v>0</v>
      </c>
      <c r="R99" s="127">
        <f t="shared" si="138"/>
        <v>0</v>
      </c>
      <c r="S99" s="127">
        <f t="shared" si="138"/>
        <v>0</v>
      </c>
      <c r="T99" s="127">
        <f t="shared" si="138"/>
        <v>0</v>
      </c>
      <c r="U99" s="127">
        <f t="shared" si="138"/>
        <v>0</v>
      </c>
      <c r="V99" s="127">
        <f t="shared" si="138"/>
        <v>0</v>
      </c>
      <c r="W99" s="127">
        <f t="shared" si="138"/>
        <v>0</v>
      </c>
      <c r="X99" s="127">
        <f t="shared" si="138"/>
        <v>0</v>
      </c>
      <c r="Y99" s="127">
        <f t="shared" si="138"/>
        <v>0</v>
      </c>
      <c r="Z99" s="127">
        <f t="shared" si="138"/>
        <v>0</v>
      </c>
      <c r="AA99" s="127">
        <f t="shared" si="138"/>
        <v>0</v>
      </c>
      <c r="AB99" s="127">
        <f t="shared" si="138"/>
        <v>0</v>
      </c>
      <c r="AC99" s="127">
        <f t="shared" si="138"/>
        <v>0</v>
      </c>
      <c r="AD99" s="127">
        <f t="shared" si="138"/>
        <v>0</v>
      </c>
      <c r="AE99" s="127">
        <f t="shared" si="138"/>
        <v>0</v>
      </c>
      <c r="AF99" s="127">
        <f t="shared" si="138"/>
        <v>0</v>
      </c>
      <c r="AG99" s="127">
        <f t="shared" si="138"/>
        <v>0</v>
      </c>
      <c r="AH99" s="127">
        <f t="shared" si="138"/>
        <v>0</v>
      </c>
      <c r="AI99" s="127">
        <f t="shared" si="138"/>
        <v>0</v>
      </c>
      <c r="AJ99" s="127">
        <f t="shared" si="138"/>
        <v>0</v>
      </c>
      <c r="AK99" s="127">
        <f t="shared" si="138"/>
        <v>0</v>
      </c>
      <c r="AL99" s="127">
        <f t="shared" si="138"/>
        <v>0</v>
      </c>
      <c r="AM99" s="127">
        <f t="shared" si="138"/>
        <v>0</v>
      </c>
      <c r="AN99" s="127">
        <f t="shared" si="138"/>
        <v>0</v>
      </c>
      <c r="AO99" s="127">
        <f t="shared" si="138"/>
        <v>0</v>
      </c>
      <c r="AP99" s="127">
        <f t="shared" si="138"/>
        <v>0</v>
      </c>
      <c r="AQ99" s="127">
        <f t="shared" si="138"/>
        <v>0</v>
      </c>
      <c r="AR99" s="127">
        <f t="shared" si="138"/>
        <v>0</v>
      </c>
      <c r="AS99" s="127">
        <f t="shared" si="138"/>
        <v>0</v>
      </c>
    </row>
    <row r="100" spans="1:45" ht="15" customHeight="1" x14ac:dyDescent="0.3">
      <c r="A100" s="1"/>
      <c r="E100" s="127" t="str">
        <f xml:space="preserve"> E$18</f>
        <v>2025 onwards flag</v>
      </c>
      <c r="F100" s="127"/>
      <c r="G100" s="127" t="str">
        <f xml:space="preserve"> G$18</f>
        <v>flag</v>
      </c>
      <c r="H100" s="127"/>
      <c r="I100" s="127"/>
      <c r="J100" s="127">
        <f t="shared" ref="J100:O100" si="139" xml:space="preserve"> J$18</f>
        <v>0</v>
      </c>
      <c r="K100" s="127">
        <f t="shared" si="139"/>
        <v>0</v>
      </c>
      <c r="L100" s="127">
        <f t="shared" si="139"/>
        <v>0</v>
      </c>
      <c r="M100" s="127">
        <f t="shared" si="139"/>
        <v>0</v>
      </c>
      <c r="N100" s="127">
        <f t="shared" si="139"/>
        <v>0</v>
      </c>
      <c r="O100" s="127">
        <f t="shared" si="139"/>
        <v>0</v>
      </c>
      <c r="P100" s="127">
        <f t="shared" ref="P100:AS100" si="140" xml:space="preserve"> P$18</f>
        <v>0</v>
      </c>
      <c r="Q100" s="127">
        <f t="shared" si="140"/>
        <v>0</v>
      </c>
      <c r="R100" s="127">
        <f t="shared" si="140"/>
        <v>0</v>
      </c>
      <c r="S100" s="127">
        <f t="shared" si="140"/>
        <v>0</v>
      </c>
      <c r="T100" s="127">
        <f t="shared" si="140"/>
        <v>0</v>
      </c>
      <c r="U100" s="127">
        <f t="shared" si="140"/>
        <v>0</v>
      </c>
      <c r="V100" s="127">
        <f t="shared" si="140"/>
        <v>0</v>
      </c>
      <c r="W100" s="127">
        <f t="shared" si="140"/>
        <v>0</v>
      </c>
      <c r="X100" s="127">
        <f t="shared" si="140"/>
        <v>0</v>
      </c>
      <c r="Y100" s="127">
        <f t="shared" si="140"/>
        <v>0</v>
      </c>
      <c r="Z100" s="127">
        <f t="shared" si="140"/>
        <v>0</v>
      </c>
      <c r="AA100" s="127">
        <f t="shared" si="140"/>
        <v>0</v>
      </c>
      <c r="AB100" s="127">
        <f t="shared" si="140"/>
        <v>0</v>
      </c>
      <c r="AC100" s="127">
        <f t="shared" si="140"/>
        <v>0</v>
      </c>
      <c r="AD100" s="127">
        <f t="shared" si="140"/>
        <v>1</v>
      </c>
      <c r="AE100" s="127">
        <f t="shared" si="140"/>
        <v>1</v>
      </c>
      <c r="AF100" s="127">
        <f t="shared" si="140"/>
        <v>1</v>
      </c>
      <c r="AG100" s="127">
        <f t="shared" si="140"/>
        <v>1</v>
      </c>
      <c r="AH100" s="127">
        <f t="shared" si="140"/>
        <v>1</v>
      </c>
      <c r="AI100" s="127">
        <f t="shared" si="140"/>
        <v>1</v>
      </c>
      <c r="AJ100" s="127">
        <f t="shared" si="140"/>
        <v>1</v>
      </c>
      <c r="AK100" s="127">
        <f t="shared" si="140"/>
        <v>1</v>
      </c>
      <c r="AL100" s="127">
        <f t="shared" si="140"/>
        <v>1</v>
      </c>
      <c r="AM100" s="127">
        <f t="shared" si="140"/>
        <v>0</v>
      </c>
      <c r="AN100" s="127">
        <f t="shared" si="140"/>
        <v>0</v>
      </c>
      <c r="AO100" s="127">
        <f t="shared" si="140"/>
        <v>0</v>
      </c>
      <c r="AP100" s="127">
        <f t="shared" si="140"/>
        <v>0</v>
      </c>
      <c r="AQ100" s="127">
        <f t="shared" si="140"/>
        <v>0</v>
      </c>
      <c r="AR100" s="127">
        <f t="shared" si="140"/>
        <v>0</v>
      </c>
      <c r="AS100" s="127">
        <f t="shared" si="140"/>
        <v>0</v>
      </c>
    </row>
    <row r="101" spans="1:45" ht="15" customHeight="1" x14ac:dyDescent="0.3">
      <c r="A101" s="1"/>
      <c r="E101" s="42" t="s">
        <v>269</v>
      </c>
      <c r="G101" s="42" t="s">
        <v>38</v>
      </c>
      <c r="I101" s="116"/>
      <c r="J101" s="21"/>
      <c r="K101" s="42">
        <f t="shared" ref="K101:O101" si="141">K100 * $F99</f>
        <v>0</v>
      </c>
      <c r="L101" s="42">
        <f t="shared" si="141"/>
        <v>0</v>
      </c>
      <c r="M101" s="42">
        <f t="shared" si="141"/>
        <v>0</v>
      </c>
      <c r="N101" s="42">
        <f t="shared" si="141"/>
        <v>0</v>
      </c>
      <c r="O101" s="42">
        <f t="shared" si="141"/>
        <v>0</v>
      </c>
      <c r="P101" s="42">
        <f t="shared" ref="P101:AS101" si="142">P100 * $F99</f>
        <v>0</v>
      </c>
      <c r="Q101" s="42">
        <f t="shared" si="142"/>
        <v>0</v>
      </c>
      <c r="R101" s="42">
        <f t="shared" si="142"/>
        <v>0</v>
      </c>
      <c r="S101" s="42">
        <f t="shared" si="142"/>
        <v>0</v>
      </c>
      <c r="T101" s="42">
        <f t="shared" si="142"/>
        <v>0</v>
      </c>
      <c r="U101" s="42">
        <f t="shared" si="142"/>
        <v>0</v>
      </c>
      <c r="V101" s="42">
        <f t="shared" si="142"/>
        <v>0</v>
      </c>
      <c r="W101" s="42">
        <f t="shared" si="142"/>
        <v>0</v>
      </c>
      <c r="X101" s="42">
        <f t="shared" si="142"/>
        <v>0</v>
      </c>
      <c r="Y101" s="42">
        <f t="shared" si="142"/>
        <v>0</v>
      </c>
      <c r="Z101" s="42">
        <f t="shared" si="142"/>
        <v>0</v>
      </c>
      <c r="AA101" s="42">
        <f t="shared" si="142"/>
        <v>0</v>
      </c>
      <c r="AB101" s="42">
        <f t="shared" si="142"/>
        <v>0</v>
      </c>
      <c r="AC101" s="42">
        <f t="shared" si="142"/>
        <v>0</v>
      </c>
      <c r="AD101" s="42">
        <f t="shared" si="142"/>
        <v>2221.6666666666665</v>
      </c>
      <c r="AE101" s="42">
        <f t="shared" si="142"/>
        <v>2221.6666666666665</v>
      </c>
      <c r="AF101" s="42">
        <f t="shared" si="142"/>
        <v>2221.6666666666665</v>
      </c>
      <c r="AG101" s="42">
        <f t="shared" si="142"/>
        <v>2221.6666666666665</v>
      </c>
      <c r="AH101" s="42">
        <f t="shared" si="142"/>
        <v>2221.6666666666665</v>
      </c>
      <c r="AI101" s="42">
        <f t="shared" si="142"/>
        <v>2221.6666666666665</v>
      </c>
      <c r="AJ101" s="42">
        <f t="shared" si="142"/>
        <v>2221.6666666666665</v>
      </c>
      <c r="AK101" s="42">
        <f t="shared" si="142"/>
        <v>2221.6666666666665</v>
      </c>
      <c r="AL101" s="42">
        <f t="shared" si="142"/>
        <v>2221.6666666666665</v>
      </c>
      <c r="AM101" s="42">
        <f t="shared" si="142"/>
        <v>0</v>
      </c>
      <c r="AN101" s="42">
        <f t="shared" si="142"/>
        <v>0</v>
      </c>
      <c r="AO101" s="42">
        <f t="shared" si="142"/>
        <v>0</v>
      </c>
      <c r="AP101" s="42">
        <f t="shared" si="142"/>
        <v>0</v>
      </c>
      <c r="AQ101" s="42">
        <f t="shared" si="142"/>
        <v>0</v>
      </c>
      <c r="AR101" s="42">
        <f t="shared" si="142"/>
        <v>0</v>
      </c>
      <c r="AS101" s="42">
        <f t="shared" si="142"/>
        <v>0</v>
      </c>
    </row>
    <row r="102" spans="1:45" ht="15" customHeight="1" x14ac:dyDescent="0.3">
      <c r="A102" s="1"/>
      <c r="I102" s="116"/>
      <c r="J102" s="21"/>
      <c r="AL102" s="42"/>
      <c r="AM102" s="42"/>
      <c r="AN102" s="42"/>
      <c r="AO102" s="42"/>
      <c r="AP102" s="42"/>
      <c r="AQ102" s="42"/>
      <c r="AR102" s="42"/>
      <c r="AS102" s="42"/>
    </row>
    <row r="103" spans="1:45" ht="15" customHeight="1" x14ac:dyDescent="0.3">
      <c r="A103" s="1"/>
      <c r="E103" s="104" t="str">
        <f xml:space="preserve"> Inputs_TS!E$109</f>
        <v>Constructed historic cobalt production</v>
      </c>
      <c r="F103" s="104"/>
      <c r="G103" s="104" t="str">
        <f xml:space="preserve"> Inputs_TS!G$109</f>
        <v>tonnes</v>
      </c>
      <c r="H103" s="104" t="str">
        <f xml:space="preserve"> Inputs_TS!H$109</f>
        <v>IX, XIV</v>
      </c>
      <c r="I103" s="104"/>
      <c r="J103" s="104">
        <f xml:space="preserve"> Inputs_TS!J$109</f>
        <v>0</v>
      </c>
      <c r="K103" s="104">
        <f xml:space="preserve"> Inputs_TS!K$109</f>
        <v>0</v>
      </c>
      <c r="L103" s="104">
        <f xml:space="preserve"> Inputs_TS!L$109</f>
        <v>0</v>
      </c>
      <c r="M103" s="104">
        <f xml:space="preserve"> Inputs_TS!M$109</f>
        <v>0</v>
      </c>
      <c r="N103" s="104">
        <f xml:space="preserve"> Inputs_TS!N$109</f>
        <v>0</v>
      </c>
      <c r="O103" s="104">
        <f xml:space="preserve"> Inputs_TS!O$109</f>
        <v>0</v>
      </c>
      <c r="P103" s="104">
        <f xml:space="preserve"> Inputs_TS!P$109</f>
        <v>0</v>
      </c>
      <c r="Q103" s="104">
        <f xml:space="preserve"> Inputs_TS!Q$109</f>
        <v>0</v>
      </c>
      <c r="R103" s="104">
        <f xml:space="preserve"> Inputs_TS!R$109</f>
        <v>0</v>
      </c>
      <c r="S103" s="104">
        <f xml:space="preserve"> Inputs_TS!S$109</f>
        <v>0</v>
      </c>
      <c r="T103" s="104">
        <f xml:space="preserve"> Inputs_TS!T$109</f>
        <v>0</v>
      </c>
      <c r="U103" s="104">
        <f xml:space="preserve"> Inputs_TS!U$109</f>
        <v>0</v>
      </c>
      <c r="V103" s="104">
        <f xml:space="preserve"> Inputs_TS!V$109</f>
        <v>0</v>
      </c>
      <c r="W103" s="104">
        <f xml:space="preserve"> Inputs_TS!W$109</f>
        <v>0</v>
      </c>
      <c r="X103" s="104">
        <f xml:space="preserve"> Inputs_TS!X$109</f>
        <v>404.70775199999997</v>
      </c>
      <c r="Y103" s="104">
        <f xml:space="preserve"> Inputs_TS!Y$109</f>
        <v>1583</v>
      </c>
      <c r="Z103" s="104">
        <f xml:space="preserve"> Inputs_TS!Z$109</f>
        <v>1607</v>
      </c>
      <c r="AA103" s="104">
        <f xml:space="preserve"> Inputs_TS!AA$109</f>
        <v>2506</v>
      </c>
      <c r="AB103" s="104">
        <f xml:space="preserve"> Inputs_TS!AB$109</f>
        <v>2306</v>
      </c>
      <c r="AC103" s="104">
        <f xml:space="preserve"> Inputs_TS!AC$109</f>
        <v>778.15</v>
      </c>
      <c r="AD103" s="104">
        <f xml:space="preserve"> Inputs_TS!AD$109</f>
        <v>0</v>
      </c>
      <c r="AE103" s="104">
        <f xml:space="preserve"> Inputs_TS!AE$109</f>
        <v>0</v>
      </c>
      <c r="AF103" s="104">
        <f xml:space="preserve"> Inputs_TS!AF$109</f>
        <v>0</v>
      </c>
      <c r="AG103" s="104">
        <f xml:space="preserve"> Inputs_TS!AG$109</f>
        <v>0</v>
      </c>
      <c r="AH103" s="104">
        <f xml:space="preserve"> Inputs_TS!AH$109</f>
        <v>0</v>
      </c>
      <c r="AI103" s="104">
        <f xml:space="preserve"> Inputs_TS!AI$109</f>
        <v>0</v>
      </c>
      <c r="AJ103" s="104">
        <f xml:space="preserve"> Inputs_TS!AJ$109</f>
        <v>0</v>
      </c>
      <c r="AK103" s="104">
        <f xml:space="preserve"> Inputs_TS!AK$109</f>
        <v>0</v>
      </c>
      <c r="AL103" s="104">
        <f xml:space="preserve"> Inputs_TS!AL$109</f>
        <v>0</v>
      </c>
      <c r="AM103" s="104">
        <f xml:space="preserve"> Inputs_TS!AM$109</f>
        <v>0</v>
      </c>
      <c r="AN103" s="104">
        <f xml:space="preserve"> Inputs_TS!AN$109</f>
        <v>0</v>
      </c>
      <c r="AO103" s="104">
        <f xml:space="preserve"> Inputs_TS!AO$109</f>
        <v>0</v>
      </c>
      <c r="AP103" s="104">
        <f xml:space="preserve"> Inputs_TS!AP$109</f>
        <v>0</v>
      </c>
      <c r="AQ103" s="104">
        <f xml:space="preserve"> Inputs_TS!AQ$109</f>
        <v>0</v>
      </c>
      <c r="AR103" s="104">
        <f xml:space="preserve"> Inputs_TS!AR$109</f>
        <v>0</v>
      </c>
      <c r="AS103" s="104">
        <f xml:space="preserve"> Inputs_TS!AS$109</f>
        <v>0</v>
      </c>
    </row>
    <row r="104" spans="1:45" ht="15" customHeight="1" x14ac:dyDescent="0.3">
      <c r="A104" s="1"/>
      <c r="E104" s="40" t="str">
        <f t="shared" ref="E104:O104" si="143" xml:space="preserve"> E$101</f>
        <v>Cobalt 2025 onwards annual production</v>
      </c>
      <c r="F104" s="40">
        <f t="shared" si="143"/>
        <v>0</v>
      </c>
      <c r="G104" s="40" t="str">
        <f t="shared" si="143"/>
        <v>tonnes</v>
      </c>
      <c r="H104" s="40">
        <f t="shared" si="143"/>
        <v>0</v>
      </c>
      <c r="I104" s="40">
        <f t="shared" si="143"/>
        <v>0</v>
      </c>
      <c r="J104" s="40">
        <f t="shared" si="143"/>
        <v>0</v>
      </c>
      <c r="K104" s="40">
        <f t="shared" si="143"/>
        <v>0</v>
      </c>
      <c r="L104" s="40">
        <f t="shared" si="143"/>
        <v>0</v>
      </c>
      <c r="M104" s="40">
        <f t="shared" si="143"/>
        <v>0</v>
      </c>
      <c r="N104" s="40">
        <f t="shared" si="143"/>
        <v>0</v>
      </c>
      <c r="O104" s="40">
        <f t="shared" si="143"/>
        <v>0</v>
      </c>
      <c r="P104" s="40">
        <f t="shared" ref="P104:AS104" si="144" xml:space="preserve"> P$101</f>
        <v>0</v>
      </c>
      <c r="Q104" s="40">
        <f t="shared" si="144"/>
        <v>0</v>
      </c>
      <c r="R104" s="40">
        <f t="shared" si="144"/>
        <v>0</v>
      </c>
      <c r="S104" s="40">
        <f t="shared" si="144"/>
        <v>0</v>
      </c>
      <c r="T104" s="40">
        <f t="shared" si="144"/>
        <v>0</v>
      </c>
      <c r="U104" s="40">
        <f t="shared" si="144"/>
        <v>0</v>
      </c>
      <c r="V104" s="40">
        <f t="shared" si="144"/>
        <v>0</v>
      </c>
      <c r="W104" s="40">
        <f t="shared" si="144"/>
        <v>0</v>
      </c>
      <c r="X104" s="40">
        <f t="shared" si="144"/>
        <v>0</v>
      </c>
      <c r="Y104" s="40">
        <f t="shared" si="144"/>
        <v>0</v>
      </c>
      <c r="Z104" s="40">
        <f t="shared" si="144"/>
        <v>0</v>
      </c>
      <c r="AA104" s="40">
        <f t="shared" si="144"/>
        <v>0</v>
      </c>
      <c r="AB104" s="40">
        <f t="shared" si="144"/>
        <v>0</v>
      </c>
      <c r="AC104" s="40">
        <f t="shared" si="144"/>
        <v>0</v>
      </c>
      <c r="AD104" s="40">
        <f t="shared" si="144"/>
        <v>2221.6666666666665</v>
      </c>
      <c r="AE104" s="40">
        <f t="shared" si="144"/>
        <v>2221.6666666666665</v>
      </c>
      <c r="AF104" s="40">
        <f t="shared" si="144"/>
        <v>2221.6666666666665</v>
      </c>
      <c r="AG104" s="40">
        <f t="shared" si="144"/>
        <v>2221.6666666666665</v>
      </c>
      <c r="AH104" s="40">
        <f t="shared" si="144"/>
        <v>2221.6666666666665</v>
      </c>
      <c r="AI104" s="40">
        <f t="shared" si="144"/>
        <v>2221.6666666666665</v>
      </c>
      <c r="AJ104" s="40">
        <f t="shared" si="144"/>
        <v>2221.6666666666665</v>
      </c>
      <c r="AK104" s="40">
        <f t="shared" si="144"/>
        <v>2221.6666666666665</v>
      </c>
      <c r="AL104" s="40">
        <f t="shared" si="144"/>
        <v>2221.6666666666665</v>
      </c>
      <c r="AM104" s="40">
        <f t="shared" si="144"/>
        <v>0</v>
      </c>
      <c r="AN104" s="40">
        <f t="shared" si="144"/>
        <v>0</v>
      </c>
      <c r="AO104" s="40">
        <f t="shared" si="144"/>
        <v>0</v>
      </c>
      <c r="AP104" s="40">
        <f t="shared" si="144"/>
        <v>0</v>
      </c>
      <c r="AQ104" s="40">
        <f t="shared" si="144"/>
        <v>0</v>
      </c>
      <c r="AR104" s="40">
        <f t="shared" si="144"/>
        <v>0</v>
      </c>
      <c r="AS104" s="40">
        <f t="shared" si="144"/>
        <v>0</v>
      </c>
    </row>
    <row r="105" spans="1:45" ht="15" customHeight="1" x14ac:dyDescent="0.3">
      <c r="A105" s="86"/>
      <c r="B105" s="123"/>
      <c r="C105" s="124"/>
      <c r="D105" s="109"/>
      <c r="E105" s="109" t="s">
        <v>172</v>
      </c>
      <c r="F105" s="109" t="s">
        <v>553</v>
      </c>
      <c r="G105" s="109" t="s">
        <v>38</v>
      </c>
      <c r="H105" s="125"/>
      <c r="I105" s="125">
        <f>SUM(K105:AS105)</f>
        <v>29179.857752000004</v>
      </c>
      <c r="J105" s="108"/>
      <c r="K105" s="109">
        <f t="shared" ref="K105:O105" si="145">IF(K103 &gt; 0, K103, K104)</f>
        <v>0</v>
      </c>
      <c r="L105" s="109">
        <f t="shared" si="145"/>
        <v>0</v>
      </c>
      <c r="M105" s="109">
        <f t="shared" si="145"/>
        <v>0</v>
      </c>
      <c r="N105" s="109">
        <f t="shared" si="145"/>
        <v>0</v>
      </c>
      <c r="O105" s="109">
        <f t="shared" si="145"/>
        <v>0</v>
      </c>
      <c r="P105" s="109">
        <f t="shared" ref="P105" si="146">IF(P103 &gt; 0, P103, P104)</f>
        <v>0</v>
      </c>
      <c r="Q105" s="109">
        <f t="shared" ref="Q105" si="147">IF(Q103 &gt; 0, Q103, Q104)</f>
        <v>0</v>
      </c>
      <c r="R105" s="109">
        <f t="shared" ref="R105" si="148">IF(R103 &gt; 0, R103, R104)</f>
        <v>0</v>
      </c>
      <c r="S105" s="109">
        <f t="shared" ref="S105" si="149">IF(S103 &gt; 0, S103, S104)</f>
        <v>0</v>
      </c>
      <c r="T105" s="109">
        <f t="shared" ref="T105" si="150">IF(T103 &gt; 0, T103, T104)</f>
        <v>0</v>
      </c>
      <c r="U105" s="109">
        <f t="shared" ref="U105" si="151">IF(U103 &gt; 0, U103, U104)</f>
        <v>0</v>
      </c>
      <c r="V105" s="109">
        <f t="shared" ref="V105" si="152">IF(V103 &gt; 0, V103, V104)</f>
        <v>0</v>
      </c>
      <c r="W105" s="109">
        <f t="shared" ref="W105" si="153">IF(W103 &gt; 0, W103, W104)</f>
        <v>0</v>
      </c>
      <c r="X105" s="109">
        <f t="shared" ref="X105" si="154">IF(X103 &gt; 0, X103, X104)</f>
        <v>404.70775199999997</v>
      </c>
      <c r="Y105" s="109">
        <f t="shared" ref="Y105" si="155">IF(Y103 &gt; 0, Y103, Y104)</f>
        <v>1583</v>
      </c>
      <c r="Z105" s="109">
        <f t="shared" ref="Z105" si="156">IF(Z103 &gt; 0, Z103, Z104)</f>
        <v>1607</v>
      </c>
      <c r="AA105" s="109">
        <f t="shared" ref="AA105" si="157">IF(AA103 &gt; 0, AA103, AA104)</f>
        <v>2506</v>
      </c>
      <c r="AB105" s="109">
        <f t="shared" ref="AB105" si="158">IF(AB103 &gt; 0, AB103, AB104)</f>
        <v>2306</v>
      </c>
      <c r="AC105" s="109">
        <f t="shared" ref="AC105" si="159">IF(AC103 &gt; 0, AC103, AC104)</f>
        <v>778.15</v>
      </c>
      <c r="AD105" s="109">
        <f t="shared" ref="AD105" si="160">IF(AD103 &gt; 0, AD103, AD104)</f>
        <v>2221.6666666666665</v>
      </c>
      <c r="AE105" s="109">
        <f t="shared" ref="AE105" si="161">IF(AE103 &gt; 0, AE103, AE104)</f>
        <v>2221.6666666666665</v>
      </c>
      <c r="AF105" s="109">
        <f t="shared" ref="AF105" si="162">IF(AF103 &gt; 0, AF103, AF104)</f>
        <v>2221.6666666666665</v>
      </c>
      <c r="AG105" s="109">
        <f t="shared" ref="AG105" si="163">IF(AG103 &gt; 0, AG103, AG104)</f>
        <v>2221.6666666666665</v>
      </c>
      <c r="AH105" s="109">
        <f t="shared" ref="AH105" si="164">IF(AH103 &gt; 0, AH103, AH104)</f>
        <v>2221.6666666666665</v>
      </c>
      <c r="AI105" s="109">
        <f t="shared" ref="AI105" si="165">IF(AI103 &gt; 0, AI103, AI104)</f>
        <v>2221.6666666666665</v>
      </c>
      <c r="AJ105" s="109">
        <f t="shared" ref="AJ105" si="166">IF(AJ103 &gt; 0, AJ103, AJ104)</f>
        <v>2221.6666666666665</v>
      </c>
      <c r="AK105" s="109">
        <f t="shared" ref="AK105" si="167">IF(AK103 &gt; 0, AK103, AK104)</f>
        <v>2221.6666666666665</v>
      </c>
      <c r="AL105" s="109">
        <f t="shared" ref="AL105" si="168">IF(AL103 &gt; 0, AL103, AL104)</f>
        <v>2221.6666666666665</v>
      </c>
      <c r="AM105" s="109">
        <f t="shared" ref="AM105" si="169">IF(AM103 &gt; 0, AM103, AM104)</f>
        <v>0</v>
      </c>
      <c r="AN105" s="109">
        <f t="shared" ref="AN105" si="170">IF(AN103 &gt; 0, AN103, AN104)</f>
        <v>0</v>
      </c>
      <c r="AO105" s="109">
        <f t="shared" ref="AO105" si="171">IF(AO103 &gt; 0, AO103, AO104)</f>
        <v>0</v>
      </c>
      <c r="AP105" s="109">
        <f t="shared" ref="AP105" si="172">IF(AP103 &gt; 0, AP103, AP104)</f>
        <v>0</v>
      </c>
      <c r="AQ105" s="109">
        <f t="shared" ref="AQ105" si="173">IF(AQ103 &gt; 0, AQ103, AQ104)</f>
        <v>0</v>
      </c>
      <c r="AR105" s="109">
        <f t="shared" ref="AR105" si="174">IF(AR103 &gt; 0, AR103, AR104)</f>
        <v>0</v>
      </c>
      <c r="AS105" s="109">
        <f>IF(AS103 &gt; 0, AS103, AS104)</f>
        <v>0</v>
      </c>
    </row>
    <row r="106" spans="1:45" ht="15" customHeight="1" x14ac:dyDescent="0.3">
      <c r="A106" s="81"/>
      <c r="B106" s="129"/>
      <c r="C106" s="130"/>
      <c r="D106" s="106"/>
      <c r="E106" s="106"/>
      <c r="F106" s="106"/>
      <c r="G106" s="106"/>
      <c r="H106" s="131"/>
      <c r="I106" s="131"/>
      <c r="J106" s="58"/>
      <c r="K106" s="106"/>
      <c r="L106" s="106"/>
      <c r="M106" s="106"/>
      <c r="N106" s="106"/>
      <c r="O106" s="106"/>
      <c r="P106" s="106"/>
      <c r="Q106" s="106"/>
      <c r="R106" s="106"/>
      <c r="S106" s="106"/>
      <c r="T106" s="106"/>
      <c r="U106" s="106"/>
      <c r="V106" s="106"/>
      <c r="W106" s="106"/>
      <c r="X106" s="106"/>
      <c r="Y106" s="106"/>
      <c r="Z106" s="106"/>
      <c r="AA106" s="106"/>
      <c r="AB106" s="106"/>
      <c r="AC106" s="106"/>
      <c r="AD106" s="106"/>
      <c r="AE106" s="106"/>
      <c r="AF106" s="106"/>
      <c r="AG106" s="106"/>
      <c r="AH106" s="106"/>
      <c r="AI106" s="106"/>
      <c r="AJ106" s="106"/>
      <c r="AK106" s="106"/>
      <c r="AL106" s="106"/>
      <c r="AM106" s="106"/>
      <c r="AN106" s="106"/>
      <c r="AO106" s="106"/>
      <c r="AP106" s="106"/>
      <c r="AQ106" s="106"/>
      <c r="AR106" s="106"/>
      <c r="AS106" s="106"/>
    </row>
    <row r="107" spans="1:45" ht="15" customHeight="1" x14ac:dyDescent="0.3">
      <c r="A107" s="81"/>
      <c r="B107" s="129"/>
      <c r="C107" s="130" t="s">
        <v>542</v>
      </c>
      <c r="D107" s="106"/>
      <c r="E107" s="106"/>
      <c r="F107" s="106"/>
      <c r="G107" s="106"/>
      <c r="H107" s="131"/>
      <c r="I107" s="131"/>
      <c r="J107" s="58"/>
      <c r="K107" s="106"/>
      <c r="L107" s="106"/>
      <c r="M107" s="106"/>
      <c r="N107" s="106"/>
      <c r="O107" s="106"/>
      <c r="P107" s="106"/>
      <c r="Q107" s="106"/>
      <c r="R107" s="106"/>
      <c r="S107" s="106"/>
      <c r="T107" s="106"/>
      <c r="U107" s="106"/>
      <c r="V107" s="106"/>
      <c r="W107" s="106"/>
      <c r="X107" s="106"/>
      <c r="Y107" s="106"/>
      <c r="Z107" s="106"/>
      <c r="AA107" s="106"/>
      <c r="AB107" s="106"/>
      <c r="AC107" s="106"/>
      <c r="AD107" s="106"/>
      <c r="AE107" s="106"/>
      <c r="AF107" s="106"/>
      <c r="AG107" s="106"/>
      <c r="AH107" s="106"/>
      <c r="AI107" s="106"/>
      <c r="AJ107" s="106"/>
      <c r="AK107" s="106"/>
      <c r="AL107" s="106"/>
      <c r="AM107" s="106"/>
      <c r="AN107" s="106"/>
      <c r="AO107" s="106"/>
      <c r="AP107" s="106"/>
      <c r="AQ107" s="106"/>
      <c r="AR107" s="106"/>
      <c r="AS107" s="106"/>
    </row>
    <row r="108" spans="1:45" ht="15" customHeight="1" x14ac:dyDescent="0.3">
      <c r="A108" s="81"/>
      <c r="B108" s="129"/>
      <c r="C108" s="130"/>
      <c r="D108" s="106"/>
      <c r="E108" s="106"/>
      <c r="F108" s="106"/>
      <c r="G108" s="106"/>
      <c r="H108" s="131"/>
      <c r="I108" s="131"/>
      <c r="J108" s="58"/>
      <c r="K108" s="106"/>
      <c r="L108" s="106"/>
      <c r="M108" s="106"/>
      <c r="N108" s="106"/>
      <c r="O108" s="106"/>
      <c r="P108" s="106"/>
      <c r="Q108" s="106"/>
      <c r="R108" s="106"/>
      <c r="S108" s="106"/>
      <c r="T108" s="106"/>
      <c r="U108" s="106"/>
      <c r="V108" s="106"/>
      <c r="W108" s="106"/>
      <c r="X108" s="106"/>
      <c r="Y108" s="106"/>
      <c r="Z108" s="106"/>
      <c r="AA108" s="106"/>
      <c r="AB108" s="106"/>
      <c r="AC108" s="106"/>
      <c r="AD108" s="106"/>
      <c r="AE108" s="106"/>
      <c r="AF108" s="106"/>
      <c r="AG108" s="106"/>
      <c r="AH108" s="106"/>
      <c r="AI108" s="106"/>
      <c r="AJ108" s="106"/>
      <c r="AK108" s="106"/>
      <c r="AL108" s="106"/>
      <c r="AM108" s="106"/>
      <c r="AN108" s="106"/>
      <c r="AO108" s="106"/>
      <c r="AP108" s="106"/>
      <c r="AQ108" s="106"/>
      <c r="AR108" s="106"/>
      <c r="AS108" s="106"/>
    </row>
    <row r="109" spans="1:45" ht="15" customHeight="1" x14ac:dyDescent="0.3">
      <c r="A109" s="81"/>
      <c r="B109" s="129"/>
      <c r="C109" s="130"/>
      <c r="D109" s="106"/>
      <c r="E109" s="256" t="str">
        <f xml:space="preserve"> COMMUS_23FS_Model!E$60</f>
        <v>Cobalt</v>
      </c>
      <c r="F109" s="256">
        <f xml:space="preserve"> COMMUS_23FS_Model!F$60</f>
        <v>0</v>
      </c>
      <c r="G109" s="256" t="str">
        <f xml:space="preserve"> COMMUS_23FS_Model!G$60</f>
        <v>tonnes</v>
      </c>
      <c r="H109" s="256">
        <f xml:space="preserve"> COMMUS_23FS_Model!H$60</f>
        <v>0</v>
      </c>
      <c r="I109" s="256">
        <f xml:space="preserve"> COMMUS_23FS_Model!I$60</f>
        <v>22151</v>
      </c>
      <c r="J109" s="256">
        <f xml:space="preserve"> COMMUS_23FS_Model!J$60</f>
        <v>0</v>
      </c>
      <c r="K109" s="256">
        <f xml:space="preserve"> COMMUS_23FS_Model!K$60</f>
        <v>0</v>
      </c>
      <c r="L109" s="256">
        <f xml:space="preserve"> COMMUS_23FS_Model!L$60</f>
        <v>0</v>
      </c>
      <c r="M109" s="256">
        <f xml:space="preserve"> COMMUS_23FS_Model!M$60</f>
        <v>0</v>
      </c>
      <c r="N109" s="256">
        <f xml:space="preserve"> COMMUS_23FS_Model!N$60</f>
        <v>0</v>
      </c>
      <c r="O109" s="256">
        <f xml:space="preserve"> COMMUS_23FS_Model!O$60</f>
        <v>0</v>
      </c>
      <c r="P109" s="256">
        <f xml:space="preserve"> COMMUS_23FS_Model!P$60</f>
        <v>0</v>
      </c>
      <c r="Q109" s="256">
        <f xml:space="preserve"> COMMUS_23FS_Model!Q$60</f>
        <v>0</v>
      </c>
      <c r="R109" s="256">
        <f xml:space="preserve"> COMMUS_23FS_Model!R$60</f>
        <v>0</v>
      </c>
      <c r="S109" s="256">
        <f xml:space="preserve"> COMMUS_23FS_Model!S$60</f>
        <v>0</v>
      </c>
      <c r="T109" s="256">
        <f xml:space="preserve"> COMMUS_23FS_Model!T$60</f>
        <v>0</v>
      </c>
      <c r="U109" s="256">
        <f xml:space="preserve"> COMMUS_23FS_Model!U$60</f>
        <v>0</v>
      </c>
      <c r="V109" s="256">
        <f xml:space="preserve"> COMMUS_23FS_Model!V$60</f>
        <v>0</v>
      </c>
      <c r="W109" s="256">
        <f xml:space="preserve"> COMMUS_23FS_Model!W$60</f>
        <v>0</v>
      </c>
      <c r="X109" s="256">
        <f xml:space="preserve"> COMMUS_23FS_Model!X$60</f>
        <v>708.03</v>
      </c>
      <c r="Y109" s="256">
        <f xml:space="preserve"> COMMUS_23FS_Model!Y$60</f>
        <v>1423.08</v>
      </c>
      <c r="Z109" s="256">
        <f xml:space="preserve"> COMMUS_23FS_Model!Z$60</f>
        <v>1606.93</v>
      </c>
      <c r="AA109" s="256">
        <f xml:space="preserve"> COMMUS_23FS_Model!AA$60</f>
        <v>2506.1799999999998</v>
      </c>
      <c r="AB109" s="256">
        <f xml:space="preserve"> COMMUS_23FS_Model!AB$60</f>
        <v>1678.94</v>
      </c>
      <c r="AC109" s="256">
        <f xml:space="preserve"> COMMUS_23FS_Model!AC$60</f>
        <v>1733.6771428571428</v>
      </c>
      <c r="AD109" s="256">
        <f xml:space="preserve"> COMMUS_23FS_Model!AD$60</f>
        <v>1733.6771428571428</v>
      </c>
      <c r="AE109" s="256">
        <f xml:space="preserve"> COMMUS_23FS_Model!AE$60</f>
        <v>1733.6771428571428</v>
      </c>
      <c r="AF109" s="256">
        <f xml:space="preserve"> COMMUS_23FS_Model!AF$60</f>
        <v>1733.6771428571428</v>
      </c>
      <c r="AG109" s="256">
        <f xml:space="preserve"> COMMUS_23FS_Model!AG$60</f>
        <v>1733.6771428571428</v>
      </c>
      <c r="AH109" s="256">
        <f xml:space="preserve"> COMMUS_23FS_Model!AH$60</f>
        <v>1733.6771428571428</v>
      </c>
      <c r="AI109" s="256">
        <f xml:space="preserve"> COMMUS_23FS_Model!AI$60</f>
        <v>1733.6771428571428</v>
      </c>
      <c r="AJ109" s="256">
        <f xml:space="preserve"> COMMUS_23FS_Model!AJ$60</f>
        <v>1479.91</v>
      </c>
      <c r="AK109" s="256">
        <f xml:space="preserve"> COMMUS_23FS_Model!AK$60</f>
        <v>612.19000000000005</v>
      </c>
      <c r="AL109" s="256">
        <f xml:space="preserve"> COMMUS_23FS_Model!AL$60</f>
        <v>0</v>
      </c>
      <c r="AM109" s="256">
        <f xml:space="preserve"> COMMUS_23FS_Model!AM$60</f>
        <v>0</v>
      </c>
      <c r="AN109" s="256">
        <f xml:space="preserve"> COMMUS_23FS_Model!AN$60</f>
        <v>0</v>
      </c>
      <c r="AO109" s="256">
        <f xml:space="preserve"> COMMUS_23FS_Model!AO$60</f>
        <v>0</v>
      </c>
      <c r="AP109" s="256">
        <f xml:space="preserve"> COMMUS_23FS_Model!AP$60</f>
        <v>0</v>
      </c>
      <c r="AQ109" s="256">
        <f xml:space="preserve"> COMMUS_23FS_Model!AQ$60</f>
        <v>0</v>
      </c>
      <c r="AR109" s="256">
        <f xml:space="preserve"> COMMUS_23FS_Model!AR$60</f>
        <v>0</v>
      </c>
      <c r="AS109" s="256">
        <f xml:space="preserve"> COMMUS_23FS_Model!AS$60</f>
        <v>0</v>
      </c>
    </row>
    <row r="110" spans="1:45" ht="15" customHeight="1" x14ac:dyDescent="0.3">
      <c r="A110" s="81"/>
      <c r="B110" s="129"/>
      <c r="C110" s="130"/>
      <c r="D110" s="106"/>
      <c r="E110" s="106"/>
      <c r="F110" s="106"/>
      <c r="G110" s="106"/>
      <c r="H110" s="131"/>
      <c r="I110" s="131"/>
      <c r="J110" s="58"/>
      <c r="K110" s="106"/>
      <c r="L110" s="106"/>
      <c r="M110" s="106"/>
      <c r="N110" s="106"/>
      <c r="O110" s="106"/>
      <c r="P110" s="106"/>
      <c r="Q110" s="106"/>
      <c r="R110" s="106"/>
      <c r="S110" s="106"/>
      <c r="T110" s="106"/>
      <c r="U110" s="106"/>
      <c r="V110" s="106"/>
      <c r="W110" s="106"/>
      <c r="X110" s="106"/>
      <c r="Y110" s="106"/>
      <c r="Z110" s="106"/>
      <c r="AA110" s="106"/>
      <c r="AB110" s="106"/>
      <c r="AC110" s="106"/>
      <c r="AD110" s="106"/>
      <c r="AE110" s="106"/>
      <c r="AF110" s="106"/>
      <c r="AG110" s="106"/>
      <c r="AH110" s="106"/>
      <c r="AI110" s="106"/>
      <c r="AJ110" s="106"/>
      <c r="AK110" s="106"/>
      <c r="AL110" s="106"/>
      <c r="AM110" s="106"/>
      <c r="AN110" s="106"/>
      <c r="AO110" s="106"/>
      <c r="AP110" s="106"/>
      <c r="AQ110" s="106"/>
      <c r="AR110" s="106"/>
      <c r="AS110" s="106"/>
    </row>
    <row r="111" spans="1:45" ht="15" customHeight="1" x14ac:dyDescent="0.3">
      <c r="A111" s="81"/>
      <c r="B111" s="129"/>
      <c r="C111" s="130"/>
      <c r="D111" s="106"/>
      <c r="E111" s="110" t="str">
        <f xml:space="preserve"> E$62</f>
        <v>2023-24 flag</v>
      </c>
      <c r="F111" s="110">
        <f t="shared" ref="F111:O111" si="175" xml:space="preserve"> F$62</f>
        <v>0</v>
      </c>
      <c r="G111" s="110" t="str">
        <f t="shared" si="175"/>
        <v>flag</v>
      </c>
      <c r="H111" s="110">
        <f t="shared" si="175"/>
        <v>0</v>
      </c>
      <c r="I111" s="110">
        <f t="shared" si="175"/>
        <v>0</v>
      </c>
      <c r="J111" s="110">
        <f t="shared" si="175"/>
        <v>0</v>
      </c>
      <c r="K111" s="110">
        <f t="shared" si="175"/>
        <v>0</v>
      </c>
      <c r="L111" s="110">
        <f t="shared" si="175"/>
        <v>0</v>
      </c>
      <c r="M111" s="110">
        <f t="shared" si="175"/>
        <v>0</v>
      </c>
      <c r="N111" s="110">
        <f t="shared" si="175"/>
        <v>0</v>
      </c>
      <c r="O111" s="110">
        <f t="shared" si="175"/>
        <v>0</v>
      </c>
      <c r="P111" s="110">
        <f t="shared" ref="P111:AS111" si="176" xml:space="preserve"> P$62</f>
        <v>0</v>
      </c>
      <c r="Q111" s="110">
        <f t="shared" si="176"/>
        <v>0</v>
      </c>
      <c r="R111" s="110">
        <f t="shared" si="176"/>
        <v>0</v>
      </c>
      <c r="S111" s="110">
        <f t="shared" si="176"/>
        <v>0</v>
      </c>
      <c r="T111" s="110">
        <f t="shared" si="176"/>
        <v>0</v>
      </c>
      <c r="U111" s="110">
        <f t="shared" si="176"/>
        <v>0</v>
      </c>
      <c r="V111" s="110">
        <f t="shared" si="176"/>
        <v>0</v>
      </c>
      <c r="W111" s="110">
        <f t="shared" si="176"/>
        <v>0</v>
      </c>
      <c r="X111" s="110">
        <f t="shared" si="176"/>
        <v>0</v>
      </c>
      <c r="Y111" s="110">
        <f t="shared" si="176"/>
        <v>0</v>
      </c>
      <c r="Z111" s="110">
        <f t="shared" si="176"/>
        <v>0</v>
      </c>
      <c r="AA111" s="110">
        <f t="shared" si="176"/>
        <v>0</v>
      </c>
      <c r="AB111" s="110">
        <f t="shared" si="176"/>
        <v>1</v>
      </c>
      <c r="AC111" s="110">
        <f t="shared" si="176"/>
        <v>1</v>
      </c>
      <c r="AD111" s="110">
        <f t="shared" si="176"/>
        <v>0</v>
      </c>
      <c r="AE111" s="110">
        <f t="shared" si="176"/>
        <v>0</v>
      </c>
      <c r="AF111" s="110">
        <f t="shared" si="176"/>
        <v>0</v>
      </c>
      <c r="AG111" s="110">
        <f t="shared" si="176"/>
        <v>0</v>
      </c>
      <c r="AH111" s="110">
        <f t="shared" si="176"/>
        <v>0</v>
      </c>
      <c r="AI111" s="110">
        <f t="shared" si="176"/>
        <v>0</v>
      </c>
      <c r="AJ111" s="110">
        <f t="shared" si="176"/>
        <v>0</v>
      </c>
      <c r="AK111" s="110">
        <f t="shared" si="176"/>
        <v>0</v>
      </c>
      <c r="AL111" s="110">
        <f t="shared" si="176"/>
        <v>0</v>
      </c>
      <c r="AM111" s="110">
        <f t="shared" si="176"/>
        <v>0</v>
      </c>
      <c r="AN111" s="110">
        <f t="shared" si="176"/>
        <v>0</v>
      </c>
      <c r="AO111" s="110">
        <f t="shared" si="176"/>
        <v>0</v>
      </c>
      <c r="AP111" s="110">
        <f t="shared" si="176"/>
        <v>0</v>
      </c>
      <c r="AQ111" s="110">
        <f t="shared" si="176"/>
        <v>0</v>
      </c>
      <c r="AR111" s="110">
        <f t="shared" si="176"/>
        <v>0</v>
      </c>
      <c r="AS111" s="110">
        <f t="shared" si="176"/>
        <v>0</v>
      </c>
    </row>
    <row r="112" spans="1:45" ht="15" customHeight="1" x14ac:dyDescent="0.3">
      <c r="A112" s="1"/>
      <c r="E112" s="104" t="str">
        <f xml:space="preserve"> Inputs_TS!E$109</f>
        <v>Constructed historic cobalt production</v>
      </c>
      <c r="F112" s="104"/>
      <c r="G112" s="104" t="str">
        <f xml:space="preserve"> Inputs_TS!G$109</f>
        <v>tonnes</v>
      </c>
      <c r="H112" s="104" t="str">
        <f xml:space="preserve"> Inputs_TS!H$109</f>
        <v>IX, XIV</v>
      </c>
      <c r="I112" s="104"/>
      <c r="J112" s="104">
        <f xml:space="preserve"> Inputs_TS!J$109</f>
        <v>0</v>
      </c>
      <c r="K112" s="104">
        <f xml:space="preserve"> Inputs_TS!K$109</f>
        <v>0</v>
      </c>
      <c r="L112" s="104">
        <f xml:space="preserve"> Inputs_TS!L$109</f>
        <v>0</v>
      </c>
      <c r="M112" s="104">
        <f xml:space="preserve"> Inputs_TS!M$109</f>
        <v>0</v>
      </c>
      <c r="N112" s="104">
        <f xml:space="preserve"> Inputs_TS!N$109</f>
        <v>0</v>
      </c>
      <c r="O112" s="104">
        <f xml:space="preserve"> Inputs_TS!O$109</f>
        <v>0</v>
      </c>
      <c r="P112" s="104">
        <f xml:space="preserve"> Inputs_TS!P$109</f>
        <v>0</v>
      </c>
      <c r="Q112" s="104">
        <f xml:space="preserve"> Inputs_TS!Q$109</f>
        <v>0</v>
      </c>
      <c r="R112" s="104">
        <f xml:space="preserve"> Inputs_TS!R$109</f>
        <v>0</v>
      </c>
      <c r="S112" s="104">
        <f xml:space="preserve"> Inputs_TS!S$109</f>
        <v>0</v>
      </c>
      <c r="T112" s="104">
        <f xml:space="preserve"> Inputs_TS!T$109</f>
        <v>0</v>
      </c>
      <c r="U112" s="104">
        <f xml:space="preserve"> Inputs_TS!U$109</f>
        <v>0</v>
      </c>
      <c r="V112" s="104">
        <f xml:space="preserve"> Inputs_TS!V$109</f>
        <v>0</v>
      </c>
      <c r="W112" s="104">
        <f xml:space="preserve"> Inputs_TS!W$109</f>
        <v>0</v>
      </c>
      <c r="X112" s="104">
        <f xml:space="preserve"> Inputs_TS!X$109</f>
        <v>404.70775199999997</v>
      </c>
      <c r="Y112" s="104">
        <f xml:space="preserve"> Inputs_TS!Y$109</f>
        <v>1583</v>
      </c>
      <c r="Z112" s="104">
        <f xml:space="preserve"> Inputs_TS!Z$109</f>
        <v>1607</v>
      </c>
      <c r="AA112" s="104">
        <f xml:space="preserve"> Inputs_TS!AA$109</f>
        <v>2506</v>
      </c>
      <c r="AB112" s="104">
        <f xml:space="preserve"> Inputs_TS!AB$109</f>
        <v>2306</v>
      </c>
      <c r="AC112" s="104">
        <f xml:space="preserve"> Inputs_TS!AC$109</f>
        <v>778.15</v>
      </c>
      <c r="AD112" s="104">
        <f xml:space="preserve"> Inputs_TS!AD$109</f>
        <v>0</v>
      </c>
      <c r="AE112" s="104">
        <f xml:space="preserve"> Inputs_TS!AE$109</f>
        <v>0</v>
      </c>
      <c r="AF112" s="104">
        <f xml:space="preserve"> Inputs_TS!AF$109</f>
        <v>0</v>
      </c>
      <c r="AG112" s="104">
        <f xml:space="preserve"> Inputs_TS!AG$109</f>
        <v>0</v>
      </c>
      <c r="AH112" s="104">
        <f xml:space="preserve"> Inputs_TS!AH$109</f>
        <v>0</v>
      </c>
      <c r="AI112" s="104">
        <f xml:space="preserve"> Inputs_TS!AI$109</f>
        <v>0</v>
      </c>
      <c r="AJ112" s="104">
        <f xml:space="preserve"> Inputs_TS!AJ$109</f>
        <v>0</v>
      </c>
      <c r="AK112" s="104">
        <f xml:space="preserve"> Inputs_TS!AK$109</f>
        <v>0</v>
      </c>
      <c r="AL112" s="104">
        <f xml:space="preserve"> Inputs_TS!AL$109</f>
        <v>0</v>
      </c>
      <c r="AM112" s="104">
        <f xml:space="preserve"> Inputs_TS!AM$109</f>
        <v>0</v>
      </c>
      <c r="AN112" s="104">
        <f xml:space="preserve"> Inputs_TS!AN$109</f>
        <v>0</v>
      </c>
      <c r="AO112" s="104">
        <f xml:space="preserve"> Inputs_TS!AO$109</f>
        <v>0</v>
      </c>
      <c r="AP112" s="104">
        <f xml:space="preserve"> Inputs_TS!AP$109</f>
        <v>0</v>
      </c>
      <c r="AQ112" s="104">
        <f xml:space="preserve"> Inputs_TS!AQ$109</f>
        <v>0</v>
      </c>
      <c r="AR112" s="104">
        <f xml:space="preserve"> Inputs_TS!AR$109</f>
        <v>0</v>
      </c>
      <c r="AS112" s="104">
        <f xml:space="preserve"> Inputs_TS!AS$109</f>
        <v>0</v>
      </c>
    </row>
    <row r="113" spans="1:45" ht="15" customHeight="1" x14ac:dyDescent="0.3">
      <c r="A113" s="81"/>
      <c r="B113" s="129"/>
      <c r="C113" s="130"/>
      <c r="D113" s="106"/>
      <c r="E113" s="106" t="s">
        <v>543</v>
      </c>
      <c r="F113" s="106"/>
      <c r="G113" s="106" t="s">
        <v>38</v>
      </c>
      <c r="H113" s="131"/>
      <c r="I113" s="131"/>
      <c r="J113" s="58"/>
      <c r="K113" s="36">
        <f t="shared" ref="K113:O113" si="177">K111 * K112</f>
        <v>0</v>
      </c>
      <c r="L113" s="36">
        <f t="shared" si="177"/>
        <v>0</v>
      </c>
      <c r="M113" s="36">
        <f t="shared" si="177"/>
        <v>0</v>
      </c>
      <c r="N113" s="36">
        <f t="shared" si="177"/>
        <v>0</v>
      </c>
      <c r="O113" s="36">
        <f t="shared" si="177"/>
        <v>0</v>
      </c>
      <c r="P113" s="36">
        <f t="shared" ref="P113" si="178">P111 * P112</f>
        <v>0</v>
      </c>
      <c r="Q113" s="36">
        <f t="shared" ref="Q113:AS113" si="179">Q111 * Q112</f>
        <v>0</v>
      </c>
      <c r="R113" s="36">
        <f t="shared" si="179"/>
        <v>0</v>
      </c>
      <c r="S113" s="36">
        <f t="shared" si="179"/>
        <v>0</v>
      </c>
      <c r="T113" s="36">
        <f t="shared" si="179"/>
        <v>0</v>
      </c>
      <c r="U113" s="36">
        <f t="shared" si="179"/>
        <v>0</v>
      </c>
      <c r="V113" s="36">
        <f t="shared" si="179"/>
        <v>0</v>
      </c>
      <c r="W113" s="36">
        <f t="shared" si="179"/>
        <v>0</v>
      </c>
      <c r="X113" s="36">
        <f t="shared" si="179"/>
        <v>0</v>
      </c>
      <c r="Y113" s="36">
        <f t="shared" si="179"/>
        <v>0</v>
      </c>
      <c r="Z113" s="36">
        <f t="shared" si="179"/>
        <v>0</v>
      </c>
      <c r="AA113" s="36">
        <f t="shared" si="179"/>
        <v>0</v>
      </c>
      <c r="AB113" s="36">
        <f t="shared" si="179"/>
        <v>2306</v>
      </c>
      <c r="AC113" s="36">
        <f t="shared" si="179"/>
        <v>778.15</v>
      </c>
      <c r="AD113" s="36">
        <f t="shared" si="179"/>
        <v>0</v>
      </c>
      <c r="AE113" s="36">
        <f t="shared" si="179"/>
        <v>0</v>
      </c>
      <c r="AF113" s="36">
        <f t="shared" si="179"/>
        <v>0</v>
      </c>
      <c r="AG113" s="36">
        <f t="shared" si="179"/>
        <v>0</v>
      </c>
      <c r="AH113" s="36">
        <f t="shared" si="179"/>
        <v>0</v>
      </c>
      <c r="AI113" s="36">
        <f t="shared" si="179"/>
        <v>0</v>
      </c>
      <c r="AJ113" s="36">
        <f t="shared" si="179"/>
        <v>0</v>
      </c>
      <c r="AK113" s="36">
        <f t="shared" si="179"/>
        <v>0</v>
      </c>
      <c r="AL113" s="36">
        <f t="shared" si="179"/>
        <v>0</v>
      </c>
      <c r="AM113" s="36">
        <f t="shared" si="179"/>
        <v>0</v>
      </c>
      <c r="AN113" s="36">
        <f t="shared" si="179"/>
        <v>0</v>
      </c>
      <c r="AO113" s="36">
        <f t="shared" si="179"/>
        <v>0</v>
      </c>
      <c r="AP113" s="36">
        <f t="shared" si="179"/>
        <v>0</v>
      </c>
      <c r="AQ113" s="36">
        <f t="shared" si="179"/>
        <v>0</v>
      </c>
      <c r="AR113" s="36">
        <f t="shared" si="179"/>
        <v>0</v>
      </c>
      <c r="AS113" s="36">
        <f t="shared" si="179"/>
        <v>0</v>
      </c>
    </row>
    <row r="114" spans="1:45" ht="15" customHeight="1" x14ac:dyDescent="0.3">
      <c r="A114" s="81"/>
      <c r="B114" s="129"/>
      <c r="C114" s="130"/>
      <c r="D114" s="106"/>
      <c r="E114" s="106"/>
      <c r="F114" s="106"/>
      <c r="G114" s="106"/>
      <c r="H114" s="131"/>
      <c r="I114" s="131"/>
      <c r="J114" s="58"/>
      <c r="K114" s="36"/>
      <c r="L114" s="36"/>
      <c r="M114" s="36"/>
      <c r="N114" s="36"/>
      <c r="O114" s="36"/>
      <c r="P114" s="36"/>
      <c r="Q114" s="36"/>
      <c r="R114" s="36"/>
      <c r="S114" s="36"/>
      <c r="T114" s="36"/>
      <c r="U114" s="36"/>
      <c r="V114" s="36"/>
      <c r="W114" s="36"/>
      <c r="X114" s="36"/>
      <c r="Y114" s="36"/>
      <c r="Z114" s="36"/>
      <c r="AA114" s="36"/>
      <c r="AB114" s="36"/>
      <c r="AC114" s="36"/>
      <c r="AD114" s="36"/>
      <c r="AE114" s="36"/>
      <c r="AF114" s="36"/>
      <c r="AG114" s="36"/>
      <c r="AH114" s="36"/>
      <c r="AI114" s="36"/>
      <c r="AJ114" s="36"/>
      <c r="AK114" s="36"/>
      <c r="AL114" s="36"/>
      <c r="AM114" s="36"/>
      <c r="AN114" s="36"/>
      <c r="AO114" s="36"/>
      <c r="AP114" s="36"/>
      <c r="AQ114" s="36"/>
      <c r="AR114" s="36"/>
      <c r="AS114" s="36"/>
    </row>
    <row r="115" spans="1:45" ht="15" customHeight="1" x14ac:dyDescent="0.3">
      <c r="A115" s="81"/>
      <c r="B115" s="129"/>
      <c r="C115" s="130"/>
      <c r="D115" s="106"/>
      <c r="E115" s="256" t="str">
        <f xml:space="preserve"> COMMUS_23FS_Model!E$60</f>
        <v>Cobalt</v>
      </c>
      <c r="F115" s="256">
        <f xml:space="preserve"> COMMUS_23FS_Model!F$60</f>
        <v>0</v>
      </c>
      <c r="G115" s="256" t="str">
        <f xml:space="preserve"> COMMUS_23FS_Model!G$60</f>
        <v>tonnes</v>
      </c>
      <c r="H115" s="256">
        <f xml:space="preserve"> COMMUS_23FS_Model!H$60</f>
        <v>0</v>
      </c>
      <c r="I115" s="256">
        <f xml:space="preserve"> COMMUS_23FS_Model!I$60</f>
        <v>22151</v>
      </c>
      <c r="J115" s="256">
        <f xml:space="preserve"> COMMUS_23FS_Model!J$60</f>
        <v>0</v>
      </c>
      <c r="K115" s="256">
        <f xml:space="preserve"> COMMUS_23FS_Model!K$60</f>
        <v>0</v>
      </c>
      <c r="L115" s="256">
        <f xml:space="preserve"> COMMUS_23FS_Model!L$60</f>
        <v>0</v>
      </c>
      <c r="M115" s="256">
        <f xml:space="preserve"> COMMUS_23FS_Model!M$60</f>
        <v>0</v>
      </c>
      <c r="N115" s="256">
        <f xml:space="preserve"> COMMUS_23FS_Model!N$60</f>
        <v>0</v>
      </c>
      <c r="O115" s="256">
        <f xml:space="preserve"> COMMUS_23FS_Model!O$60</f>
        <v>0</v>
      </c>
      <c r="P115" s="256">
        <f xml:space="preserve"> COMMUS_23FS_Model!P$60</f>
        <v>0</v>
      </c>
      <c r="Q115" s="256">
        <f xml:space="preserve"> COMMUS_23FS_Model!Q$60</f>
        <v>0</v>
      </c>
      <c r="R115" s="256">
        <f xml:space="preserve"> COMMUS_23FS_Model!R$60</f>
        <v>0</v>
      </c>
      <c r="S115" s="256">
        <f xml:space="preserve"> COMMUS_23FS_Model!S$60</f>
        <v>0</v>
      </c>
      <c r="T115" s="256">
        <f xml:space="preserve"> COMMUS_23FS_Model!T$60</f>
        <v>0</v>
      </c>
      <c r="U115" s="256">
        <f xml:space="preserve"> COMMUS_23FS_Model!U$60</f>
        <v>0</v>
      </c>
      <c r="V115" s="256">
        <f xml:space="preserve"> COMMUS_23FS_Model!V$60</f>
        <v>0</v>
      </c>
      <c r="W115" s="256">
        <f xml:space="preserve"> COMMUS_23FS_Model!W$60</f>
        <v>0</v>
      </c>
      <c r="X115" s="256">
        <f xml:space="preserve"> COMMUS_23FS_Model!X$60</f>
        <v>708.03</v>
      </c>
      <c r="Y115" s="256">
        <f xml:space="preserve"> COMMUS_23FS_Model!Y$60</f>
        <v>1423.08</v>
      </c>
      <c r="Z115" s="256">
        <f xml:space="preserve"> COMMUS_23FS_Model!Z$60</f>
        <v>1606.93</v>
      </c>
      <c r="AA115" s="256">
        <f xml:space="preserve"> COMMUS_23FS_Model!AA$60</f>
        <v>2506.1799999999998</v>
      </c>
      <c r="AB115" s="256">
        <f xml:space="preserve"> COMMUS_23FS_Model!AB$60</f>
        <v>1678.94</v>
      </c>
      <c r="AC115" s="256">
        <f xml:space="preserve"> COMMUS_23FS_Model!AC$60</f>
        <v>1733.6771428571428</v>
      </c>
      <c r="AD115" s="256">
        <f xml:space="preserve"> COMMUS_23FS_Model!AD$60</f>
        <v>1733.6771428571428</v>
      </c>
      <c r="AE115" s="256">
        <f xml:space="preserve"> COMMUS_23FS_Model!AE$60</f>
        <v>1733.6771428571428</v>
      </c>
      <c r="AF115" s="256">
        <f xml:space="preserve"> COMMUS_23FS_Model!AF$60</f>
        <v>1733.6771428571428</v>
      </c>
      <c r="AG115" s="256">
        <f xml:space="preserve"> COMMUS_23FS_Model!AG$60</f>
        <v>1733.6771428571428</v>
      </c>
      <c r="AH115" s="256">
        <f xml:space="preserve"> COMMUS_23FS_Model!AH$60</f>
        <v>1733.6771428571428</v>
      </c>
      <c r="AI115" s="256">
        <f xml:space="preserve"> COMMUS_23FS_Model!AI$60</f>
        <v>1733.6771428571428</v>
      </c>
      <c r="AJ115" s="256">
        <f xml:space="preserve"> COMMUS_23FS_Model!AJ$60</f>
        <v>1479.91</v>
      </c>
      <c r="AK115" s="256">
        <f xml:space="preserve"> COMMUS_23FS_Model!AK$60</f>
        <v>612.19000000000005</v>
      </c>
      <c r="AL115" s="256">
        <f xml:space="preserve"> COMMUS_23FS_Model!AL$60</f>
        <v>0</v>
      </c>
      <c r="AM115" s="256">
        <f xml:space="preserve"> COMMUS_23FS_Model!AM$60</f>
        <v>0</v>
      </c>
      <c r="AN115" s="256">
        <f xml:space="preserve"> COMMUS_23FS_Model!AN$60</f>
        <v>0</v>
      </c>
      <c r="AO115" s="256">
        <f xml:space="preserve"> COMMUS_23FS_Model!AO$60</f>
        <v>0</v>
      </c>
      <c r="AP115" s="256">
        <f xml:space="preserve"> COMMUS_23FS_Model!AP$60</f>
        <v>0</v>
      </c>
      <c r="AQ115" s="256">
        <f xml:space="preserve"> COMMUS_23FS_Model!AQ$60</f>
        <v>0</v>
      </c>
      <c r="AR115" s="256">
        <f xml:space="preserve"> COMMUS_23FS_Model!AR$60</f>
        <v>0</v>
      </c>
      <c r="AS115" s="256">
        <f xml:space="preserve"> COMMUS_23FS_Model!AS$60</f>
        <v>0</v>
      </c>
    </row>
    <row r="116" spans="1:45" ht="15" customHeight="1" x14ac:dyDescent="0.3">
      <c r="A116" s="81"/>
      <c r="B116" s="129"/>
      <c r="C116" s="130"/>
      <c r="D116" s="106"/>
      <c r="E116" s="110" t="str">
        <f xml:space="preserve"> E$113</f>
        <v>2023, 2024 cobalt</v>
      </c>
      <c r="F116" s="110">
        <f t="shared" ref="F116:O116" si="180" xml:space="preserve"> F$113</f>
        <v>0</v>
      </c>
      <c r="G116" s="110" t="str">
        <f t="shared" si="180"/>
        <v>tonnes</v>
      </c>
      <c r="H116" s="110">
        <f t="shared" si="180"/>
        <v>0</v>
      </c>
      <c r="I116" s="110">
        <f t="shared" si="180"/>
        <v>0</v>
      </c>
      <c r="J116" s="110">
        <f t="shared" si="180"/>
        <v>0</v>
      </c>
      <c r="K116" s="110">
        <f t="shared" si="180"/>
        <v>0</v>
      </c>
      <c r="L116" s="110">
        <f t="shared" si="180"/>
        <v>0</v>
      </c>
      <c r="M116" s="110">
        <f t="shared" si="180"/>
        <v>0</v>
      </c>
      <c r="N116" s="110">
        <f t="shared" si="180"/>
        <v>0</v>
      </c>
      <c r="O116" s="110">
        <f t="shared" si="180"/>
        <v>0</v>
      </c>
      <c r="P116" s="110">
        <f t="shared" ref="P116:AS116" si="181" xml:space="preserve"> P$113</f>
        <v>0</v>
      </c>
      <c r="Q116" s="110">
        <f t="shared" si="181"/>
        <v>0</v>
      </c>
      <c r="R116" s="110">
        <f t="shared" si="181"/>
        <v>0</v>
      </c>
      <c r="S116" s="110">
        <f t="shared" si="181"/>
        <v>0</v>
      </c>
      <c r="T116" s="110">
        <f t="shared" si="181"/>
        <v>0</v>
      </c>
      <c r="U116" s="110">
        <f t="shared" si="181"/>
        <v>0</v>
      </c>
      <c r="V116" s="110">
        <f t="shared" si="181"/>
        <v>0</v>
      </c>
      <c r="W116" s="110">
        <f t="shared" si="181"/>
        <v>0</v>
      </c>
      <c r="X116" s="110">
        <f t="shared" si="181"/>
        <v>0</v>
      </c>
      <c r="Y116" s="110">
        <f t="shared" si="181"/>
        <v>0</v>
      </c>
      <c r="Z116" s="110">
        <f t="shared" si="181"/>
        <v>0</v>
      </c>
      <c r="AA116" s="110">
        <f t="shared" si="181"/>
        <v>0</v>
      </c>
      <c r="AB116" s="110">
        <f t="shared" si="181"/>
        <v>2306</v>
      </c>
      <c r="AC116" s="110">
        <f t="shared" si="181"/>
        <v>778.15</v>
      </c>
      <c r="AD116" s="110">
        <f t="shared" si="181"/>
        <v>0</v>
      </c>
      <c r="AE116" s="110">
        <f t="shared" si="181"/>
        <v>0</v>
      </c>
      <c r="AF116" s="110">
        <f t="shared" si="181"/>
        <v>0</v>
      </c>
      <c r="AG116" s="110">
        <f t="shared" si="181"/>
        <v>0</v>
      </c>
      <c r="AH116" s="110">
        <f t="shared" si="181"/>
        <v>0</v>
      </c>
      <c r="AI116" s="110">
        <f t="shared" si="181"/>
        <v>0</v>
      </c>
      <c r="AJ116" s="110">
        <f t="shared" si="181"/>
        <v>0</v>
      </c>
      <c r="AK116" s="110">
        <f t="shared" si="181"/>
        <v>0</v>
      </c>
      <c r="AL116" s="110">
        <f t="shared" si="181"/>
        <v>0</v>
      </c>
      <c r="AM116" s="110">
        <f t="shared" si="181"/>
        <v>0</v>
      </c>
      <c r="AN116" s="110">
        <f t="shared" si="181"/>
        <v>0</v>
      </c>
      <c r="AO116" s="110">
        <f t="shared" si="181"/>
        <v>0</v>
      </c>
      <c r="AP116" s="110">
        <f t="shared" si="181"/>
        <v>0</v>
      </c>
      <c r="AQ116" s="110">
        <f t="shared" si="181"/>
        <v>0</v>
      </c>
      <c r="AR116" s="110">
        <f t="shared" si="181"/>
        <v>0</v>
      </c>
      <c r="AS116" s="110">
        <f t="shared" si="181"/>
        <v>0</v>
      </c>
    </row>
    <row r="117" spans="1:45" ht="15" customHeight="1" x14ac:dyDescent="0.3">
      <c r="A117" s="1"/>
      <c r="E117" s="40" t="s">
        <v>544</v>
      </c>
      <c r="F117" s="40" t="s">
        <v>552</v>
      </c>
      <c r="G117" s="40" t="s">
        <v>38</v>
      </c>
      <c r="H117" s="40"/>
      <c r="I117" s="40">
        <f>SUM(K117:AS117)</f>
        <v>21822.532857142854</v>
      </c>
      <c r="J117" s="40"/>
      <c r="K117" s="40">
        <f t="shared" ref="K117:O117" si="182">IF(K116 = 0, K115, K116)</f>
        <v>0</v>
      </c>
      <c r="L117" s="40">
        <f t="shared" si="182"/>
        <v>0</v>
      </c>
      <c r="M117" s="40">
        <f t="shared" si="182"/>
        <v>0</v>
      </c>
      <c r="N117" s="40">
        <f t="shared" si="182"/>
        <v>0</v>
      </c>
      <c r="O117" s="40">
        <f t="shared" si="182"/>
        <v>0</v>
      </c>
      <c r="P117" s="40">
        <f t="shared" ref="P117" si="183">IF(P116 = 0, P115, P116)</f>
        <v>0</v>
      </c>
      <c r="Q117" s="40">
        <f t="shared" ref="Q117:AS117" si="184">IF(Q116 = 0, Q115, Q116)</f>
        <v>0</v>
      </c>
      <c r="R117" s="40">
        <f t="shared" si="184"/>
        <v>0</v>
      </c>
      <c r="S117" s="40">
        <f t="shared" si="184"/>
        <v>0</v>
      </c>
      <c r="T117" s="40">
        <f t="shared" si="184"/>
        <v>0</v>
      </c>
      <c r="U117" s="40">
        <f t="shared" si="184"/>
        <v>0</v>
      </c>
      <c r="V117" s="40">
        <f t="shared" si="184"/>
        <v>0</v>
      </c>
      <c r="W117" s="40">
        <f t="shared" si="184"/>
        <v>0</v>
      </c>
      <c r="X117" s="40">
        <f t="shared" si="184"/>
        <v>708.03</v>
      </c>
      <c r="Y117" s="40">
        <f t="shared" si="184"/>
        <v>1423.08</v>
      </c>
      <c r="Z117" s="40">
        <f t="shared" si="184"/>
        <v>1606.93</v>
      </c>
      <c r="AA117" s="40">
        <f t="shared" si="184"/>
        <v>2506.1799999999998</v>
      </c>
      <c r="AB117" s="40">
        <f t="shared" si="184"/>
        <v>2306</v>
      </c>
      <c r="AC117" s="40">
        <f t="shared" si="184"/>
        <v>778.15</v>
      </c>
      <c r="AD117" s="40">
        <f t="shared" si="184"/>
        <v>1733.6771428571428</v>
      </c>
      <c r="AE117" s="40">
        <f t="shared" si="184"/>
        <v>1733.6771428571428</v>
      </c>
      <c r="AF117" s="40">
        <f t="shared" si="184"/>
        <v>1733.6771428571428</v>
      </c>
      <c r="AG117" s="40">
        <f t="shared" si="184"/>
        <v>1733.6771428571428</v>
      </c>
      <c r="AH117" s="40">
        <f t="shared" si="184"/>
        <v>1733.6771428571428</v>
      </c>
      <c r="AI117" s="40">
        <f t="shared" si="184"/>
        <v>1733.6771428571428</v>
      </c>
      <c r="AJ117" s="40">
        <f t="shared" si="184"/>
        <v>1479.91</v>
      </c>
      <c r="AK117" s="40">
        <f t="shared" si="184"/>
        <v>612.19000000000005</v>
      </c>
      <c r="AL117" s="40">
        <f t="shared" si="184"/>
        <v>0</v>
      </c>
      <c r="AM117" s="40">
        <f t="shared" si="184"/>
        <v>0</v>
      </c>
      <c r="AN117" s="40">
        <f t="shared" si="184"/>
        <v>0</v>
      </c>
      <c r="AO117" s="40">
        <f t="shared" si="184"/>
        <v>0</v>
      </c>
      <c r="AP117" s="40">
        <f t="shared" si="184"/>
        <v>0</v>
      </c>
      <c r="AQ117" s="40">
        <f t="shared" si="184"/>
        <v>0</v>
      </c>
      <c r="AR117" s="40">
        <f t="shared" si="184"/>
        <v>0</v>
      </c>
      <c r="AS117" s="40">
        <f t="shared" si="184"/>
        <v>0</v>
      </c>
    </row>
    <row r="118" spans="1:45" ht="15" customHeight="1" x14ac:dyDescent="0.3">
      <c r="A118" s="1"/>
      <c r="E118" s="40"/>
      <c r="F118" s="40"/>
      <c r="G118" s="40"/>
      <c r="H118" s="40"/>
      <c r="I118" s="40"/>
      <c r="J118" s="40"/>
      <c r="K118" s="40"/>
      <c r="L118" s="40"/>
      <c r="M118" s="40"/>
      <c r="N118" s="40"/>
      <c r="O118" s="40"/>
      <c r="P118" s="40"/>
      <c r="Q118" s="40"/>
      <c r="R118" s="40"/>
      <c r="S118" s="40"/>
      <c r="T118" s="40"/>
      <c r="U118" s="40"/>
      <c r="V118" s="40"/>
      <c r="W118" s="40"/>
      <c r="X118" s="40"/>
      <c r="Y118" s="40"/>
      <c r="Z118" s="40"/>
      <c r="AA118" s="40"/>
      <c r="AB118" s="40"/>
      <c r="AC118" s="40"/>
      <c r="AD118" s="40"/>
      <c r="AE118" s="40"/>
      <c r="AF118" s="40"/>
      <c r="AG118" s="40"/>
      <c r="AH118" s="40"/>
      <c r="AI118" s="40"/>
      <c r="AJ118" s="40"/>
      <c r="AK118" s="40"/>
      <c r="AL118" s="40"/>
      <c r="AM118" s="40"/>
      <c r="AN118" s="40"/>
      <c r="AO118" s="40"/>
      <c r="AP118" s="40"/>
      <c r="AQ118" s="40"/>
      <c r="AR118" s="40"/>
      <c r="AS118" s="40"/>
    </row>
    <row r="119" spans="1:45" ht="15" customHeight="1" x14ac:dyDescent="0.3">
      <c r="A119" s="1"/>
      <c r="C119" s="113" t="s">
        <v>1042</v>
      </c>
      <c r="E119" s="40"/>
      <c r="F119" s="40"/>
      <c r="G119" s="40"/>
      <c r="H119" s="40"/>
      <c r="I119" s="40"/>
      <c r="J119" s="40"/>
      <c r="K119" s="40"/>
      <c r="L119" s="40"/>
      <c r="M119" s="40"/>
      <c r="N119" s="40"/>
      <c r="O119" s="40"/>
      <c r="P119" s="40"/>
      <c r="Q119" s="40"/>
      <c r="R119" s="40"/>
      <c r="S119" s="40"/>
      <c r="T119" s="40"/>
      <c r="U119" s="40"/>
      <c r="V119" s="40"/>
      <c r="W119" s="40"/>
      <c r="X119" s="40"/>
      <c r="Y119" s="40"/>
      <c r="Z119" s="40"/>
      <c r="AA119" s="40"/>
      <c r="AB119" s="40"/>
      <c r="AC119" s="40"/>
      <c r="AD119" s="40"/>
      <c r="AE119" s="40"/>
      <c r="AF119" s="40"/>
      <c r="AG119" s="40"/>
      <c r="AH119" s="40"/>
      <c r="AI119" s="40"/>
      <c r="AJ119" s="40"/>
      <c r="AK119" s="40"/>
      <c r="AL119" s="40"/>
      <c r="AM119" s="40"/>
      <c r="AN119" s="40"/>
      <c r="AO119" s="40"/>
      <c r="AP119" s="40"/>
      <c r="AQ119" s="40"/>
      <c r="AR119" s="40"/>
      <c r="AS119" s="40"/>
    </row>
    <row r="120" spans="1:45" ht="15" customHeight="1" x14ac:dyDescent="0.3">
      <c r="A120" s="1"/>
      <c r="E120" s="104" t="str">
        <f xml:space="preserve"> Inputs_Con!E$13</f>
        <v>Production case: FS or original</v>
      </c>
      <c r="F120" s="104" t="str">
        <f xml:space="preserve"> Inputs_Con!F$13</f>
        <v>FS</v>
      </c>
      <c r="G120" s="104" t="str">
        <f xml:space="preserve"> Inputs_Con!G$13</f>
        <v>selected</v>
      </c>
      <c r="H120" s="40"/>
      <c r="I120" s="40"/>
      <c r="J120" s="40"/>
      <c r="K120" s="40"/>
      <c r="L120" s="40"/>
      <c r="M120" s="40"/>
      <c r="N120" s="40"/>
      <c r="O120" s="40"/>
      <c r="P120" s="40"/>
      <c r="Q120" s="40"/>
      <c r="R120" s="40"/>
      <c r="S120" s="40"/>
      <c r="T120" s="40"/>
      <c r="U120" s="40"/>
      <c r="V120" s="40"/>
      <c r="W120" s="40"/>
      <c r="X120" s="40"/>
      <c r="Y120" s="40"/>
      <c r="Z120" s="40"/>
      <c r="AA120" s="40"/>
      <c r="AB120" s="40"/>
      <c r="AC120" s="40"/>
      <c r="AD120" s="40"/>
      <c r="AE120" s="40"/>
      <c r="AF120" s="40"/>
      <c r="AG120" s="40"/>
      <c r="AH120" s="40"/>
      <c r="AI120" s="40"/>
      <c r="AJ120" s="40"/>
      <c r="AK120" s="40"/>
      <c r="AL120" s="40"/>
      <c r="AM120" s="40"/>
      <c r="AN120" s="40"/>
      <c r="AO120" s="40"/>
      <c r="AP120" s="40"/>
      <c r="AQ120" s="40"/>
      <c r="AR120" s="40"/>
      <c r="AS120" s="40"/>
    </row>
    <row r="121" spans="1:45" ht="15" customHeight="1" x14ac:dyDescent="0.3">
      <c r="A121" s="1"/>
      <c r="E121" s="40" t="str">
        <f xml:space="preserve"> E$105</f>
        <v>Cobalt production: historic + forecast</v>
      </c>
      <c r="F121" s="40" t="str">
        <f t="shared" ref="F121:O121" si="185" xml:space="preserve"> F$105</f>
        <v>Original</v>
      </c>
      <c r="G121" s="40" t="str">
        <f t="shared" si="185"/>
        <v>tonnes</v>
      </c>
      <c r="H121" s="40">
        <f t="shared" si="185"/>
        <v>0</v>
      </c>
      <c r="I121" s="40">
        <f t="shared" si="185"/>
        <v>29179.857752000004</v>
      </c>
      <c r="J121" s="40">
        <f t="shared" si="185"/>
        <v>0</v>
      </c>
      <c r="K121" s="40">
        <f t="shared" si="185"/>
        <v>0</v>
      </c>
      <c r="L121" s="40">
        <f t="shared" si="185"/>
        <v>0</v>
      </c>
      <c r="M121" s="40">
        <f t="shared" si="185"/>
        <v>0</v>
      </c>
      <c r="N121" s="40">
        <f t="shared" si="185"/>
        <v>0</v>
      </c>
      <c r="O121" s="40">
        <f t="shared" si="185"/>
        <v>0</v>
      </c>
      <c r="P121" s="40">
        <f t="shared" ref="P121:AS121" si="186" xml:space="preserve"> P$105</f>
        <v>0</v>
      </c>
      <c r="Q121" s="40">
        <f t="shared" si="186"/>
        <v>0</v>
      </c>
      <c r="R121" s="40">
        <f t="shared" si="186"/>
        <v>0</v>
      </c>
      <c r="S121" s="40">
        <f t="shared" si="186"/>
        <v>0</v>
      </c>
      <c r="T121" s="40">
        <f t="shared" si="186"/>
        <v>0</v>
      </c>
      <c r="U121" s="40">
        <f t="shared" si="186"/>
        <v>0</v>
      </c>
      <c r="V121" s="40">
        <f t="shared" si="186"/>
        <v>0</v>
      </c>
      <c r="W121" s="40">
        <f t="shared" si="186"/>
        <v>0</v>
      </c>
      <c r="X121" s="40">
        <f t="shared" si="186"/>
        <v>404.70775199999997</v>
      </c>
      <c r="Y121" s="40">
        <f t="shared" si="186"/>
        <v>1583</v>
      </c>
      <c r="Z121" s="40">
        <f t="shared" si="186"/>
        <v>1607</v>
      </c>
      <c r="AA121" s="40">
        <f t="shared" si="186"/>
        <v>2506</v>
      </c>
      <c r="AB121" s="40">
        <f t="shared" si="186"/>
        <v>2306</v>
      </c>
      <c r="AC121" s="40">
        <f t="shared" si="186"/>
        <v>778.15</v>
      </c>
      <c r="AD121" s="40">
        <f t="shared" si="186"/>
        <v>2221.6666666666665</v>
      </c>
      <c r="AE121" s="40">
        <f t="shared" si="186"/>
        <v>2221.6666666666665</v>
      </c>
      <c r="AF121" s="40">
        <f t="shared" si="186"/>
        <v>2221.6666666666665</v>
      </c>
      <c r="AG121" s="40">
        <f t="shared" si="186"/>
        <v>2221.6666666666665</v>
      </c>
      <c r="AH121" s="40">
        <f t="shared" si="186"/>
        <v>2221.6666666666665</v>
      </c>
      <c r="AI121" s="40">
        <f t="shared" si="186"/>
        <v>2221.6666666666665</v>
      </c>
      <c r="AJ121" s="40">
        <f t="shared" si="186"/>
        <v>2221.6666666666665</v>
      </c>
      <c r="AK121" s="40">
        <f t="shared" si="186"/>
        <v>2221.6666666666665</v>
      </c>
      <c r="AL121" s="40">
        <f t="shared" si="186"/>
        <v>2221.6666666666665</v>
      </c>
      <c r="AM121" s="40">
        <f t="shared" si="186"/>
        <v>0</v>
      </c>
      <c r="AN121" s="40">
        <f t="shared" si="186"/>
        <v>0</v>
      </c>
      <c r="AO121" s="40">
        <f t="shared" si="186"/>
        <v>0</v>
      </c>
      <c r="AP121" s="40">
        <f t="shared" si="186"/>
        <v>0</v>
      </c>
      <c r="AQ121" s="40">
        <f t="shared" si="186"/>
        <v>0</v>
      </c>
      <c r="AR121" s="40">
        <f t="shared" si="186"/>
        <v>0</v>
      </c>
      <c r="AS121" s="40">
        <f t="shared" si="186"/>
        <v>0</v>
      </c>
    </row>
    <row r="122" spans="1:45" ht="15" customHeight="1" x14ac:dyDescent="0.3">
      <c r="A122" s="1"/>
      <c r="E122" s="40" t="str">
        <f xml:space="preserve"> E$117</f>
        <v>Cobalt: FS (updated)</v>
      </c>
      <c r="F122" s="40" t="str">
        <f t="shared" ref="F122:O122" si="187" xml:space="preserve"> F$117</f>
        <v>FS</v>
      </c>
      <c r="G122" s="40" t="str">
        <f t="shared" si="187"/>
        <v>tonnes</v>
      </c>
      <c r="H122" s="40">
        <f t="shared" si="187"/>
        <v>0</v>
      </c>
      <c r="I122" s="40">
        <f t="shared" si="187"/>
        <v>21822.532857142854</v>
      </c>
      <c r="J122" s="40">
        <f t="shared" si="187"/>
        <v>0</v>
      </c>
      <c r="K122" s="40">
        <f t="shared" si="187"/>
        <v>0</v>
      </c>
      <c r="L122" s="40">
        <f t="shared" si="187"/>
        <v>0</v>
      </c>
      <c r="M122" s="40">
        <f t="shared" si="187"/>
        <v>0</v>
      </c>
      <c r="N122" s="40">
        <f t="shared" si="187"/>
        <v>0</v>
      </c>
      <c r="O122" s="40">
        <f t="shared" si="187"/>
        <v>0</v>
      </c>
      <c r="P122" s="40">
        <f t="shared" ref="P122:AS122" si="188" xml:space="preserve"> P$117</f>
        <v>0</v>
      </c>
      <c r="Q122" s="40">
        <f t="shared" si="188"/>
        <v>0</v>
      </c>
      <c r="R122" s="40">
        <f t="shared" si="188"/>
        <v>0</v>
      </c>
      <c r="S122" s="40">
        <f t="shared" si="188"/>
        <v>0</v>
      </c>
      <c r="T122" s="40">
        <f t="shared" si="188"/>
        <v>0</v>
      </c>
      <c r="U122" s="40">
        <f t="shared" si="188"/>
        <v>0</v>
      </c>
      <c r="V122" s="40">
        <f t="shared" si="188"/>
        <v>0</v>
      </c>
      <c r="W122" s="40">
        <f t="shared" si="188"/>
        <v>0</v>
      </c>
      <c r="X122" s="40">
        <f t="shared" si="188"/>
        <v>708.03</v>
      </c>
      <c r="Y122" s="40">
        <f t="shared" si="188"/>
        <v>1423.08</v>
      </c>
      <c r="Z122" s="40">
        <f t="shared" si="188"/>
        <v>1606.93</v>
      </c>
      <c r="AA122" s="40">
        <f t="shared" si="188"/>
        <v>2506.1799999999998</v>
      </c>
      <c r="AB122" s="40">
        <f t="shared" si="188"/>
        <v>2306</v>
      </c>
      <c r="AC122" s="40">
        <f t="shared" si="188"/>
        <v>778.15</v>
      </c>
      <c r="AD122" s="40">
        <f t="shared" si="188"/>
        <v>1733.6771428571428</v>
      </c>
      <c r="AE122" s="40">
        <f t="shared" si="188"/>
        <v>1733.6771428571428</v>
      </c>
      <c r="AF122" s="40">
        <f t="shared" si="188"/>
        <v>1733.6771428571428</v>
      </c>
      <c r="AG122" s="40">
        <f t="shared" si="188"/>
        <v>1733.6771428571428</v>
      </c>
      <c r="AH122" s="40">
        <f t="shared" si="188"/>
        <v>1733.6771428571428</v>
      </c>
      <c r="AI122" s="40">
        <f t="shared" si="188"/>
        <v>1733.6771428571428</v>
      </c>
      <c r="AJ122" s="40">
        <f t="shared" si="188"/>
        <v>1479.91</v>
      </c>
      <c r="AK122" s="40">
        <f t="shared" si="188"/>
        <v>612.19000000000005</v>
      </c>
      <c r="AL122" s="40">
        <f t="shared" si="188"/>
        <v>0</v>
      </c>
      <c r="AM122" s="40">
        <f t="shared" si="188"/>
        <v>0</v>
      </c>
      <c r="AN122" s="40">
        <f t="shared" si="188"/>
        <v>0</v>
      </c>
      <c r="AO122" s="40">
        <f t="shared" si="188"/>
        <v>0</v>
      </c>
      <c r="AP122" s="40">
        <f t="shared" si="188"/>
        <v>0</v>
      </c>
      <c r="AQ122" s="40">
        <f t="shared" si="188"/>
        <v>0</v>
      </c>
      <c r="AR122" s="40">
        <f t="shared" si="188"/>
        <v>0</v>
      </c>
      <c r="AS122" s="40">
        <f t="shared" si="188"/>
        <v>0</v>
      </c>
    </row>
    <row r="123" spans="1:45" ht="15" customHeight="1" x14ac:dyDescent="0.3">
      <c r="A123" s="1"/>
      <c r="E123" s="40"/>
      <c r="F123" s="40"/>
      <c r="G123" s="40"/>
      <c r="H123" s="40"/>
      <c r="I123" s="40"/>
      <c r="J123" s="40"/>
      <c r="K123" s="40"/>
      <c r="L123" s="40"/>
      <c r="M123" s="40"/>
      <c r="N123" s="40"/>
      <c r="O123" s="40"/>
      <c r="P123" s="40"/>
      <c r="Q123" s="40"/>
      <c r="R123" s="40"/>
      <c r="S123" s="40"/>
      <c r="T123" s="40"/>
      <c r="U123" s="40"/>
      <c r="V123" s="40"/>
      <c r="W123" s="40"/>
      <c r="X123" s="40"/>
      <c r="Y123" s="40"/>
      <c r="Z123" s="40"/>
      <c r="AA123" s="40"/>
      <c r="AB123" s="40"/>
      <c r="AC123" s="40"/>
      <c r="AD123" s="40"/>
      <c r="AE123" s="40"/>
      <c r="AF123" s="40"/>
      <c r="AG123" s="40"/>
      <c r="AH123" s="40"/>
      <c r="AI123" s="40"/>
      <c r="AJ123" s="40"/>
      <c r="AK123" s="40"/>
      <c r="AL123" s="40"/>
      <c r="AM123" s="40"/>
      <c r="AN123" s="40"/>
      <c r="AO123" s="40"/>
      <c r="AP123" s="40"/>
      <c r="AQ123" s="40"/>
      <c r="AR123" s="40"/>
      <c r="AS123" s="40"/>
    </row>
    <row r="124" spans="1:45" ht="15" customHeight="1" x14ac:dyDescent="0.3">
      <c r="A124" s="1"/>
      <c r="E124" s="855" t="str">
        <f xml:space="preserve"> Inputs_TS!E$18</f>
        <v>Cobalt production sensitivity (forecast period)</v>
      </c>
      <c r="F124" s="855">
        <f xml:space="preserve"> Inputs_TS!F$18</f>
        <v>0</v>
      </c>
      <c r="G124" s="855" t="str">
        <f xml:space="preserve"> Inputs_TS!G$18</f>
        <v>%</v>
      </c>
      <c r="H124" s="855">
        <f xml:space="preserve"> Inputs_TS!H$18</f>
        <v>0</v>
      </c>
      <c r="I124" s="855">
        <f xml:space="preserve"> Inputs_TS!I$18</f>
        <v>0</v>
      </c>
      <c r="J124" s="855">
        <f xml:space="preserve"> Inputs_TS!J$18</f>
        <v>0</v>
      </c>
      <c r="K124" s="95">
        <f xml:space="preserve"> Inputs_TS!K$18</f>
        <v>1</v>
      </c>
      <c r="L124" s="95">
        <f xml:space="preserve"> Inputs_TS!L$18</f>
        <v>1</v>
      </c>
      <c r="M124" s="95">
        <f xml:space="preserve"> Inputs_TS!M$18</f>
        <v>1</v>
      </c>
      <c r="N124" s="95">
        <f xml:space="preserve"> Inputs_TS!N$18</f>
        <v>1</v>
      </c>
      <c r="O124" s="95">
        <f xml:space="preserve"> Inputs_TS!O$18</f>
        <v>1</v>
      </c>
      <c r="P124" s="95">
        <f xml:space="preserve"> Inputs_TS!P$18</f>
        <v>1</v>
      </c>
      <c r="Q124" s="95">
        <f xml:space="preserve"> Inputs_TS!Q$18</f>
        <v>1</v>
      </c>
      <c r="R124" s="95">
        <f xml:space="preserve"> Inputs_TS!R$18</f>
        <v>1</v>
      </c>
      <c r="S124" s="95">
        <f xml:space="preserve"> Inputs_TS!S$18</f>
        <v>1</v>
      </c>
      <c r="T124" s="95">
        <f xml:space="preserve"> Inputs_TS!T$18</f>
        <v>1</v>
      </c>
      <c r="U124" s="95">
        <f xml:space="preserve"> Inputs_TS!U$18</f>
        <v>1</v>
      </c>
      <c r="V124" s="95">
        <f xml:space="preserve"> Inputs_TS!V$18</f>
        <v>1</v>
      </c>
      <c r="W124" s="95">
        <f xml:space="preserve"> Inputs_TS!W$18</f>
        <v>1</v>
      </c>
      <c r="X124" s="95">
        <f xml:space="preserve"> Inputs_TS!X$18</f>
        <v>1</v>
      </c>
      <c r="Y124" s="95">
        <f xml:space="preserve"> Inputs_TS!Y$18</f>
        <v>1</v>
      </c>
      <c r="Z124" s="95">
        <f xml:space="preserve"> Inputs_TS!Z$18</f>
        <v>1</v>
      </c>
      <c r="AA124" s="95">
        <f xml:space="preserve"> Inputs_TS!AA$18</f>
        <v>1</v>
      </c>
      <c r="AB124" s="95">
        <f xml:space="preserve"> Inputs_TS!AB$18</f>
        <v>1</v>
      </c>
      <c r="AC124" s="95">
        <f xml:space="preserve"> Inputs_TS!AC$18</f>
        <v>1</v>
      </c>
      <c r="AD124" s="95">
        <f xml:space="preserve"> Inputs_TS!AD$18</f>
        <v>1</v>
      </c>
      <c r="AE124" s="95">
        <f xml:space="preserve"> Inputs_TS!AE$18</f>
        <v>1</v>
      </c>
      <c r="AF124" s="95">
        <f xml:space="preserve"> Inputs_TS!AF$18</f>
        <v>1</v>
      </c>
      <c r="AG124" s="95">
        <f xml:space="preserve"> Inputs_TS!AG$18</f>
        <v>1</v>
      </c>
      <c r="AH124" s="95">
        <f xml:space="preserve"> Inputs_TS!AH$18</f>
        <v>1</v>
      </c>
      <c r="AI124" s="95">
        <f xml:space="preserve"> Inputs_TS!AI$18</f>
        <v>1</v>
      </c>
      <c r="AJ124" s="95">
        <f xml:space="preserve"> Inputs_TS!AJ$18</f>
        <v>1</v>
      </c>
      <c r="AK124" s="95">
        <f xml:space="preserve"> Inputs_TS!AK$18</f>
        <v>1</v>
      </c>
      <c r="AL124" s="95">
        <f xml:space="preserve"> Inputs_TS!AL$18</f>
        <v>1</v>
      </c>
      <c r="AM124" s="95">
        <f xml:space="preserve"> Inputs_TS!AM$18</f>
        <v>1</v>
      </c>
      <c r="AN124" s="95">
        <f xml:space="preserve"> Inputs_TS!AN$18</f>
        <v>1</v>
      </c>
      <c r="AO124" s="95">
        <f xml:space="preserve"> Inputs_TS!AO$18</f>
        <v>1</v>
      </c>
      <c r="AP124" s="95">
        <f xml:space="preserve"> Inputs_TS!AP$18</f>
        <v>1</v>
      </c>
      <c r="AQ124" s="95">
        <f xml:space="preserve"> Inputs_TS!AQ$18</f>
        <v>1</v>
      </c>
      <c r="AR124" s="95">
        <f xml:space="preserve"> Inputs_TS!AR$18</f>
        <v>1</v>
      </c>
      <c r="AS124" s="95">
        <f xml:space="preserve"> Inputs_TS!AS$18</f>
        <v>1</v>
      </c>
    </row>
    <row r="125" spans="1:45" ht="15" customHeight="1" x14ac:dyDescent="0.3">
      <c r="A125" s="1"/>
      <c r="E125" s="40"/>
      <c r="F125" s="40"/>
      <c r="G125" s="40"/>
      <c r="H125" s="40"/>
      <c r="I125" s="40"/>
      <c r="J125" s="40"/>
      <c r="K125" s="40"/>
      <c r="L125" s="40"/>
      <c r="M125" s="40"/>
      <c r="N125" s="40"/>
      <c r="O125" s="40"/>
      <c r="P125" s="40"/>
      <c r="Q125" s="40"/>
      <c r="R125" s="40"/>
      <c r="S125" s="40"/>
      <c r="T125" s="40"/>
      <c r="U125" s="40"/>
      <c r="V125" s="40"/>
      <c r="W125" s="40"/>
      <c r="X125" s="40"/>
      <c r="Y125" s="40"/>
      <c r="Z125" s="40"/>
      <c r="AA125" s="40"/>
      <c r="AB125" s="40"/>
      <c r="AC125" s="40"/>
      <c r="AD125" s="40"/>
      <c r="AE125" s="40"/>
      <c r="AF125" s="40"/>
      <c r="AG125" s="40"/>
      <c r="AH125" s="40"/>
      <c r="AI125" s="40"/>
      <c r="AJ125" s="40"/>
      <c r="AK125" s="40"/>
      <c r="AL125" s="40"/>
      <c r="AM125" s="40"/>
      <c r="AN125" s="40"/>
      <c r="AO125" s="40"/>
      <c r="AP125" s="40"/>
      <c r="AQ125" s="40"/>
      <c r="AR125" s="40"/>
      <c r="AS125" s="40"/>
    </row>
    <row r="126" spans="1:45" ht="15" customHeight="1" x14ac:dyDescent="0.3">
      <c r="A126" s="91"/>
      <c r="B126" s="394"/>
      <c r="C126" s="395"/>
      <c r="D126" s="34"/>
      <c r="E126" s="381" t="s">
        <v>1045</v>
      </c>
      <c r="F126" s="381"/>
      <c r="G126" s="381" t="s">
        <v>580</v>
      </c>
      <c r="H126" s="381"/>
      <c r="I126" s="381">
        <f>SUM(K126:AS126)</f>
        <v>21.822532857142861</v>
      </c>
      <c r="J126" s="381"/>
      <c r="K126" s="381">
        <f>IF($F120 = "FS", K122,K121) * 10^-3 * K124</f>
        <v>0</v>
      </c>
      <c r="L126" s="381">
        <f t="shared" ref="L126:AS126" si="189">IF($F120 = "FS", L122,L121) * 10^-3 * L124</f>
        <v>0</v>
      </c>
      <c r="M126" s="381">
        <f t="shared" si="189"/>
        <v>0</v>
      </c>
      <c r="N126" s="381">
        <f t="shared" si="189"/>
        <v>0</v>
      </c>
      <c r="O126" s="381">
        <f t="shared" si="189"/>
        <v>0</v>
      </c>
      <c r="P126" s="381">
        <f t="shared" si="189"/>
        <v>0</v>
      </c>
      <c r="Q126" s="381">
        <f t="shared" si="189"/>
        <v>0</v>
      </c>
      <c r="R126" s="381">
        <f t="shared" si="189"/>
        <v>0</v>
      </c>
      <c r="S126" s="381">
        <f t="shared" si="189"/>
        <v>0</v>
      </c>
      <c r="T126" s="381">
        <f t="shared" si="189"/>
        <v>0</v>
      </c>
      <c r="U126" s="381">
        <f t="shared" si="189"/>
        <v>0</v>
      </c>
      <c r="V126" s="381">
        <f t="shared" si="189"/>
        <v>0</v>
      </c>
      <c r="W126" s="381">
        <f t="shared" si="189"/>
        <v>0</v>
      </c>
      <c r="X126" s="381">
        <f t="shared" si="189"/>
        <v>0.70802999999999994</v>
      </c>
      <c r="Y126" s="381">
        <f t="shared" si="189"/>
        <v>1.4230799999999999</v>
      </c>
      <c r="Z126" s="381">
        <f t="shared" si="189"/>
        <v>1.6069300000000002</v>
      </c>
      <c r="AA126" s="381">
        <f t="shared" si="189"/>
        <v>2.5061800000000001</v>
      </c>
      <c r="AB126" s="381">
        <f t="shared" si="189"/>
        <v>2.306</v>
      </c>
      <c r="AC126" s="381">
        <f t="shared" si="189"/>
        <v>0.77815000000000001</v>
      </c>
      <c r="AD126" s="381">
        <f t="shared" si="189"/>
        <v>1.7336771428571429</v>
      </c>
      <c r="AE126" s="381">
        <f t="shared" si="189"/>
        <v>1.7336771428571429</v>
      </c>
      <c r="AF126" s="381">
        <f t="shared" si="189"/>
        <v>1.7336771428571429</v>
      </c>
      <c r="AG126" s="381">
        <f t="shared" si="189"/>
        <v>1.7336771428571429</v>
      </c>
      <c r="AH126" s="381">
        <f t="shared" si="189"/>
        <v>1.7336771428571429</v>
      </c>
      <c r="AI126" s="381">
        <f t="shared" si="189"/>
        <v>1.7336771428571429</v>
      </c>
      <c r="AJ126" s="381">
        <f t="shared" si="189"/>
        <v>1.4799100000000001</v>
      </c>
      <c r="AK126" s="381">
        <f t="shared" si="189"/>
        <v>0.61219000000000001</v>
      </c>
      <c r="AL126" s="381">
        <f t="shared" si="189"/>
        <v>0</v>
      </c>
      <c r="AM126" s="381">
        <f t="shared" si="189"/>
        <v>0</v>
      </c>
      <c r="AN126" s="381">
        <f t="shared" si="189"/>
        <v>0</v>
      </c>
      <c r="AO126" s="381">
        <f t="shared" si="189"/>
        <v>0</v>
      </c>
      <c r="AP126" s="381">
        <f t="shared" si="189"/>
        <v>0</v>
      </c>
      <c r="AQ126" s="381">
        <f t="shared" si="189"/>
        <v>0</v>
      </c>
      <c r="AR126" s="381">
        <f t="shared" si="189"/>
        <v>0</v>
      </c>
      <c r="AS126" s="381">
        <f t="shared" si="189"/>
        <v>0</v>
      </c>
    </row>
    <row r="127" spans="1:45" ht="15" customHeight="1" x14ac:dyDescent="0.3">
      <c r="A127" s="81"/>
      <c r="B127" s="129"/>
      <c r="C127" s="130"/>
      <c r="D127" s="106"/>
      <c r="E127" s="106"/>
      <c r="F127" s="106"/>
      <c r="G127" s="106"/>
      <c r="H127" s="131"/>
      <c r="I127" s="131"/>
      <c r="J127" s="58"/>
      <c r="K127" s="106"/>
      <c r="L127" s="106"/>
      <c r="M127" s="106"/>
      <c r="N127" s="106"/>
      <c r="O127" s="106"/>
      <c r="P127" s="106"/>
      <c r="Q127" s="106"/>
      <c r="R127" s="106"/>
      <c r="S127" s="106"/>
      <c r="T127" s="106"/>
      <c r="U127" s="106"/>
      <c r="V127" s="106"/>
      <c r="W127" s="106"/>
      <c r="X127" s="106"/>
      <c r="Y127" s="106"/>
      <c r="Z127" s="106"/>
      <c r="AA127" s="106"/>
      <c r="AB127" s="106"/>
      <c r="AC127" s="106"/>
      <c r="AD127" s="106"/>
      <c r="AE127" s="106"/>
      <c r="AF127" s="106"/>
      <c r="AG127" s="106"/>
      <c r="AH127" s="106"/>
      <c r="AI127" s="106"/>
      <c r="AJ127" s="106"/>
      <c r="AK127" s="106"/>
      <c r="AL127" s="106"/>
      <c r="AM127" s="106"/>
      <c r="AN127" s="106"/>
      <c r="AO127" s="106"/>
      <c r="AP127" s="106"/>
      <c r="AQ127" s="106"/>
      <c r="AR127" s="106"/>
      <c r="AS127" s="106"/>
    </row>
    <row r="128" spans="1:45" ht="15" customHeight="1" collapsed="1" x14ac:dyDescent="0.3">
      <c r="A128" s="15" t="s">
        <v>297</v>
      </c>
      <c r="B128" s="119"/>
      <c r="C128" s="120"/>
      <c r="D128" s="121"/>
      <c r="E128" s="119"/>
      <c r="F128" s="119"/>
      <c r="G128" s="119"/>
      <c r="H128" s="119"/>
      <c r="I128" s="119"/>
      <c r="J128" s="16"/>
      <c r="K128" s="16"/>
      <c r="L128" s="16"/>
      <c r="M128" s="16"/>
      <c r="N128" s="16"/>
      <c r="O128" s="16"/>
      <c r="P128" s="16"/>
      <c r="Q128" s="16"/>
      <c r="R128" s="16"/>
      <c r="S128" s="16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6"/>
      <c r="AL128" s="16"/>
      <c r="AM128" s="16"/>
      <c r="AN128" s="16"/>
      <c r="AO128" s="16"/>
      <c r="AP128" s="16"/>
      <c r="AQ128" s="16"/>
      <c r="AR128" s="16"/>
      <c r="AS128" s="16"/>
    </row>
    <row r="129" spans="1:45" ht="15" customHeight="1" x14ac:dyDescent="0.3">
      <c r="A129" s="1"/>
      <c r="I129" s="116"/>
      <c r="J129" s="21"/>
      <c r="AL129" s="42"/>
      <c r="AM129" s="42"/>
      <c r="AN129" s="42"/>
      <c r="AO129" s="42"/>
      <c r="AP129" s="42"/>
      <c r="AQ129" s="42"/>
      <c r="AR129" s="42"/>
      <c r="AS129" s="42"/>
    </row>
    <row r="130" spans="1:45" ht="15" customHeight="1" x14ac:dyDescent="0.3">
      <c r="B130" s="658" t="s">
        <v>618</v>
      </c>
      <c r="F130" s="516" t="s">
        <v>500</v>
      </c>
      <c r="G130" s="257" t="s">
        <v>254</v>
      </c>
      <c r="I130" s="116"/>
      <c r="AL130" s="42"/>
      <c r="AM130" s="42"/>
      <c r="AN130" s="42"/>
      <c r="AO130" s="42"/>
      <c r="AP130" s="42"/>
      <c r="AQ130" s="42"/>
      <c r="AR130" s="42"/>
      <c r="AS130" s="42"/>
    </row>
    <row r="131" spans="1:45" ht="15" customHeight="1" x14ac:dyDescent="0.3">
      <c r="B131" s="658"/>
      <c r="C131" s="113" t="s">
        <v>619</v>
      </c>
      <c r="F131" s="659"/>
      <c r="G131" s="257"/>
      <c r="I131" s="116"/>
      <c r="AL131" s="42"/>
      <c r="AM131" s="42"/>
      <c r="AN131" s="42"/>
      <c r="AO131" s="42"/>
      <c r="AP131" s="42"/>
      <c r="AQ131" s="42"/>
      <c r="AR131" s="42"/>
      <c r="AS131" s="42"/>
    </row>
    <row r="132" spans="1:45" ht="15" customHeight="1" x14ac:dyDescent="0.3">
      <c r="E132" s="256" t="str">
        <f xml:space="preserve"> Inputs_TS!E$168</f>
        <v>IMF WEO April 2024 Copper, grade A cathode, LME spot price, CIF European ports,</v>
      </c>
      <c r="F132" s="256">
        <f xml:space="preserve"> Inputs_TS!F$168</f>
        <v>0</v>
      </c>
      <c r="G132" s="256" t="str">
        <f xml:space="preserve"> Inputs_TS!G$168</f>
        <v>$ / tonne</v>
      </c>
      <c r="H132" s="256" t="str">
        <f xml:space="preserve"> Inputs_TS!H$168</f>
        <v>to add, from WEO file</v>
      </c>
      <c r="I132" s="256">
        <f xml:space="preserve"> Inputs_TS!I$168</f>
        <v>0</v>
      </c>
      <c r="J132" s="256">
        <f xml:space="preserve"> Inputs_TS!J$168</f>
        <v>0</v>
      </c>
      <c r="K132" s="256">
        <f xml:space="preserve"> Inputs_TS!K$168</f>
        <v>6731.3519999999999</v>
      </c>
      <c r="L132" s="256">
        <f xml:space="preserve"> Inputs_TS!L$168</f>
        <v>7131.63</v>
      </c>
      <c r="M132" s="256">
        <f xml:space="preserve"> Inputs_TS!M$168</f>
        <v>6963.482</v>
      </c>
      <c r="N132" s="256">
        <f xml:space="preserve"> Inputs_TS!N$168</f>
        <v>5164.1589999999997</v>
      </c>
      <c r="O132" s="256">
        <f xml:space="preserve"> Inputs_TS!O$168</f>
        <v>7538.3620000000001</v>
      </c>
      <c r="P132" s="256">
        <f xml:space="preserve"> Inputs_TS!P$168</f>
        <v>8823.4539999999997</v>
      </c>
      <c r="Q132" s="256">
        <f xml:space="preserve"> Inputs_TS!Q$168</f>
        <v>7958.9250000000002</v>
      </c>
      <c r="R132" s="256">
        <f xml:space="preserve"> Inputs_TS!R$168</f>
        <v>7331.491</v>
      </c>
      <c r="S132" s="256">
        <f xml:space="preserve"> Inputs_TS!S$168</f>
        <v>6863.3969999999999</v>
      </c>
      <c r="T132" s="256">
        <f xml:space="preserve"> Inputs_TS!T$168</f>
        <v>5510.4570000000003</v>
      </c>
      <c r="U132" s="256">
        <f xml:space="preserve"> Inputs_TS!U$168</f>
        <v>4867.8969999999999</v>
      </c>
      <c r="V132" s="256">
        <f xml:space="preserve"> Inputs_TS!V$168</f>
        <v>6169.94</v>
      </c>
      <c r="W132" s="256">
        <f xml:space="preserve"> Inputs_TS!W$168</f>
        <v>6529.7979999999998</v>
      </c>
      <c r="X132" s="256">
        <f xml:space="preserve"> Inputs_TS!X$168</f>
        <v>6010.1450000000004</v>
      </c>
      <c r="Y132" s="256">
        <f xml:space="preserve"> Inputs_TS!Y$168</f>
        <v>6174.558</v>
      </c>
      <c r="Z132" s="256">
        <f xml:space="preserve"> Inputs_TS!Z$168</f>
        <v>9317.4089999999997</v>
      </c>
      <c r="AA132" s="256">
        <f xml:space="preserve"> Inputs_TS!AA$168</f>
        <v>8828.9169999999995</v>
      </c>
      <c r="AB132" s="256">
        <f xml:space="preserve"> Inputs_TS!AB$168</f>
        <v>8490.7620000000006</v>
      </c>
      <c r="AC132" s="256">
        <f xml:space="preserve"> Inputs_TS!AC$168</f>
        <v>8550.723</v>
      </c>
      <c r="AD132" s="256">
        <f xml:space="preserve"> Inputs_TS!AD$168</f>
        <v>0</v>
      </c>
      <c r="AE132" s="256">
        <f xml:space="preserve"> Inputs_TS!AE$168</f>
        <v>0</v>
      </c>
      <c r="AF132" s="256">
        <f xml:space="preserve"> Inputs_TS!AF$168</f>
        <v>0</v>
      </c>
      <c r="AG132" s="256">
        <f xml:space="preserve"> Inputs_TS!AG$168</f>
        <v>0</v>
      </c>
      <c r="AH132" s="256">
        <f xml:space="preserve"> Inputs_TS!AH$168</f>
        <v>0</v>
      </c>
      <c r="AI132" s="256">
        <f xml:space="preserve"> Inputs_TS!AI$168</f>
        <v>0</v>
      </c>
      <c r="AJ132" s="256">
        <f xml:space="preserve"> Inputs_TS!AJ$168</f>
        <v>0</v>
      </c>
      <c r="AK132" s="256">
        <f xml:space="preserve"> Inputs_TS!AK$168</f>
        <v>0</v>
      </c>
      <c r="AL132" s="256">
        <f xml:space="preserve"> Inputs_TS!AL$168</f>
        <v>0</v>
      </c>
      <c r="AM132" s="256">
        <f xml:space="preserve"> Inputs_TS!AM$168</f>
        <v>0</v>
      </c>
      <c r="AN132" s="256">
        <f xml:space="preserve"> Inputs_TS!AN$168</f>
        <v>0</v>
      </c>
      <c r="AO132" s="256">
        <f xml:space="preserve"> Inputs_TS!AO$168</f>
        <v>0</v>
      </c>
      <c r="AP132" s="256">
        <f xml:space="preserve"> Inputs_TS!AP$168</f>
        <v>0</v>
      </c>
      <c r="AQ132" s="256">
        <f xml:space="preserve"> Inputs_TS!AQ$168</f>
        <v>0</v>
      </c>
      <c r="AR132" s="256">
        <f xml:space="preserve"> Inputs_TS!AR$168</f>
        <v>0</v>
      </c>
      <c r="AS132" s="256">
        <f xml:space="preserve"> Inputs_TS!AS$168</f>
        <v>0</v>
      </c>
    </row>
    <row r="133" spans="1:45" ht="15" customHeight="1" x14ac:dyDescent="0.3">
      <c r="E133" s="61"/>
      <c r="F133" s="258"/>
      <c r="G133" s="259"/>
      <c r="H133" s="84"/>
      <c r="I133" s="84"/>
      <c r="J133" s="148"/>
      <c r="K133" s="148"/>
      <c r="L133" s="148"/>
      <c r="M133" s="148"/>
      <c r="N133" s="148"/>
      <c r="O133" s="148"/>
      <c r="P133" s="148"/>
      <c r="Q133" s="148"/>
      <c r="R133" s="148"/>
      <c r="S133" s="148"/>
      <c r="T133" s="148"/>
      <c r="U133" s="148"/>
      <c r="V133" s="148"/>
      <c r="W133" s="148"/>
      <c r="X133" s="148"/>
      <c r="Y133" s="148"/>
      <c r="Z133" s="148"/>
      <c r="AA133" s="148"/>
      <c r="AB133" s="148"/>
      <c r="AC133" s="148"/>
      <c r="AD133" s="148"/>
      <c r="AE133" s="148"/>
      <c r="AF133" s="148"/>
      <c r="AG133" s="148"/>
      <c r="AH133" s="148"/>
      <c r="AI133" s="148"/>
      <c r="AJ133" s="148"/>
      <c r="AK133" s="148"/>
      <c r="AL133" s="148"/>
      <c r="AM133" s="148"/>
      <c r="AN133" s="148"/>
      <c r="AO133" s="148"/>
      <c r="AP133" s="148"/>
      <c r="AQ133" s="148"/>
      <c r="AR133" s="148"/>
      <c r="AS133" s="148"/>
    </row>
    <row r="134" spans="1:45" ht="15" customHeight="1" x14ac:dyDescent="0.3">
      <c r="C134" s="113" t="s">
        <v>499</v>
      </c>
      <c r="E134" s="61"/>
      <c r="F134" s="258"/>
      <c r="G134" s="259"/>
      <c r="H134" s="84"/>
      <c r="I134" s="84"/>
      <c r="J134" s="148"/>
      <c r="K134" s="148"/>
      <c r="L134" s="148"/>
      <c r="M134" s="148"/>
      <c r="N134" s="148"/>
      <c r="O134" s="148"/>
      <c r="P134" s="148"/>
      <c r="Q134" s="148"/>
      <c r="R134" s="148"/>
      <c r="S134" s="148"/>
      <c r="T134" s="148"/>
      <c r="U134" s="148"/>
      <c r="V134" s="148"/>
      <c r="W134" s="148"/>
      <c r="X134" s="148"/>
      <c r="Y134" s="148"/>
      <c r="Z134" s="148"/>
      <c r="AA134" s="148"/>
      <c r="AB134" s="148"/>
      <c r="AC134" s="148"/>
      <c r="AD134" s="148"/>
      <c r="AE134" s="148"/>
      <c r="AF134" s="148"/>
      <c r="AG134" s="148"/>
      <c r="AH134" s="148"/>
      <c r="AI134" s="148"/>
      <c r="AJ134" s="148"/>
      <c r="AK134" s="148"/>
      <c r="AL134" s="148"/>
      <c r="AM134" s="148"/>
      <c r="AN134" s="148"/>
      <c r="AO134" s="148"/>
      <c r="AP134" s="148"/>
      <c r="AQ134" s="148"/>
      <c r="AR134" s="148"/>
      <c r="AS134" s="148"/>
    </row>
    <row r="135" spans="1:45" ht="15" customHeight="1" x14ac:dyDescent="0.3">
      <c r="E135" s="517" t="str">
        <f xml:space="preserve"> Inputs_Con!E$40</f>
        <v>Copper forecast price</v>
      </c>
      <c r="F135" s="517" t="str">
        <f xml:space="preserve"> Inputs_Con!F$40</f>
        <v>IMF_WEO</v>
      </c>
      <c r="G135" s="517" t="str">
        <f xml:space="preserve"> Inputs_Con!G$40</f>
        <v>option selected</v>
      </c>
      <c r="H135" s="84"/>
      <c r="I135" s="84"/>
      <c r="J135" s="148"/>
      <c r="K135" s="148"/>
      <c r="L135" s="148"/>
      <c r="M135" s="148"/>
      <c r="N135" s="148"/>
      <c r="O135" s="148"/>
      <c r="P135" s="148"/>
      <c r="Q135" s="148"/>
      <c r="R135" s="148"/>
      <c r="S135" s="148"/>
      <c r="T135" s="148"/>
      <c r="U135" s="148"/>
      <c r="V135" s="148"/>
      <c r="W135" s="148"/>
      <c r="X135" s="148"/>
      <c r="Y135" s="148"/>
      <c r="Z135" s="148"/>
      <c r="AA135" s="148"/>
      <c r="AB135" s="148"/>
      <c r="AC135" s="148"/>
      <c r="AD135" s="148"/>
      <c r="AE135" s="148"/>
      <c r="AF135" s="148"/>
      <c r="AG135" s="148"/>
      <c r="AH135" s="148"/>
      <c r="AI135" s="148"/>
      <c r="AJ135" s="148"/>
      <c r="AK135" s="148"/>
      <c r="AL135" s="148"/>
      <c r="AM135" s="148"/>
      <c r="AN135" s="148"/>
      <c r="AO135" s="148"/>
      <c r="AP135" s="148"/>
      <c r="AQ135" s="148"/>
      <c r="AR135" s="148"/>
      <c r="AS135" s="148"/>
    </row>
    <row r="136" spans="1:45" ht="15" customHeight="1" x14ac:dyDescent="0.3">
      <c r="E136" s="256" t="str">
        <f xml:space="preserve"> Inputs_TS!E$207</f>
        <v>Cu forecast: IMF_WEO</v>
      </c>
      <c r="F136" s="256" t="str">
        <f xml:space="preserve"> Inputs_TS!F$207</f>
        <v>IMF_WEO</v>
      </c>
      <c r="G136" s="256" t="str">
        <f xml:space="preserve"> Inputs_TS!G$207</f>
        <v>$ / tonne</v>
      </c>
      <c r="H136" s="256">
        <f xml:space="preserve"> Inputs_TS!H$207</f>
        <v>0</v>
      </c>
      <c r="I136" s="256">
        <f xml:space="preserve"> Inputs_TS!I$207</f>
        <v>0</v>
      </c>
      <c r="J136" s="256">
        <f xml:space="preserve"> Inputs_TS!J$207</f>
        <v>0</v>
      </c>
      <c r="K136" s="256">
        <f xml:space="preserve"> Inputs_TS!K$207</f>
        <v>6731.3519999999999</v>
      </c>
      <c r="L136" s="256">
        <f xml:space="preserve"> Inputs_TS!L$207</f>
        <v>7131.63</v>
      </c>
      <c r="M136" s="256">
        <f xml:space="preserve"> Inputs_TS!M$207</f>
        <v>6963.482</v>
      </c>
      <c r="N136" s="256">
        <f xml:space="preserve"> Inputs_TS!N$207</f>
        <v>5164.1589999999997</v>
      </c>
      <c r="O136" s="256">
        <f xml:space="preserve"> Inputs_TS!O$207</f>
        <v>7538.3620000000001</v>
      </c>
      <c r="P136" s="256">
        <f xml:space="preserve"> Inputs_TS!P$207</f>
        <v>8823.4539999999997</v>
      </c>
      <c r="Q136" s="256">
        <f xml:space="preserve"> Inputs_TS!Q$207</f>
        <v>7958.9250000000002</v>
      </c>
      <c r="R136" s="256">
        <f xml:space="preserve"> Inputs_TS!R$207</f>
        <v>7331.491</v>
      </c>
      <c r="S136" s="256">
        <f xml:space="preserve"> Inputs_TS!S$207</f>
        <v>6863.3969999999999</v>
      </c>
      <c r="T136" s="256">
        <f xml:space="preserve"> Inputs_TS!T$207</f>
        <v>5510.4570000000003</v>
      </c>
      <c r="U136" s="256">
        <f xml:space="preserve"> Inputs_TS!U$207</f>
        <v>4867.8969999999999</v>
      </c>
      <c r="V136" s="256">
        <f xml:space="preserve"> Inputs_TS!V$207</f>
        <v>6169.94</v>
      </c>
      <c r="W136" s="256">
        <f xml:space="preserve"> Inputs_TS!W$207</f>
        <v>6529.7979999999998</v>
      </c>
      <c r="X136" s="256">
        <f xml:space="preserve"> Inputs_TS!X$207</f>
        <v>6010.1450000000004</v>
      </c>
      <c r="Y136" s="256">
        <f xml:space="preserve"> Inputs_TS!Y$207</f>
        <v>6174.558</v>
      </c>
      <c r="Z136" s="256">
        <f xml:space="preserve"> Inputs_TS!Z$207</f>
        <v>9317.4089999999997</v>
      </c>
      <c r="AA136" s="256">
        <f xml:space="preserve"> Inputs_TS!AA$207</f>
        <v>8828.9169999999995</v>
      </c>
      <c r="AB136" s="256">
        <f xml:space="preserve"> Inputs_TS!AB$207</f>
        <v>8490.7620000000006</v>
      </c>
      <c r="AC136" s="256">
        <f xml:space="preserve"> Inputs_TS!AC$207</f>
        <v>8550.723</v>
      </c>
      <c r="AD136" s="256">
        <f xml:space="preserve"> Inputs_TS!AD$207</f>
        <v>8661.2289999999994</v>
      </c>
      <c r="AE136" s="256">
        <f xml:space="preserve"> Inputs_TS!AE$207</f>
        <v>8676.2919999999995</v>
      </c>
      <c r="AF136" s="256">
        <f xml:space="preserve"> Inputs_TS!AF$207</f>
        <v>8667.75</v>
      </c>
      <c r="AG136" s="256">
        <f xml:space="preserve"> Inputs_TS!AG$207</f>
        <v>8655.625</v>
      </c>
      <c r="AH136" s="256">
        <f xml:space="preserve"> Inputs_TS!AH$207</f>
        <v>8668.5</v>
      </c>
      <c r="AI136" s="256">
        <f xml:space="preserve"> Inputs_TS!AI$207</f>
        <v>8857.0316499289966</v>
      </c>
      <c r="AJ136" s="256">
        <f xml:space="preserve"> Inputs_TS!AJ$207</f>
        <v>9034.1722829275768</v>
      </c>
      <c r="AK136" s="256">
        <f xml:space="preserve"> Inputs_TS!AK$207</f>
        <v>9214.855728586128</v>
      </c>
      <c r="AL136" s="256">
        <f xml:space="preserve"> Inputs_TS!AL$207</f>
        <v>9399.1528431578517</v>
      </c>
      <c r="AM136" s="256">
        <f xml:space="preserve"> Inputs_TS!AM$207</f>
        <v>9587.1359000210068</v>
      </c>
      <c r="AN136" s="256">
        <f xml:space="preserve"> Inputs_TS!AN$207</f>
        <v>9778.8786180214283</v>
      </c>
      <c r="AO136" s="256">
        <f xml:space="preserve"> Inputs_TS!AO$207</f>
        <v>9974.4561903818576</v>
      </c>
      <c r="AP136" s="256">
        <f xml:space="preserve"> Inputs_TS!AP$207</f>
        <v>10173.945314189496</v>
      </c>
      <c r="AQ136" s="256">
        <f xml:space="preserve"> Inputs_TS!AQ$207</f>
        <v>10377.424220473287</v>
      </c>
      <c r="AR136" s="256">
        <f xml:space="preserve"> Inputs_TS!AR$207</f>
        <v>10584.972704882754</v>
      </c>
      <c r="AS136" s="256">
        <f xml:space="preserve"> Inputs_TS!AS$207</f>
        <v>10796.672158980407</v>
      </c>
    </row>
    <row r="137" spans="1:45" ht="15" customHeight="1" x14ac:dyDescent="0.3">
      <c r="E137" s="517"/>
      <c r="F137" s="517"/>
      <c r="G137" s="517"/>
      <c r="H137" s="84"/>
      <c r="I137" s="84"/>
      <c r="J137" s="148"/>
      <c r="K137" s="148"/>
      <c r="L137" s="148"/>
      <c r="M137" s="148"/>
      <c r="N137" s="148"/>
      <c r="O137" s="148"/>
      <c r="P137" s="148"/>
      <c r="Q137" s="148"/>
      <c r="R137" s="148"/>
      <c r="S137" s="148"/>
      <c r="T137" s="148"/>
      <c r="U137" s="148"/>
      <c r="V137" s="148"/>
      <c r="W137" s="148"/>
      <c r="X137" s="148"/>
      <c r="Y137" s="148"/>
      <c r="Z137" s="148"/>
      <c r="AA137" s="148"/>
      <c r="AB137" s="148"/>
      <c r="AC137" s="148"/>
      <c r="AD137" s="148"/>
      <c r="AE137" s="148"/>
      <c r="AF137" s="148"/>
      <c r="AG137" s="148"/>
      <c r="AH137" s="148"/>
      <c r="AI137" s="148"/>
      <c r="AJ137" s="148"/>
      <c r="AK137" s="148"/>
      <c r="AL137" s="148"/>
      <c r="AM137" s="148"/>
      <c r="AN137" s="148"/>
      <c r="AO137" s="148"/>
      <c r="AP137" s="148"/>
      <c r="AQ137" s="148"/>
      <c r="AR137" s="148"/>
      <c r="AS137" s="148"/>
    </row>
    <row r="138" spans="1:45" ht="15" customHeight="1" x14ac:dyDescent="0.3">
      <c r="A138" s="530"/>
      <c r="B138" s="531"/>
      <c r="C138" s="532"/>
      <c r="D138" s="257"/>
      <c r="E138" s="257" t="str">
        <f>"Copper actual &amp; forecast price: " &amp; $F135</f>
        <v>Copper actual &amp; forecast price: IMF_WEO</v>
      </c>
      <c r="F138" s="257"/>
      <c r="G138" s="257" t="s">
        <v>321</v>
      </c>
      <c r="H138" s="257"/>
      <c r="I138" s="257"/>
      <c r="J138" s="257"/>
      <c r="K138" s="257">
        <f t="shared" ref="K138:O138" si="190">IF(K132 &gt; 0, K132, K136 )</f>
        <v>6731.3519999999999</v>
      </c>
      <c r="L138" s="257">
        <f t="shared" si="190"/>
        <v>7131.63</v>
      </c>
      <c r="M138" s="257">
        <f t="shared" si="190"/>
        <v>6963.482</v>
      </c>
      <c r="N138" s="257">
        <f t="shared" si="190"/>
        <v>5164.1589999999997</v>
      </c>
      <c r="O138" s="257">
        <f t="shared" si="190"/>
        <v>7538.3620000000001</v>
      </c>
      <c r="P138" s="257">
        <f t="shared" ref="P138" si="191">IF(P132 &gt; 0, P132, P136 )</f>
        <v>8823.4539999999997</v>
      </c>
      <c r="Q138" s="257">
        <f t="shared" ref="Q138:AS138" si="192">IF(Q132 &gt; 0, Q132, Q136 )</f>
        <v>7958.9250000000002</v>
      </c>
      <c r="R138" s="257">
        <f t="shared" si="192"/>
        <v>7331.491</v>
      </c>
      <c r="S138" s="257">
        <f t="shared" si="192"/>
        <v>6863.3969999999999</v>
      </c>
      <c r="T138" s="257">
        <f t="shared" si="192"/>
        <v>5510.4570000000003</v>
      </c>
      <c r="U138" s="257">
        <f t="shared" si="192"/>
        <v>4867.8969999999999</v>
      </c>
      <c r="V138" s="257">
        <f t="shared" si="192"/>
        <v>6169.94</v>
      </c>
      <c r="W138" s="257">
        <f t="shared" si="192"/>
        <v>6529.7979999999998</v>
      </c>
      <c r="X138" s="257">
        <f t="shared" si="192"/>
        <v>6010.1450000000004</v>
      </c>
      <c r="Y138" s="257">
        <f t="shared" si="192"/>
        <v>6174.558</v>
      </c>
      <c r="Z138" s="257">
        <f t="shared" si="192"/>
        <v>9317.4089999999997</v>
      </c>
      <c r="AA138" s="257">
        <f t="shared" si="192"/>
        <v>8828.9169999999995</v>
      </c>
      <c r="AB138" s="257">
        <f t="shared" si="192"/>
        <v>8490.7620000000006</v>
      </c>
      <c r="AC138" s="257">
        <f t="shared" si="192"/>
        <v>8550.723</v>
      </c>
      <c r="AD138" s="257">
        <f t="shared" si="192"/>
        <v>8661.2289999999994</v>
      </c>
      <c r="AE138" s="257">
        <f t="shared" si="192"/>
        <v>8676.2919999999995</v>
      </c>
      <c r="AF138" s="257">
        <f t="shared" si="192"/>
        <v>8667.75</v>
      </c>
      <c r="AG138" s="257">
        <f t="shared" si="192"/>
        <v>8655.625</v>
      </c>
      <c r="AH138" s="257">
        <f t="shared" si="192"/>
        <v>8668.5</v>
      </c>
      <c r="AI138" s="257">
        <f t="shared" si="192"/>
        <v>8857.0316499289966</v>
      </c>
      <c r="AJ138" s="257">
        <f t="shared" si="192"/>
        <v>9034.1722829275768</v>
      </c>
      <c r="AK138" s="257">
        <f t="shared" si="192"/>
        <v>9214.855728586128</v>
      </c>
      <c r="AL138" s="257">
        <f t="shared" si="192"/>
        <v>9399.1528431578517</v>
      </c>
      <c r="AM138" s="257">
        <f t="shared" si="192"/>
        <v>9587.1359000210068</v>
      </c>
      <c r="AN138" s="257">
        <f t="shared" si="192"/>
        <v>9778.8786180214283</v>
      </c>
      <c r="AO138" s="257">
        <f t="shared" si="192"/>
        <v>9974.4561903818576</v>
      </c>
      <c r="AP138" s="257">
        <f t="shared" si="192"/>
        <v>10173.945314189496</v>
      </c>
      <c r="AQ138" s="257">
        <f t="shared" si="192"/>
        <v>10377.424220473287</v>
      </c>
      <c r="AR138" s="257">
        <f t="shared" si="192"/>
        <v>10584.972704882754</v>
      </c>
      <c r="AS138" s="257">
        <f t="shared" si="192"/>
        <v>10796.672158980407</v>
      </c>
    </row>
    <row r="139" spans="1:45" ht="15" customHeight="1" x14ac:dyDescent="0.3">
      <c r="A139" s="261"/>
      <c r="B139" s="261"/>
      <c r="C139" s="262"/>
      <c r="D139" s="263"/>
      <c r="E139" s="199"/>
      <c r="F139" s="199"/>
      <c r="G139" s="199"/>
      <c r="H139" s="264"/>
      <c r="I139" s="264"/>
      <c r="J139" s="198"/>
      <c r="K139" s="260"/>
      <c r="L139" s="260"/>
      <c r="M139" s="260"/>
      <c r="N139" s="260"/>
      <c r="O139" s="260"/>
      <c r="P139" s="260"/>
      <c r="Q139" s="260"/>
      <c r="R139" s="260"/>
      <c r="S139" s="260"/>
      <c r="T139" s="260"/>
      <c r="U139" s="260"/>
      <c r="V139" s="260"/>
      <c r="W139" s="260"/>
      <c r="X139" s="260"/>
      <c r="Y139" s="260"/>
      <c r="Z139" s="260"/>
      <c r="AA139" s="260"/>
      <c r="AB139" s="260"/>
      <c r="AC139" s="260"/>
      <c r="AD139" s="260"/>
      <c r="AE139" s="260"/>
      <c r="AF139" s="260"/>
      <c r="AG139" s="260"/>
      <c r="AH139" s="260"/>
      <c r="AI139" s="260"/>
      <c r="AJ139" s="260"/>
      <c r="AK139" s="260"/>
      <c r="AL139" s="260"/>
      <c r="AM139" s="260"/>
      <c r="AN139" s="260"/>
      <c r="AO139" s="260"/>
      <c r="AP139" s="260"/>
      <c r="AQ139" s="260"/>
      <c r="AR139" s="260"/>
      <c r="AS139" s="260"/>
    </row>
    <row r="140" spans="1:45" ht="15" customHeight="1" x14ac:dyDescent="0.3">
      <c r="A140" s="660"/>
      <c r="B140" s="658" t="s">
        <v>620</v>
      </c>
      <c r="C140" s="661"/>
      <c r="D140" s="257"/>
      <c r="E140" s="531"/>
      <c r="F140" s="531"/>
      <c r="G140" s="531"/>
      <c r="H140" s="531"/>
      <c r="I140" s="531"/>
      <c r="J140" s="531"/>
      <c r="K140" s="531"/>
      <c r="L140" s="531"/>
      <c r="M140" s="531"/>
      <c r="N140" s="531"/>
      <c r="O140" s="531"/>
      <c r="P140" s="531"/>
      <c r="Q140" s="531"/>
      <c r="R140" s="531"/>
      <c r="S140" s="531"/>
      <c r="T140" s="531"/>
      <c r="U140" s="531"/>
      <c r="V140" s="531"/>
      <c r="W140" s="531"/>
      <c r="X140" s="531"/>
      <c r="Y140" s="531"/>
      <c r="Z140" s="531"/>
      <c r="AA140" s="531"/>
      <c r="AB140" s="531"/>
      <c r="AC140" s="531"/>
      <c r="AD140" s="531"/>
      <c r="AE140" s="531"/>
      <c r="AF140" s="531"/>
      <c r="AG140" s="531"/>
      <c r="AH140" s="531"/>
      <c r="AI140" s="531"/>
      <c r="AJ140" s="531"/>
      <c r="AK140" s="531"/>
      <c r="AL140" s="531"/>
      <c r="AM140" s="531"/>
      <c r="AN140" s="531"/>
      <c r="AO140" s="531"/>
      <c r="AP140" s="531"/>
      <c r="AQ140" s="531"/>
      <c r="AR140" s="531"/>
      <c r="AS140" s="531"/>
    </row>
    <row r="141" spans="1:45" ht="15" customHeight="1" x14ac:dyDescent="0.3">
      <c r="A141" s="88"/>
      <c r="B141" s="288"/>
      <c r="C141" s="289"/>
      <c r="D141" s="292"/>
      <c r="E141" s="362" t="str">
        <f xml:space="preserve"> Inputs_TS!E$132</f>
        <v>Total copper realized price</v>
      </c>
      <c r="F141" s="362">
        <f xml:space="preserve"> Inputs_TS!F$132</f>
        <v>0</v>
      </c>
      <c r="G141" s="362" t="str">
        <f xml:space="preserve"> Inputs_TS!G$132</f>
        <v>$ / tonne</v>
      </c>
      <c r="H141" s="362" t="str">
        <f xml:space="preserve"> Inputs_TS!H$132</f>
        <v>XIV</v>
      </c>
      <c r="I141" s="362">
        <f xml:space="preserve"> Inputs_TS!I$132</f>
        <v>0</v>
      </c>
      <c r="J141" s="362">
        <f xml:space="preserve"> Inputs_TS!J$132</f>
        <v>0</v>
      </c>
      <c r="K141" s="362">
        <f xml:space="preserve"> Inputs_TS!K$132</f>
        <v>0</v>
      </c>
      <c r="L141" s="362">
        <f xml:space="preserve"> Inputs_TS!L$132</f>
        <v>0</v>
      </c>
      <c r="M141" s="362">
        <f xml:space="preserve"> Inputs_TS!M$132</f>
        <v>0</v>
      </c>
      <c r="N141" s="362">
        <f xml:space="preserve"> Inputs_TS!N$132</f>
        <v>0</v>
      </c>
      <c r="O141" s="362">
        <f xml:space="preserve"> Inputs_TS!O$132</f>
        <v>0</v>
      </c>
      <c r="P141" s="362">
        <f xml:space="preserve"> Inputs_TS!P$132</f>
        <v>0</v>
      </c>
      <c r="Q141" s="362">
        <f xml:space="preserve"> Inputs_TS!Q$132</f>
        <v>0</v>
      </c>
      <c r="R141" s="362">
        <f xml:space="preserve"> Inputs_TS!R$132</f>
        <v>0</v>
      </c>
      <c r="S141" s="362">
        <f xml:space="preserve"> Inputs_TS!S$132</f>
        <v>0</v>
      </c>
      <c r="T141" s="362">
        <f xml:space="preserve"> Inputs_TS!T$132</f>
        <v>0</v>
      </c>
      <c r="U141" s="362">
        <f xml:space="preserve"> Inputs_TS!U$132</f>
        <v>0</v>
      </c>
      <c r="V141" s="362">
        <f xml:space="preserve"> Inputs_TS!V$132</f>
        <v>0</v>
      </c>
      <c r="W141" s="362">
        <f xml:space="preserve"> Inputs_TS!W$132</f>
        <v>5667.8772618398934</v>
      </c>
      <c r="X141" s="362">
        <f xml:space="preserve"> Inputs_TS!X$132</f>
        <v>5484.2765439926088</v>
      </c>
      <c r="Y141" s="362">
        <f xml:space="preserve"> Inputs_TS!Y$132</f>
        <v>6045.5137948502415</v>
      </c>
      <c r="Z141" s="362">
        <f xml:space="preserve"> Inputs_TS!Z$132</f>
        <v>0</v>
      </c>
      <c r="AA141" s="362">
        <f xml:space="preserve"> Inputs_TS!AA$132</f>
        <v>0</v>
      </c>
      <c r="AB141" s="362">
        <f xml:space="preserve"> Inputs_TS!AB$132</f>
        <v>0</v>
      </c>
      <c r="AC141" s="362">
        <f xml:space="preserve"> Inputs_TS!AC$132</f>
        <v>0</v>
      </c>
      <c r="AD141" s="362">
        <f xml:space="preserve"> Inputs_TS!AD$132</f>
        <v>0</v>
      </c>
      <c r="AE141" s="362">
        <f xml:space="preserve"> Inputs_TS!AE$132</f>
        <v>0</v>
      </c>
      <c r="AF141" s="362">
        <f xml:space="preserve"> Inputs_TS!AF$132</f>
        <v>0</v>
      </c>
      <c r="AG141" s="362">
        <f xml:space="preserve"> Inputs_TS!AG$132</f>
        <v>0</v>
      </c>
      <c r="AH141" s="362">
        <f xml:space="preserve"> Inputs_TS!AH$132</f>
        <v>0</v>
      </c>
      <c r="AI141" s="362">
        <f xml:space="preserve"> Inputs_TS!AI$132</f>
        <v>0</v>
      </c>
      <c r="AJ141" s="362">
        <f xml:space="preserve"> Inputs_TS!AJ$132</f>
        <v>0</v>
      </c>
      <c r="AK141" s="362">
        <f xml:space="preserve"> Inputs_TS!AK$132</f>
        <v>0</v>
      </c>
      <c r="AL141" s="362">
        <f xml:space="preserve"> Inputs_TS!AL$132</f>
        <v>0</v>
      </c>
      <c r="AM141" s="362">
        <f xml:space="preserve"> Inputs_TS!AM$132</f>
        <v>0</v>
      </c>
      <c r="AN141" s="362">
        <f xml:space="preserve"> Inputs_TS!AN$132</f>
        <v>0</v>
      </c>
      <c r="AO141" s="362">
        <f xml:space="preserve"> Inputs_TS!AO$132</f>
        <v>0</v>
      </c>
      <c r="AP141" s="362">
        <f xml:space="preserve"> Inputs_TS!AP$132</f>
        <v>0</v>
      </c>
      <c r="AQ141" s="362">
        <f xml:space="preserve"> Inputs_TS!AQ$132</f>
        <v>0</v>
      </c>
      <c r="AR141" s="362">
        <f xml:space="preserve"> Inputs_TS!AR$132</f>
        <v>0</v>
      </c>
      <c r="AS141" s="362">
        <f xml:space="preserve"> Inputs_TS!AS$132</f>
        <v>0</v>
      </c>
    </row>
    <row r="142" spans="1:45" ht="15" customHeight="1" x14ac:dyDescent="0.3">
      <c r="A142" s="88"/>
      <c r="B142" s="288"/>
      <c r="C142" s="289"/>
      <c r="D142" s="292"/>
      <c r="E142" s="362" t="str">
        <f xml:space="preserve"> 'Inputs_ FS'!E$28</f>
        <v>Copper price: FS</v>
      </c>
      <c r="F142" s="362">
        <f xml:space="preserve"> 'Inputs_ FS'!F$28</f>
        <v>0</v>
      </c>
      <c r="G142" s="362" t="str">
        <f xml:space="preserve"> 'Inputs_ FS'!G$28</f>
        <v>$ /tCu</v>
      </c>
      <c r="H142" s="362" t="str">
        <f xml:space="preserve"> 'Inputs_ FS'!H$28</f>
        <v>M</v>
      </c>
      <c r="I142" s="362">
        <f xml:space="preserve"> 'Inputs_ FS'!I$28</f>
        <v>0</v>
      </c>
      <c r="J142" s="362">
        <f xml:space="preserve"> 'Inputs_ FS'!J$28</f>
        <v>0</v>
      </c>
      <c r="K142" s="362">
        <f xml:space="preserve"> 'Inputs_ FS'!K$28</f>
        <v>0</v>
      </c>
      <c r="L142" s="362">
        <f xml:space="preserve"> 'Inputs_ FS'!L$28</f>
        <v>0</v>
      </c>
      <c r="M142" s="362">
        <f xml:space="preserve"> 'Inputs_ FS'!M$28</f>
        <v>0</v>
      </c>
      <c r="N142" s="362">
        <f xml:space="preserve"> 'Inputs_ FS'!N$28</f>
        <v>0</v>
      </c>
      <c r="O142" s="362">
        <f xml:space="preserve"> 'Inputs_ FS'!O$28</f>
        <v>0</v>
      </c>
      <c r="P142" s="362">
        <f xml:space="preserve"> 'Inputs_ FS'!P$28</f>
        <v>0</v>
      </c>
      <c r="Q142" s="362">
        <f xml:space="preserve"> 'Inputs_ FS'!Q$28</f>
        <v>0</v>
      </c>
      <c r="R142" s="362">
        <f xml:space="preserve"> 'Inputs_ FS'!R$28</f>
        <v>0</v>
      </c>
      <c r="S142" s="362">
        <f xml:space="preserve"> 'Inputs_ FS'!S$28</f>
        <v>0</v>
      </c>
      <c r="T142" s="362">
        <f xml:space="preserve"> 'Inputs_ FS'!T$28</f>
        <v>0</v>
      </c>
      <c r="U142" s="362">
        <f xml:space="preserve"> 'Inputs_ FS'!U$28</f>
        <v>0</v>
      </c>
      <c r="V142" s="362">
        <f xml:space="preserve"> 'Inputs_ FS'!V$28</f>
        <v>5370</v>
      </c>
      <c r="W142" s="362">
        <f xml:space="preserve"> 'Inputs_ FS'!W$28</f>
        <v>6009</v>
      </c>
      <c r="X142" s="362">
        <f xml:space="preserve"> 'Inputs_ FS'!X$28</f>
        <v>5535</v>
      </c>
      <c r="Y142" s="362">
        <f xml:space="preserve"> 'Inputs_ FS'!Y$28</f>
        <v>5998</v>
      </c>
      <c r="Z142" s="362">
        <f xml:space="preserve"> 'Inputs_ FS'!Z$28</f>
        <v>8360</v>
      </c>
      <c r="AA142" s="362">
        <f xml:space="preserve"> 'Inputs_ FS'!AA$28</f>
        <v>6819</v>
      </c>
      <c r="AB142" s="362">
        <f xml:space="preserve"> 'Inputs_ FS'!AB$28</f>
        <v>8000</v>
      </c>
      <c r="AC142" s="362">
        <f xml:space="preserve"> 'Inputs_ FS'!AC$28</f>
        <v>8000</v>
      </c>
      <c r="AD142" s="362">
        <f xml:space="preserve"> 'Inputs_ FS'!AD$28</f>
        <v>8000</v>
      </c>
      <c r="AE142" s="362">
        <f xml:space="preserve"> 'Inputs_ FS'!AE$28</f>
        <v>8000</v>
      </c>
      <c r="AF142" s="362">
        <f xml:space="preserve"> 'Inputs_ FS'!AF$28</f>
        <v>8000</v>
      </c>
      <c r="AG142" s="362">
        <f xml:space="preserve"> 'Inputs_ FS'!AG$28</f>
        <v>8000</v>
      </c>
      <c r="AH142" s="362">
        <f xml:space="preserve"> 'Inputs_ FS'!AH$28</f>
        <v>8000</v>
      </c>
      <c r="AI142" s="362">
        <f xml:space="preserve"> 'Inputs_ FS'!AI$28</f>
        <v>8000</v>
      </c>
      <c r="AJ142" s="362">
        <f xml:space="preserve"> 'Inputs_ FS'!AJ$28</f>
        <v>8000</v>
      </c>
      <c r="AK142" s="362">
        <f xml:space="preserve"> 'Inputs_ FS'!AK$28</f>
        <v>8000</v>
      </c>
      <c r="AL142" s="362">
        <f xml:space="preserve"> 'Inputs_ FS'!AL$28</f>
        <v>0</v>
      </c>
      <c r="AM142" s="362">
        <f xml:space="preserve"> 'Inputs_ FS'!AM$28</f>
        <v>0</v>
      </c>
      <c r="AN142" s="362">
        <f xml:space="preserve"> 'Inputs_ FS'!AN$28</f>
        <v>0</v>
      </c>
      <c r="AO142" s="362">
        <f xml:space="preserve"> 'Inputs_ FS'!AO$28</f>
        <v>0</v>
      </c>
      <c r="AP142" s="362">
        <f xml:space="preserve"> 'Inputs_ FS'!AP$28</f>
        <v>0</v>
      </c>
      <c r="AQ142" s="362">
        <f xml:space="preserve"> 'Inputs_ FS'!AQ$28</f>
        <v>0</v>
      </c>
      <c r="AR142" s="362">
        <f xml:space="preserve"> 'Inputs_ FS'!AR$28</f>
        <v>0</v>
      </c>
      <c r="AS142" s="362">
        <f xml:space="preserve"> 'Inputs_ FS'!AS$28</f>
        <v>0</v>
      </c>
    </row>
    <row r="143" spans="1:45" ht="15" customHeight="1" x14ac:dyDescent="0.3">
      <c r="A143" s="530"/>
      <c r="B143" s="531"/>
      <c r="C143" s="532"/>
      <c r="D143" s="257"/>
      <c r="E143" s="426" t="s">
        <v>628</v>
      </c>
      <c r="F143" s="662"/>
      <c r="G143" s="438" t="s">
        <v>321</v>
      </c>
      <c r="H143" s="662"/>
      <c r="I143" s="662"/>
      <c r="J143" s="662"/>
      <c r="K143" s="339">
        <f t="shared" ref="K143:O143" si="193" xml:space="preserve"> IF(K141 &lt;&gt; 0, K141, K142)</f>
        <v>0</v>
      </c>
      <c r="L143" s="339">
        <f t="shared" si="193"/>
        <v>0</v>
      </c>
      <c r="M143" s="339">
        <f t="shared" si="193"/>
        <v>0</v>
      </c>
      <c r="N143" s="339">
        <f t="shared" si="193"/>
        <v>0</v>
      </c>
      <c r="O143" s="339">
        <f t="shared" si="193"/>
        <v>0</v>
      </c>
      <c r="P143" s="339">
        <f xml:space="preserve"> IF(P141 &lt;&gt; 0, P141, P142)</f>
        <v>0</v>
      </c>
      <c r="Q143" s="339">
        <f t="shared" ref="Q143:AS143" si="194" xml:space="preserve"> IF(Q141 &lt;&gt; 0, Q141, Q142)</f>
        <v>0</v>
      </c>
      <c r="R143" s="339">
        <f t="shared" si="194"/>
        <v>0</v>
      </c>
      <c r="S143" s="339">
        <f t="shared" si="194"/>
        <v>0</v>
      </c>
      <c r="T143" s="339">
        <f t="shared" si="194"/>
        <v>0</v>
      </c>
      <c r="U143" s="339">
        <f t="shared" si="194"/>
        <v>0</v>
      </c>
      <c r="V143" s="339">
        <f t="shared" si="194"/>
        <v>5370</v>
      </c>
      <c r="W143" s="339">
        <f t="shared" si="194"/>
        <v>5667.8772618398934</v>
      </c>
      <c r="X143" s="339">
        <f t="shared" si="194"/>
        <v>5484.2765439926088</v>
      </c>
      <c r="Y143" s="339">
        <f t="shared" si="194"/>
        <v>6045.5137948502415</v>
      </c>
      <c r="Z143" s="339">
        <f t="shared" si="194"/>
        <v>8360</v>
      </c>
      <c r="AA143" s="339">
        <f t="shared" si="194"/>
        <v>6819</v>
      </c>
      <c r="AB143" s="339">
        <f t="shared" si="194"/>
        <v>8000</v>
      </c>
      <c r="AC143" s="339">
        <f t="shared" si="194"/>
        <v>8000</v>
      </c>
      <c r="AD143" s="339">
        <f t="shared" si="194"/>
        <v>8000</v>
      </c>
      <c r="AE143" s="339">
        <f t="shared" si="194"/>
        <v>8000</v>
      </c>
      <c r="AF143" s="339">
        <f t="shared" si="194"/>
        <v>8000</v>
      </c>
      <c r="AG143" s="339">
        <f t="shared" si="194"/>
        <v>8000</v>
      </c>
      <c r="AH143" s="339">
        <f t="shared" si="194"/>
        <v>8000</v>
      </c>
      <c r="AI143" s="339">
        <f t="shared" si="194"/>
        <v>8000</v>
      </c>
      <c r="AJ143" s="339">
        <f t="shared" si="194"/>
        <v>8000</v>
      </c>
      <c r="AK143" s="339">
        <f t="shared" si="194"/>
        <v>8000</v>
      </c>
      <c r="AL143" s="339">
        <f t="shared" si="194"/>
        <v>0</v>
      </c>
      <c r="AM143" s="339">
        <f t="shared" si="194"/>
        <v>0</v>
      </c>
      <c r="AN143" s="339">
        <f t="shared" si="194"/>
        <v>0</v>
      </c>
      <c r="AO143" s="339">
        <f t="shared" si="194"/>
        <v>0</v>
      </c>
      <c r="AP143" s="339">
        <f t="shared" si="194"/>
        <v>0</v>
      </c>
      <c r="AQ143" s="339">
        <f t="shared" si="194"/>
        <v>0</v>
      </c>
      <c r="AR143" s="339">
        <f t="shared" si="194"/>
        <v>0</v>
      </c>
      <c r="AS143" s="339">
        <f t="shared" si="194"/>
        <v>0</v>
      </c>
    </row>
    <row r="144" spans="1:45" ht="15" customHeight="1" x14ac:dyDescent="0.3">
      <c r="A144" s="261"/>
      <c r="B144" s="261"/>
      <c r="C144" s="262"/>
      <c r="D144" s="263"/>
      <c r="E144" s="199"/>
      <c r="F144" s="199"/>
      <c r="G144" s="199"/>
      <c r="H144" s="264"/>
      <c r="I144" s="264"/>
      <c r="J144" s="198"/>
      <c r="K144" s="128"/>
      <c r="L144" s="128"/>
      <c r="M144" s="128"/>
      <c r="N144" s="128"/>
      <c r="O144" s="128"/>
      <c r="P144" s="128"/>
      <c r="Q144" s="128"/>
      <c r="R144" s="128"/>
      <c r="S144" s="128"/>
      <c r="T144" s="128"/>
      <c r="U144" s="128"/>
      <c r="V144" s="128"/>
      <c r="W144" s="128"/>
      <c r="X144" s="128"/>
      <c r="Y144" s="128"/>
      <c r="Z144" s="128"/>
      <c r="AA144" s="128"/>
      <c r="AB144" s="128"/>
      <c r="AC144" s="128"/>
      <c r="AD144" s="128"/>
      <c r="AE144" s="128"/>
      <c r="AF144" s="128"/>
      <c r="AG144" s="128"/>
      <c r="AH144" s="128"/>
      <c r="AI144" s="128"/>
      <c r="AJ144" s="128"/>
      <c r="AK144" s="128"/>
      <c r="AL144" s="128"/>
      <c r="AM144" s="128"/>
      <c r="AN144" s="128"/>
      <c r="AO144" s="128"/>
      <c r="AP144" s="128"/>
      <c r="AQ144" s="128"/>
      <c r="AR144" s="128"/>
      <c r="AS144" s="128"/>
    </row>
    <row r="145" spans="1:45" ht="15" customHeight="1" x14ac:dyDescent="0.3">
      <c r="A145" s="261"/>
      <c r="B145" s="261" t="s">
        <v>623</v>
      </c>
      <c r="C145" s="262"/>
      <c r="D145" s="263"/>
      <c r="E145" s="199"/>
      <c r="F145" s="199"/>
      <c r="G145" s="199"/>
      <c r="H145" s="264"/>
      <c r="I145" s="264"/>
      <c r="J145" s="198"/>
      <c r="K145" s="128"/>
      <c r="L145" s="128"/>
      <c r="M145" s="128"/>
      <c r="N145" s="128"/>
      <c r="O145" s="128"/>
      <c r="P145" s="128"/>
      <c r="Q145" s="128"/>
      <c r="R145" s="128"/>
      <c r="S145" s="128"/>
      <c r="T145" s="128"/>
      <c r="U145" s="128"/>
      <c r="V145" s="128"/>
      <c r="W145" s="128"/>
      <c r="X145" s="128"/>
      <c r="Y145" s="128"/>
      <c r="Z145" s="128"/>
      <c r="AA145" s="128"/>
      <c r="AB145" s="128"/>
      <c r="AC145" s="128"/>
      <c r="AD145" s="128"/>
      <c r="AE145" s="128"/>
      <c r="AF145" s="128"/>
      <c r="AG145" s="128"/>
      <c r="AH145" s="128"/>
      <c r="AI145" s="128"/>
      <c r="AJ145" s="128"/>
      <c r="AK145" s="128"/>
      <c r="AL145" s="128"/>
      <c r="AM145" s="128"/>
      <c r="AN145" s="128"/>
      <c r="AO145" s="128"/>
      <c r="AP145" s="128"/>
      <c r="AQ145" s="128"/>
      <c r="AR145" s="128"/>
      <c r="AS145" s="128"/>
    </row>
    <row r="146" spans="1:45" ht="15" customHeight="1" x14ac:dyDescent="0.3">
      <c r="A146" s="261"/>
      <c r="B146" s="261"/>
      <c r="C146" s="262" t="s">
        <v>624</v>
      </c>
      <c r="D146" s="263"/>
      <c r="E146" s="199"/>
      <c r="F146" s="199"/>
      <c r="G146" s="199"/>
      <c r="H146" s="264"/>
      <c r="I146" s="264"/>
      <c r="J146" s="198"/>
      <c r="K146" s="128"/>
      <c r="L146" s="128"/>
      <c r="M146" s="128"/>
      <c r="N146" s="128"/>
      <c r="O146" s="128"/>
      <c r="P146" s="128"/>
      <c r="Q146" s="128"/>
      <c r="R146" s="128"/>
      <c r="S146" s="128"/>
      <c r="T146" s="128"/>
      <c r="U146" s="128"/>
      <c r="V146" s="128"/>
      <c r="W146" s="128"/>
      <c r="X146" s="128"/>
      <c r="Y146" s="128"/>
      <c r="Z146" s="128"/>
      <c r="AA146" s="128"/>
      <c r="AB146" s="128"/>
      <c r="AC146" s="128"/>
      <c r="AD146" s="128"/>
      <c r="AE146" s="128"/>
      <c r="AF146" s="128"/>
      <c r="AG146" s="128"/>
      <c r="AH146" s="128"/>
      <c r="AI146" s="128"/>
      <c r="AJ146" s="128"/>
      <c r="AK146" s="128"/>
      <c r="AL146" s="128"/>
      <c r="AM146" s="128"/>
      <c r="AN146" s="128"/>
      <c r="AO146" s="128"/>
      <c r="AP146" s="128"/>
      <c r="AQ146" s="128"/>
      <c r="AR146" s="128"/>
      <c r="AS146" s="128"/>
    </row>
    <row r="147" spans="1:45" ht="15" customHeight="1" x14ac:dyDescent="0.3">
      <c r="A147" s="660"/>
      <c r="B147" s="658"/>
      <c r="C147" s="661"/>
      <c r="D147" s="257"/>
      <c r="E147" s="257" t="s">
        <v>624</v>
      </c>
      <c r="F147" s="663" t="s">
        <v>625</v>
      </c>
      <c r="G147" s="257" t="s">
        <v>254</v>
      </c>
      <c r="H147" s="531"/>
      <c r="I147" s="531"/>
      <c r="J147" s="531"/>
      <c r="K147" s="531"/>
      <c r="L147" s="531"/>
      <c r="M147" s="531"/>
      <c r="N147" s="531"/>
      <c r="O147" s="531"/>
      <c r="P147" s="531"/>
      <c r="Q147" s="531"/>
      <c r="R147" s="531"/>
      <c r="S147" s="531"/>
      <c r="T147" s="531"/>
      <c r="U147" s="531"/>
      <c r="V147" s="531"/>
      <c r="W147" s="531"/>
      <c r="X147" s="531"/>
      <c r="Y147" s="531"/>
      <c r="Z147" s="531"/>
      <c r="AA147" s="531"/>
      <c r="AB147" s="531"/>
      <c r="AC147" s="531"/>
      <c r="AD147" s="531"/>
      <c r="AE147" s="531"/>
      <c r="AF147" s="531"/>
      <c r="AG147" s="531"/>
      <c r="AH147" s="531"/>
      <c r="AI147" s="531"/>
      <c r="AJ147" s="531"/>
      <c r="AK147" s="531"/>
      <c r="AL147" s="531"/>
      <c r="AM147" s="531"/>
      <c r="AN147" s="531"/>
      <c r="AO147" s="531"/>
      <c r="AP147" s="531"/>
      <c r="AQ147" s="531"/>
      <c r="AR147" s="531"/>
      <c r="AS147" s="531"/>
    </row>
    <row r="148" spans="1:45" ht="15" customHeight="1" x14ac:dyDescent="0.3">
      <c r="A148" s="530"/>
      <c r="B148" s="531"/>
      <c r="C148" s="532"/>
      <c r="D148" s="257"/>
      <c r="E148" s="426" t="str">
        <f xml:space="preserve"> E$143</f>
        <v>Combined realized Cu prices</v>
      </c>
      <c r="F148" s="662">
        <f t="shared" ref="F148:I148" si="195" xml:space="preserve"> F$143</f>
        <v>0</v>
      </c>
      <c r="G148" s="438" t="str">
        <f t="shared" si="195"/>
        <v>$ / tonne</v>
      </c>
      <c r="H148" s="662">
        <f t="shared" si="195"/>
        <v>0</v>
      </c>
      <c r="I148" s="662">
        <f t="shared" si="195"/>
        <v>0</v>
      </c>
      <c r="J148" s="662"/>
      <c r="K148" s="662">
        <f t="shared" ref="K148:O148" si="196" xml:space="preserve"> K$143</f>
        <v>0</v>
      </c>
      <c r="L148" s="662">
        <f t="shared" si="196"/>
        <v>0</v>
      </c>
      <c r="M148" s="662">
        <f t="shared" si="196"/>
        <v>0</v>
      </c>
      <c r="N148" s="662">
        <f t="shared" si="196"/>
        <v>0</v>
      </c>
      <c r="O148" s="662">
        <f t="shared" si="196"/>
        <v>0</v>
      </c>
      <c r="P148" s="662">
        <f t="shared" ref="P148:AS148" si="197" xml:space="preserve"> P$143</f>
        <v>0</v>
      </c>
      <c r="Q148" s="662">
        <f t="shared" si="197"/>
        <v>0</v>
      </c>
      <c r="R148" s="662">
        <f t="shared" si="197"/>
        <v>0</v>
      </c>
      <c r="S148" s="662">
        <f t="shared" si="197"/>
        <v>0</v>
      </c>
      <c r="T148" s="662">
        <f t="shared" si="197"/>
        <v>0</v>
      </c>
      <c r="U148" s="662">
        <f t="shared" si="197"/>
        <v>0</v>
      </c>
      <c r="V148" s="662">
        <f t="shared" si="197"/>
        <v>5370</v>
      </c>
      <c r="W148" s="662">
        <f t="shared" si="197"/>
        <v>5667.8772618398934</v>
      </c>
      <c r="X148" s="662">
        <f t="shared" si="197"/>
        <v>5484.2765439926088</v>
      </c>
      <c r="Y148" s="662">
        <f t="shared" si="197"/>
        <v>6045.5137948502415</v>
      </c>
      <c r="Z148" s="662">
        <f t="shared" si="197"/>
        <v>8360</v>
      </c>
      <c r="AA148" s="662">
        <f t="shared" si="197"/>
        <v>6819</v>
      </c>
      <c r="AB148" s="662">
        <f t="shared" si="197"/>
        <v>8000</v>
      </c>
      <c r="AC148" s="662">
        <f t="shared" si="197"/>
        <v>8000</v>
      </c>
      <c r="AD148" s="662">
        <f t="shared" si="197"/>
        <v>8000</v>
      </c>
      <c r="AE148" s="662">
        <f t="shared" si="197"/>
        <v>8000</v>
      </c>
      <c r="AF148" s="662">
        <f t="shared" si="197"/>
        <v>8000</v>
      </c>
      <c r="AG148" s="662">
        <f t="shared" si="197"/>
        <v>8000</v>
      </c>
      <c r="AH148" s="662">
        <f t="shared" si="197"/>
        <v>8000</v>
      </c>
      <c r="AI148" s="662">
        <f t="shared" si="197"/>
        <v>8000</v>
      </c>
      <c r="AJ148" s="662">
        <f t="shared" si="197"/>
        <v>8000</v>
      </c>
      <c r="AK148" s="662">
        <f t="shared" si="197"/>
        <v>8000</v>
      </c>
      <c r="AL148" s="662">
        <f t="shared" si="197"/>
        <v>0</v>
      </c>
      <c r="AM148" s="662">
        <f t="shared" si="197"/>
        <v>0</v>
      </c>
      <c r="AN148" s="662">
        <f t="shared" si="197"/>
        <v>0</v>
      </c>
      <c r="AO148" s="662">
        <f t="shared" si="197"/>
        <v>0</v>
      </c>
      <c r="AP148" s="662">
        <f t="shared" si="197"/>
        <v>0</v>
      </c>
      <c r="AQ148" s="662">
        <f t="shared" si="197"/>
        <v>0</v>
      </c>
      <c r="AR148" s="662">
        <f t="shared" si="197"/>
        <v>0</v>
      </c>
      <c r="AS148" s="662">
        <f t="shared" si="197"/>
        <v>0</v>
      </c>
    </row>
    <row r="149" spans="1:45" ht="15" customHeight="1" x14ac:dyDescent="0.3">
      <c r="E149" s="256" t="str">
        <f xml:space="preserve"> Inputs_TS!E$168</f>
        <v>IMF WEO April 2024 Copper, grade A cathode, LME spot price, CIF European ports,</v>
      </c>
      <c r="F149" s="256">
        <f xml:space="preserve"> Inputs_TS!F$168</f>
        <v>0</v>
      </c>
      <c r="G149" s="256" t="str">
        <f xml:space="preserve"> Inputs_TS!G$168</f>
        <v>$ / tonne</v>
      </c>
      <c r="H149" s="256" t="str">
        <f xml:space="preserve"> Inputs_TS!H$168</f>
        <v>to add, from WEO file</v>
      </c>
      <c r="I149" s="256">
        <f xml:space="preserve"> Inputs_TS!I$168</f>
        <v>0</v>
      </c>
      <c r="J149" s="256">
        <f xml:space="preserve"> Inputs_TS!J$168</f>
        <v>0</v>
      </c>
      <c r="K149" s="256">
        <f xml:space="preserve"> Inputs_TS!K$168</f>
        <v>6731.3519999999999</v>
      </c>
      <c r="L149" s="256">
        <f xml:space="preserve"> Inputs_TS!L$168</f>
        <v>7131.63</v>
      </c>
      <c r="M149" s="256">
        <f xml:space="preserve"> Inputs_TS!M$168</f>
        <v>6963.482</v>
      </c>
      <c r="N149" s="256">
        <f xml:space="preserve"> Inputs_TS!N$168</f>
        <v>5164.1589999999997</v>
      </c>
      <c r="O149" s="256">
        <f xml:space="preserve"> Inputs_TS!O$168</f>
        <v>7538.3620000000001</v>
      </c>
      <c r="P149" s="256">
        <f xml:space="preserve"> Inputs_TS!P$168</f>
        <v>8823.4539999999997</v>
      </c>
      <c r="Q149" s="256">
        <f xml:space="preserve"> Inputs_TS!Q$168</f>
        <v>7958.9250000000002</v>
      </c>
      <c r="R149" s="256">
        <f xml:space="preserve"> Inputs_TS!R$168</f>
        <v>7331.491</v>
      </c>
      <c r="S149" s="256">
        <f xml:space="preserve"> Inputs_TS!S$168</f>
        <v>6863.3969999999999</v>
      </c>
      <c r="T149" s="256">
        <f xml:space="preserve"> Inputs_TS!T$168</f>
        <v>5510.4570000000003</v>
      </c>
      <c r="U149" s="256">
        <f xml:space="preserve"> Inputs_TS!U$168</f>
        <v>4867.8969999999999</v>
      </c>
      <c r="V149" s="256">
        <f xml:space="preserve"> Inputs_TS!V$168</f>
        <v>6169.94</v>
      </c>
      <c r="W149" s="256">
        <f xml:space="preserve"> Inputs_TS!W$168</f>
        <v>6529.7979999999998</v>
      </c>
      <c r="X149" s="256">
        <f xml:space="preserve"> Inputs_TS!X$168</f>
        <v>6010.1450000000004</v>
      </c>
      <c r="Y149" s="256">
        <f xml:space="preserve"> Inputs_TS!Y$168</f>
        <v>6174.558</v>
      </c>
      <c r="Z149" s="256">
        <f xml:space="preserve"> Inputs_TS!Z$168</f>
        <v>9317.4089999999997</v>
      </c>
      <c r="AA149" s="256">
        <f xml:space="preserve"> Inputs_TS!AA$168</f>
        <v>8828.9169999999995</v>
      </c>
      <c r="AB149" s="256">
        <f xml:space="preserve"> Inputs_TS!AB$168</f>
        <v>8490.7620000000006</v>
      </c>
      <c r="AC149" s="256">
        <f xml:space="preserve"> Inputs_TS!AC$168</f>
        <v>8550.723</v>
      </c>
      <c r="AD149" s="256">
        <f xml:space="preserve"> Inputs_TS!AD$168</f>
        <v>0</v>
      </c>
      <c r="AE149" s="256">
        <f xml:space="preserve"> Inputs_TS!AE$168</f>
        <v>0</v>
      </c>
      <c r="AF149" s="256">
        <f xml:space="preserve"> Inputs_TS!AF$168</f>
        <v>0</v>
      </c>
      <c r="AG149" s="256">
        <f xml:space="preserve"> Inputs_TS!AG$168</f>
        <v>0</v>
      </c>
      <c r="AH149" s="256">
        <f xml:space="preserve"> Inputs_TS!AH$168</f>
        <v>0</v>
      </c>
      <c r="AI149" s="256">
        <f xml:space="preserve"> Inputs_TS!AI$168</f>
        <v>0</v>
      </c>
      <c r="AJ149" s="256">
        <f xml:space="preserve"> Inputs_TS!AJ$168</f>
        <v>0</v>
      </c>
      <c r="AK149" s="256">
        <f xml:space="preserve"> Inputs_TS!AK$168</f>
        <v>0</v>
      </c>
      <c r="AL149" s="256">
        <f xml:space="preserve"> Inputs_TS!AL$168</f>
        <v>0</v>
      </c>
      <c r="AM149" s="256">
        <f xml:space="preserve"> Inputs_TS!AM$168</f>
        <v>0</v>
      </c>
      <c r="AN149" s="256">
        <f xml:space="preserve"> Inputs_TS!AN$168</f>
        <v>0</v>
      </c>
      <c r="AO149" s="256">
        <f xml:space="preserve"> Inputs_TS!AO$168</f>
        <v>0</v>
      </c>
      <c r="AP149" s="256">
        <f xml:space="preserve"> Inputs_TS!AP$168</f>
        <v>0</v>
      </c>
      <c r="AQ149" s="256">
        <f xml:space="preserve"> Inputs_TS!AQ$168</f>
        <v>0</v>
      </c>
      <c r="AR149" s="256">
        <f xml:space="preserve"> Inputs_TS!AR$168</f>
        <v>0</v>
      </c>
      <c r="AS149" s="256">
        <f xml:space="preserve"> Inputs_TS!AS$168</f>
        <v>0</v>
      </c>
    </row>
    <row r="150" spans="1:45" ht="15" customHeight="1" x14ac:dyDescent="0.3">
      <c r="A150" s="664"/>
      <c r="B150" s="665"/>
      <c r="C150" s="666"/>
      <c r="D150" s="667"/>
      <c r="E150" s="667" t="s">
        <v>626</v>
      </c>
      <c r="F150" s="667"/>
      <c r="G150" s="439" t="s">
        <v>34</v>
      </c>
      <c r="H150" s="667"/>
      <c r="I150" s="667"/>
      <c r="J150" s="667"/>
      <c r="K150" s="668">
        <f t="shared" ref="K150:O150" si="198" xml:space="preserve"> IFERROR(K148 / K149, 0)</f>
        <v>0</v>
      </c>
      <c r="L150" s="668">
        <f t="shared" si="198"/>
        <v>0</v>
      </c>
      <c r="M150" s="668">
        <f t="shared" si="198"/>
        <v>0</v>
      </c>
      <c r="N150" s="668">
        <f t="shared" si="198"/>
        <v>0</v>
      </c>
      <c r="O150" s="668">
        <f t="shared" si="198"/>
        <v>0</v>
      </c>
      <c r="P150" s="668">
        <f t="shared" ref="P150:AS150" si="199" xml:space="preserve"> IFERROR(P148 / P149, 0)</f>
        <v>0</v>
      </c>
      <c r="Q150" s="668">
        <f t="shared" si="199"/>
        <v>0</v>
      </c>
      <c r="R150" s="668">
        <f t="shared" si="199"/>
        <v>0</v>
      </c>
      <c r="S150" s="668">
        <f t="shared" si="199"/>
        <v>0</v>
      </c>
      <c r="T150" s="668">
        <f t="shared" si="199"/>
        <v>0</v>
      </c>
      <c r="U150" s="668">
        <f t="shared" si="199"/>
        <v>0</v>
      </c>
      <c r="V150" s="668">
        <f t="shared" si="199"/>
        <v>0.87034882024784688</v>
      </c>
      <c r="W150" s="668">
        <f t="shared" si="199"/>
        <v>0.86800192928477937</v>
      </c>
      <c r="X150" s="668">
        <f t="shared" si="199"/>
        <v>0.91250319983837469</v>
      </c>
      <c r="Y150" s="668">
        <f t="shared" si="199"/>
        <v>0.97910065705921645</v>
      </c>
      <c r="Z150" s="668">
        <f t="shared" si="199"/>
        <v>0.89724514615597539</v>
      </c>
      <c r="AA150" s="668">
        <f t="shared" si="199"/>
        <v>0.77234840921032566</v>
      </c>
      <c r="AB150" s="668">
        <f t="shared" si="199"/>
        <v>0.94220047623523062</v>
      </c>
      <c r="AC150" s="668">
        <f t="shared" si="199"/>
        <v>0.9355933995289053</v>
      </c>
      <c r="AD150" s="668">
        <f t="shared" si="199"/>
        <v>0</v>
      </c>
      <c r="AE150" s="668">
        <f t="shared" si="199"/>
        <v>0</v>
      </c>
      <c r="AF150" s="668">
        <f t="shared" si="199"/>
        <v>0</v>
      </c>
      <c r="AG150" s="668">
        <f t="shared" si="199"/>
        <v>0</v>
      </c>
      <c r="AH150" s="668">
        <f t="shared" si="199"/>
        <v>0</v>
      </c>
      <c r="AI150" s="668">
        <f t="shared" si="199"/>
        <v>0</v>
      </c>
      <c r="AJ150" s="668">
        <f t="shared" si="199"/>
        <v>0</v>
      </c>
      <c r="AK150" s="668">
        <f t="shared" si="199"/>
        <v>0</v>
      </c>
      <c r="AL150" s="668">
        <f t="shared" si="199"/>
        <v>0</v>
      </c>
      <c r="AM150" s="668">
        <f t="shared" si="199"/>
        <v>0</v>
      </c>
      <c r="AN150" s="668">
        <f t="shared" si="199"/>
        <v>0</v>
      </c>
      <c r="AO150" s="668">
        <f t="shared" si="199"/>
        <v>0</v>
      </c>
      <c r="AP150" s="668">
        <f t="shared" si="199"/>
        <v>0</v>
      </c>
      <c r="AQ150" s="668">
        <f t="shared" si="199"/>
        <v>0</v>
      </c>
      <c r="AR150" s="668">
        <f t="shared" si="199"/>
        <v>0</v>
      </c>
      <c r="AS150" s="668">
        <f t="shared" si="199"/>
        <v>0</v>
      </c>
    </row>
    <row r="151" spans="1:45" ht="15" customHeight="1" x14ac:dyDescent="0.3">
      <c r="A151" s="530"/>
      <c r="B151" s="531"/>
      <c r="C151" s="532"/>
      <c r="D151" s="257"/>
      <c r="E151" s="257" t="s">
        <v>627</v>
      </c>
      <c r="F151" s="667">
        <f xml:space="preserve"> AVERAGEIF(P150:AV150,"&lt;&gt; 0")</f>
        <v>0.89716775469508181</v>
      </c>
      <c r="G151" s="439" t="s">
        <v>34</v>
      </c>
      <c r="H151" s="257"/>
      <c r="I151" s="257"/>
      <c r="J151" s="257"/>
      <c r="K151" s="257"/>
      <c r="L151" s="257"/>
      <c r="M151" s="257"/>
      <c r="N151" s="257"/>
      <c r="O151" s="257"/>
      <c r="P151" s="257"/>
      <c r="Q151" s="257"/>
      <c r="R151" s="257"/>
      <c r="S151" s="257"/>
      <c r="T151" s="257"/>
      <c r="U151" s="257"/>
      <c r="V151" s="257"/>
      <c r="W151" s="257"/>
      <c r="X151" s="257"/>
      <c r="Y151" s="257"/>
      <c r="Z151" s="257"/>
      <c r="AA151" s="257"/>
      <c r="AB151" s="257"/>
      <c r="AC151" s="257"/>
      <c r="AD151" s="257"/>
      <c r="AE151" s="257"/>
      <c r="AF151" s="257"/>
      <c r="AG151" s="257"/>
      <c r="AH151" s="257"/>
      <c r="AI151" s="257"/>
      <c r="AJ151" s="257"/>
      <c r="AK151" s="257"/>
      <c r="AL151" s="257"/>
      <c r="AM151" s="257"/>
      <c r="AN151" s="257"/>
      <c r="AO151" s="257"/>
      <c r="AP151" s="257"/>
      <c r="AQ151" s="257"/>
      <c r="AR151" s="257"/>
      <c r="AS151" s="257"/>
    </row>
    <row r="152" spans="1:45" ht="15" customHeight="1" x14ac:dyDescent="0.3">
      <c r="A152" s="261"/>
      <c r="B152" s="261"/>
      <c r="C152" s="262"/>
      <c r="D152" s="263"/>
      <c r="E152" s="199"/>
      <c r="F152" s="199"/>
      <c r="G152" s="199"/>
      <c r="H152" s="264"/>
      <c r="I152" s="264"/>
      <c r="J152" s="198"/>
      <c r="K152" s="128"/>
      <c r="L152" s="128"/>
      <c r="M152" s="128"/>
      <c r="N152" s="128"/>
      <c r="O152" s="128"/>
      <c r="P152" s="128"/>
      <c r="Q152" s="128"/>
      <c r="R152" s="128"/>
      <c r="S152" s="128"/>
      <c r="T152" s="128"/>
      <c r="U152" s="128"/>
      <c r="V152" s="128"/>
      <c r="W152" s="128"/>
      <c r="X152" s="128"/>
      <c r="Y152" s="128"/>
      <c r="Z152" s="128"/>
      <c r="AA152" s="128"/>
      <c r="AB152" s="128"/>
      <c r="AC152" s="128"/>
      <c r="AD152" s="128"/>
      <c r="AE152" s="128"/>
      <c r="AF152" s="128"/>
      <c r="AG152" s="128"/>
      <c r="AH152" s="128"/>
      <c r="AI152" s="128"/>
      <c r="AJ152" s="128"/>
      <c r="AK152" s="128"/>
      <c r="AL152" s="128"/>
      <c r="AM152" s="128"/>
      <c r="AN152" s="128"/>
      <c r="AO152" s="128"/>
      <c r="AP152" s="128"/>
      <c r="AQ152" s="128"/>
      <c r="AR152" s="128"/>
      <c r="AS152" s="128"/>
    </row>
    <row r="153" spans="1:45" ht="15" customHeight="1" x14ac:dyDescent="0.3">
      <c r="A153" s="261"/>
      <c r="B153" s="261"/>
      <c r="C153" s="262"/>
      <c r="D153" s="263"/>
      <c r="E153" s="537" t="str">
        <f xml:space="preserve"> E$138</f>
        <v>Copper actual &amp; forecast price: IMF_WEO</v>
      </c>
      <c r="F153" s="537">
        <f t="shared" ref="F153:O153" si="200" xml:space="preserve"> F$138</f>
        <v>0</v>
      </c>
      <c r="G153" s="537" t="str">
        <f t="shared" si="200"/>
        <v>$ / tonne</v>
      </c>
      <c r="H153" s="537">
        <f t="shared" si="200"/>
        <v>0</v>
      </c>
      <c r="I153" s="537">
        <f t="shared" si="200"/>
        <v>0</v>
      </c>
      <c r="J153" s="537">
        <f t="shared" si="200"/>
        <v>0</v>
      </c>
      <c r="K153" s="537">
        <f t="shared" si="200"/>
        <v>6731.3519999999999</v>
      </c>
      <c r="L153" s="537">
        <f t="shared" si="200"/>
        <v>7131.63</v>
      </c>
      <c r="M153" s="537">
        <f t="shared" si="200"/>
        <v>6963.482</v>
      </c>
      <c r="N153" s="537">
        <f t="shared" si="200"/>
        <v>5164.1589999999997</v>
      </c>
      <c r="O153" s="537">
        <f t="shared" si="200"/>
        <v>7538.3620000000001</v>
      </c>
      <c r="P153" s="537">
        <f t="shared" ref="P153:AS153" si="201" xml:space="preserve"> P$138</f>
        <v>8823.4539999999997</v>
      </c>
      <c r="Q153" s="537">
        <f t="shared" si="201"/>
        <v>7958.9250000000002</v>
      </c>
      <c r="R153" s="537">
        <f t="shared" si="201"/>
        <v>7331.491</v>
      </c>
      <c r="S153" s="537">
        <f t="shared" si="201"/>
        <v>6863.3969999999999</v>
      </c>
      <c r="T153" s="537">
        <f t="shared" si="201"/>
        <v>5510.4570000000003</v>
      </c>
      <c r="U153" s="537">
        <f t="shared" si="201"/>
        <v>4867.8969999999999</v>
      </c>
      <c r="V153" s="537">
        <f t="shared" si="201"/>
        <v>6169.94</v>
      </c>
      <c r="W153" s="537">
        <f t="shared" si="201"/>
        <v>6529.7979999999998</v>
      </c>
      <c r="X153" s="537">
        <f t="shared" si="201"/>
        <v>6010.1450000000004</v>
      </c>
      <c r="Y153" s="537">
        <f t="shared" si="201"/>
        <v>6174.558</v>
      </c>
      <c r="Z153" s="537">
        <f t="shared" si="201"/>
        <v>9317.4089999999997</v>
      </c>
      <c r="AA153" s="537">
        <f t="shared" si="201"/>
        <v>8828.9169999999995</v>
      </c>
      <c r="AB153" s="537">
        <f t="shared" si="201"/>
        <v>8490.7620000000006</v>
      </c>
      <c r="AC153" s="537">
        <f t="shared" si="201"/>
        <v>8550.723</v>
      </c>
      <c r="AD153" s="537">
        <f t="shared" si="201"/>
        <v>8661.2289999999994</v>
      </c>
      <c r="AE153" s="537">
        <f t="shared" si="201"/>
        <v>8676.2919999999995</v>
      </c>
      <c r="AF153" s="537">
        <f t="shared" si="201"/>
        <v>8667.75</v>
      </c>
      <c r="AG153" s="537">
        <f t="shared" si="201"/>
        <v>8655.625</v>
      </c>
      <c r="AH153" s="537">
        <f t="shared" si="201"/>
        <v>8668.5</v>
      </c>
      <c r="AI153" s="537">
        <f t="shared" si="201"/>
        <v>8857.0316499289966</v>
      </c>
      <c r="AJ153" s="537">
        <f t="shared" si="201"/>
        <v>9034.1722829275768</v>
      </c>
      <c r="AK153" s="537">
        <f t="shared" si="201"/>
        <v>9214.855728586128</v>
      </c>
      <c r="AL153" s="537">
        <f t="shared" si="201"/>
        <v>9399.1528431578517</v>
      </c>
      <c r="AM153" s="537">
        <f t="shared" si="201"/>
        <v>9587.1359000210068</v>
      </c>
      <c r="AN153" s="537">
        <f t="shared" si="201"/>
        <v>9778.8786180214283</v>
      </c>
      <c r="AO153" s="537">
        <f t="shared" si="201"/>
        <v>9974.4561903818576</v>
      </c>
      <c r="AP153" s="537">
        <f t="shared" si="201"/>
        <v>10173.945314189496</v>
      </c>
      <c r="AQ153" s="537">
        <f t="shared" si="201"/>
        <v>10377.424220473287</v>
      </c>
      <c r="AR153" s="537">
        <f t="shared" si="201"/>
        <v>10584.972704882754</v>
      </c>
      <c r="AS153" s="537">
        <f t="shared" si="201"/>
        <v>10796.672158980407</v>
      </c>
    </row>
    <row r="154" spans="1:45" ht="15" customHeight="1" x14ac:dyDescent="0.3">
      <c r="A154" s="530"/>
      <c r="B154" s="531"/>
      <c r="C154" s="532"/>
      <c r="D154" s="257"/>
      <c r="E154" s="257" t="str">
        <f>"Copper realized price: " &amp; F154</f>
        <v>Copper realized price: %LME(actual)</v>
      </c>
      <c r="F154" s="669" t="str">
        <f>F147</f>
        <v>%LME(actual)</v>
      </c>
      <c r="G154" s="257" t="s">
        <v>321</v>
      </c>
      <c r="H154" s="257"/>
      <c r="I154" s="257"/>
      <c r="J154" s="257"/>
      <c r="K154" s="257">
        <f xml:space="preserve"> IF( K150 &lt;&gt; 0, K150, $F151) * K153</f>
        <v>6039.1519599022486</v>
      </c>
      <c r="L154" s="257">
        <f t="shared" ref="L154:O154" si="202" xml:space="preserve"> IF( L150 &lt;&gt; 0, L150, $F151) * L153</f>
        <v>6398.2684744160861</v>
      </c>
      <c r="M154" s="257">
        <f t="shared" si="202"/>
        <v>6247.4115107996176</v>
      </c>
      <c r="N154" s="257">
        <f t="shared" si="202"/>
        <v>4633.1169349183983</v>
      </c>
      <c r="O154" s="257">
        <f t="shared" si="202"/>
        <v>6763.1753096187267</v>
      </c>
      <c r="P154" s="257">
        <f t="shared" ref="P154:AS154" si="203" xml:space="preserve"> IF( P150 &lt;&gt; 0, P150, $F151) * P153</f>
        <v>7916.1184138353383</v>
      </c>
      <c r="Q154" s="257">
        <f t="shared" si="203"/>
        <v>7140.4908720365538</v>
      </c>
      <c r="R154" s="257">
        <f t="shared" si="203"/>
        <v>6577.5773190372001</v>
      </c>
      <c r="S154" s="257">
        <f t="shared" si="203"/>
        <v>6157.6184760709602</v>
      </c>
      <c r="T154" s="257">
        <f t="shared" si="203"/>
        <v>4943.8043340337963</v>
      </c>
      <c r="U154" s="257">
        <f t="shared" si="203"/>
        <v>4367.3202215769243</v>
      </c>
      <c r="V154" s="257">
        <f t="shared" si="203"/>
        <v>5370</v>
      </c>
      <c r="W154" s="257">
        <f t="shared" si="203"/>
        <v>5667.8772618398934</v>
      </c>
      <c r="X154" s="257">
        <f t="shared" si="203"/>
        <v>5484.2765439926088</v>
      </c>
      <c r="Y154" s="257">
        <f t="shared" si="203"/>
        <v>6045.5137948502415</v>
      </c>
      <c r="Z154" s="257">
        <f t="shared" si="203"/>
        <v>8360</v>
      </c>
      <c r="AA154" s="257">
        <f t="shared" si="203"/>
        <v>6819</v>
      </c>
      <c r="AB154" s="257">
        <f t="shared" si="203"/>
        <v>8000</v>
      </c>
      <c r="AC154" s="257">
        <f t="shared" si="203"/>
        <v>8000</v>
      </c>
      <c r="AD154" s="257">
        <f t="shared" si="203"/>
        <v>7770.5753748299285</v>
      </c>
      <c r="AE154" s="257">
        <f t="shared" si="203"/>
        <v>7784.0894127189003</v>
      </c>
      <c r="AF154" s="257">
        <f t="shared" si="203"/>
        <v>7776.4258057582956</v>
      </c>
      <c r="AG154" s="257">
        <f t="shared" si="203"/>
        <v>7765.5476467326171</v>
      </c>
      <c r="AH154" s="257">
        <f t="shared" si="203"/>
        <v>7777.0986815743163</v>
      </c>
      <c r="AI154" s="257">
        <f t="shared" si="203"/>
        <v>7946.2431986300735</v>
      </c>
      <c r="AJ154" s="257">
        <f t="shared" si="203"/>
        <v>8105.1680626026755</v>
      </c>
      <c r="AK154" s="257">
        <f t="shared" si="203"/>
        <v>8267.2714238547287</v>
      </c>
      <c r="AL154" s="257">
        <f t="shared" si="203"/>
        <v>8432.6168523318247</v>
      </c>
      <c r="AM154" s="257">
        <f t="shared" si="203"/>
        <v>8601.2691893784595</v>
      </c>
      <c r="AN154" s="257">
        <f t="shared" si="203"/>
        <v>8773.2945731660293</v>
      </c>
      <c r="AO154" s="257">
        <f t="shared" si="203"/>
        <v>8948.7604646293512</v>
      </c>
      <c r="AP154" s="257">
        <f t="shared" si="203"/>
        <v>9127.7356739219376</v>
      </c>
      <c r="AQ154" s="257">
        <f t="shared" si="203"/>
        <v>9310.2903874003787</v>
      </c>
      <c r="AR154" s="257">
        <f t="shared" si="203"/>
        <v>9496.4961951483874</v>
      </c>
      <c r="AS154" s="257">
        <f t="shared" si="203"/>
        <v>9686.4261190513535</v>
      </c>
    </row>
    <row r="155" spans="1:45" ht="15" customHeight="1" x14ac:dyDescent="0.3">
      <c r="A155" s="261"/>
      <c r="B155" s="261"/>
      <c r="C155" s="262"/>
      <c r="D155" s="263"/>
      <c r="E155" s="199"/>
      <c r="F155" s="199"/>
      <c r="G155" s="199"/>
      <c r="H155" s="264"/>
      <c r="I155" s="264"/>
      <c r="J155" s="198"/>
      <c r="K155" s="128"/>
      <c r="L155" s="128"/>
      <c r="M155" s="128"/>
      <c r="N155" s="128"/>
      <c r="O155" s="128"/>
      <c r="P155" s="128"/>
      <c r="Q155" s="128"/>
      <c r="R155" s="128"/>
      <c r="S155" s="128"/>
      <c r="T155" s="128"/>
      <c r="U155" s="128"/>
      <c r="V155" s="128"/>
      <c r="W155" s="128"/>
      <c r="X155" s="128"/>
      <c r="Y155" s="128"/>
      <c r="Z155" s="128"/>
      <c r="AA155" s="128"/>
      <c r="AB155" s="128"/>
      <c r="AC155" s="128"/>
      <c r="AD155" s="128"/>
      <c r="AE155" s="128"/>
      <c r="AF155" s="128"/>
      <c r="AG155" s="128"/>
      <c r="AH155" s="128"/>
      <c r="AI155" s="128"/>
      <c r="AJ155" s="128"/>
      <c r="AK155" s="128"/>
      <c r="AL155" s="128"/>
      <c r="AM155" s="128"/>
      <c r="AN155" s="128"/>
      <c r="AO155" s="128"/>
      <c r="AP155" s="128"/>
      <c r="AQ155" s="128"/>
      <c r="AR155" s="128"/>
      <c r="AS155" s="128"/>
    </row>
    <row r="156" spans="1:45" ht="15" customHeight="1" x14ac:dyDescent="0.3">
      <c r="A156" s="530"/>
      <c r="B156" s="531"/>
      <c r="C156" s="532" t="s">
        <v>629</v>
      </c>
      <c r="D156" s="257"/>
      <c r="E156" s="531"/>
      <c r="F156" s="257"/>
      <c r="G156" s="257"/>
      <c r="H156" s="257"/>
      <c r="I156" s="257"/>
      <c r="J156" s="257"/>
      <c r="K156" s="257"/>
      <c r="L156" s="257"/>
      <c r="M156" s="257"/>
      <c r="N156" s="257"/>
      <c r="O156" s="257"/>
      <c r="P156" s="257"/>
      <c r="Q156" s="257"/>
      <c r="R156" s="257"/>
      <c r="S156" s="257"/>
      <c r="T156" s="257"/>
      <c r="U156" s="257"/>
      <c r="V156" s="257"/>
      <c r="W156" s="257"/>
      <c r="X156" s="257"/>
      <c r="Y156" s="257"/>
      <c r="Z156" s="257"/>
      <c r="AA156" s="257"/>
      <c r="AB156" s="257"/>
      <c r="AC156" s="257"/>
      <c r="AD156" s="257"/>
      <c r="AE156" s="257"/>
      <c r="AF156" s="257"/>
      <c r="AG156" s="257"/>
      <c r="AH156" s="257"/>
      <c r="AI156" s="257"/>
      <c r="AJ156" s="257"/>
      <c r="AK156" s="257"/>
      <c r="AL156" s="257"/>
      <c r="AM156" s="257"/>
      <c r="AN156" s="257"/>
      <c r="AO156" s="257"/>
      <c r="AP156" s="257"/>
      <c r="AQ156" s="257"/>
      <c r="AR156" s="257"/>
      <c r="AS156" s="257"/>
    </row>
    <row r="157" spans="1:45" ht="15" customHeight="1" x14ac:dyDescent="0.3">
      <c r="A157" s="261"/>
      <c r="B157" s="261"/>
      <c r="C157" s="262"/>
      <c r="D157" s="263"/>
      <c r="E157" s="670" t="str">
        <f xml:space="preserve"> Inputs_Con!E$43</f>
        <v>Copper: Realised Price vs LME for "LMEAssumed"</v>
      </c>
      <c r="F157" s="146">
        <f xml:space="preserve"> Inputs_Con!F$43</f>
        <v>0.95</v>
      </c>
      <c r="G157" s="670" t="str">
        <f xml:space="preserve"> Inputs_Con!G$43</f>
        <v>%</v>
      </c>
      <c r="H157" s="264"/>
      <c r="I157" s="264"/>
      <c r="J157" s="198"/>
      <c r="K157" s="128"/>
      <c r="L157" s="128"/>
      <c r="M157" s="128"/>
      <c r="N157" s="128"/>
      <c r="O157" s="128"/>
      <c r="P157" s="128"/>
      <c r="Q157" s="128"/>
      <c r="R157" s="128"/>
      <c r="S157" s="128"/>
      <c r="T157" s="128"/>
      <c r="U157" s="128"/>
      <c r="V157" s="128"/>
      <c r="W157" s="128"/>
      <c r="X157" s="128"/>
      <c r="Y157" s="128"/>
      <c r="Z157" s="128"/>
      <c r="AA157" s="128"/>
      <c r="AB157" s="128"/>
      <c r="AC157" s="128"/>
      <c r="AD157" s="128"/>
      <c r="AE157" s="128"/>
      <c r="AF157" s="128"/>
      <c r="AG157" s="128"/>
      <c r="AH157" s="128"/>
      <c r="AI157" s="128"/>
      <c r="AJ157" s="128"/>
      <c r="AK157" s="128"/>
      <c r="AL157" s="128"/>
      <c r="AM157" s="128"/>
      <c r="AN157" s="128"/>
      <c r="AO157" s="128"/>
      <c r="AP157" s="128"/>
      <c r="AQ157" s="128"/>
      <c r="AR157" s="128"/>
      <c r="AS157" s="128"/>
    </row>
    <row r="158" spans="1:45" ht="15" customHeight="1" x14ac:dyDescent="0.3">
      <c r="A158" s="261"/>
      <c r="B158" s="261"/>
      <c r="C158" s="262"/>
      <c r="D158" s="263"/>
      <c r="E158" s="257" t="s">
        <v>629</v>
      </c>
      <c r="F158" s="663" t="s">
        <v>630</v>
      </c>
      <c r="G158" s="257" t="s">
        <v>254</v>
      </c>
      <c r="H158" s="264"/>
      <c r="I158" s="264"/>
      <c r="J158" s="198"/>
      <c r="K158" s="128"/>
      <c r="L158" s="128"/>
      <c r="M158" s="128"/>
      <c r="N158" s="128"/>
      <c r="O158" s="128"/>
      <c r="P158" s="128"/>
      <c r="Q158" s="128"/>
      <c r="R158" s="128"/>
      <c r="S158" s="128"/>
      <c r="T158" s="128"/>
      <c r="U158" s="128"/>
      <c r="V158" s="128"/>
      <c r="W158" s="128"/>
      <c r="X158" s="128"/>
      <c r="Y158" s="128"/>
      <c r="Z158" s="128"/>
      <c r="AA158" s="128"/>
      <c r="AB158" s="128"/>
      <c r="AC158" s="128"/>
      <c r="AD158" s="128"/>
      <c r="AE158" s="128"/>
      <c r="AF158" s="128"/>
      <c r="AG158" s="128"/>
      <c r="AH158" s="128"/>
      <c r="AI158" s="128"/>
      <c r="AJ158" s="128"/>
      <c r="AK158" s="128"/>
      <c r="AL158" s="128"/>
      <c r="AM158" s="128"/>
      <c r="AN158" s="128"/>
      <c r="AO158" s="128"/>
      <c r="AP158" s="128"/>
      <c r="AQ158" s="128"/>
      <c r="AR158" s="128"/>
      <c r="AS158" s="128"/>
    </row>
    <row r="159" spans="1:45" ht="15" customHeight="1" x14ac:dyDescent="0.3">
      <c r="A159" s="261"/>
      <c r="B159" s="261"/>
      <c r="C159" s="262"/>
      <c r="D159" s="263"/>
      <c r="E159" s="199"/>
      <c r="F159" s="199"/>
      <c r="G159" s="199"/>
      <c r="H159" s="264"/>
      <c r="I159" s="264"/>
      <c r="J159" s="198"/>
      <c r="K159" s="128"/>
      <c r="L159" s="128"/>
      <c r="M159" s="128"/>
      <c r="N159" s="128"/>
      <c r="O159" s="128"/>
      <c r="P159" s="128"/>
      <c r="Q159" s="128"/>
      <c r="R159" s="128"/>
      <c r="S159" s="128"/>
      <c r="T159" s="128"/>
      <c r="U159" s="128"/>
      <c r="V159" s="128"/>
      <c r="W159" s="128"/>
      <c r="X159" s="128"/>
      <c r="Y159" s="128"/>
      <c r="Z159" s="128"/>
      <c r="AA159" s="128"/>
      <c r="AB159" s="128"/>
      <c r="AC159" s="128"/>
      <c r="AD159" s="128"/>
      <c r="AE159" s="128"/>
      <c r="AF159" s="128"/>
      <c r="AG159" s="128"/>
      <c r="AH159" s="128"/>
      <c r="AI159" s="128"/>
      <c r="AJ159" s="128"/>
      <c r="AK159" s="128"/>
      <c r="AL159" s="128"/>
      <c r="AM159" s="128"/>
      <c r="AN159" s="128"/>
      <c r="AO159" s="128"/>
      <c r="AP159" s="128"/>
      <c r="AQ159" s="128"/>
      <c r="AR159" s="128"/>
      <c r="AS159" s="128"/>
    </row>
    <row r="160" spans="1:45" ht="15" customHeight="1" x14ac:dyDescent="0.3">
      <c r="A160" s="261"/>
      <c r="B160" s="261"/>
      <c r="C160" s="262"/>
      <c r="D160" s="263"/>
      <c r="E160" s="537" t="str">
        <f xml:space="preserve"> E$138</f>
        <v>Copper actual &amp; forecast price: IMF_WEO</v>
      </c>
      <c r="F160" s="537">
        <f t="shared" ref="F160:O160" si="204" xml:space="preserve"> F$138</f>
        <v>0</v>
      </c>
      <c r="G160" s="537" t="str">
        <f t="shared" si="204"/>
        <v>$ / tonne</v>
      </c>
      <c r="H160" s="537">
        <f t="shared" si="204"/>
        <v>0</v>
      </c>
      <c r="I160" s="537">
        <f t="shared" si="204"/>
        <v>0</v>
      </c>
      <c r="J160" s="537">
        <f t="shared" si="204"/>
        <v>0</v>
      </c>
      <c r="K160" s="537">
        <f t="shared" si="204"/>
        <v>6731.3519999999999</v>
      </c>
      <c r="L160" s="537">
        <f t="shared" si="204"/>
        <v>7131.63</v>
      </c>
      <c r="M160" s="537">
        <f t="shared" si="204"/>
        <v>6963.482</v>
      </c>
      <c r="N160" s="537">
        <f t="shared" si="204"/>
        <v>5164.1589999999997</v>
      </c>
      <c r="O160" s="537">
        <f t="shared" si="204"/>
        <v>7538.3620000000001</v>
      </c>
      <c r="P160" s="537">
        <f t="shared" ref="P160:AS160" si="205" xml:space="preserve"> P$138</f>
        <v>8823.4539999999997</v>
      </c>
      <c r="Q160" s="537">
        <f t="shared" si="205"/>
        <v>7958.9250000000002</v>
      </c>
      <c r="R160" s="537">
        <f t="shared" si="205"/>
        <v>7331.491</v>
      </c>
      <c r="S160" s="537">
        <f t="shared" si="205"/>
        <v>6863.3969999999999</v>
      </c>
      <c r="T160" s="537">
        <f t="shared" si="205"/>
        <v>5510.4570000000003</v>
      </c>
      <c r="U160" s="537">
        <f t="shared" si="205"/>
        <v>4867.8969999999999</v>
      </c>
      <c r="V160" s="537">
        <f t="shared" si="205"/>
        <v>6169.94</v>
      </c>
      <c r="W160" s="537">
        <f t="shared" si="205"/>
        <v>6529.7979999999998</v>
      </c>
      <c r="X160" s="537">
        <f t="shared" si="205"/>
        <v>6010.1450000000004</v>
      </c>
      <c r="Y160" s="537">
        <f t="shared" si="205"/>
        <v>6174.558</v>
      </c>
      <c r="Z160" s="537">
        <f t="shared" si="205"/>
        <v>9317.4089999999997</v>
      </c>
      <c r="AA160" s="537">
        <f t="shared" si="205"/>
        <v>8828.9169999999995</v>
      </c>
      <c r="AB160" s="537">
        <f t="shared" si="205"/>
        <v>8490.7620000000006</v>
      </c>
      <c r="AC160" s="537">
        <f t="shared" si="205"/>
        <v>8550.723</v>
      </c>
      <c r="AD160" s="537">
        <f t="shared" si="205"/>
        <v>8661.2289999999994</v>
      </c>
      <c r="AE160" s="537">
        <f t="shared" si="205"/>
        <v>8676.2919999999995</v>
      </c>
      <c r="AF160" s="537">
        <f t="shared" si="205"/>
        <v>8667.75</v>
      </c>
      <c r="AG160" s="537">
        <f t="shared" si="205"/>
        <v>8655.625</v>
      </c>
      <c r="AH160" s="537">
        <f t="shared" si="205"/>
        <v>8668.5</v>
      </c>
      <c r="AI160" s="537">
        <f t="shared" si="205"/>
        <v>8857.0316499289966</v>
      </c>
      <c r="AJ160" s="537">
        <f t="shared" si="205"/>
        <v>9034.1722829275768</v>
      </c>
      <c r="AK160" s="537">
        <f t="shared" si="205"/>
        <v>9214.855728586128</v>
      </c>
      <c r="AL160" s="537">
        <f t="shared" si="205"/>
        <v>9399.1528431578517</v>
      </c>
      <c r="AM160" s="537">
        <f t="shared" si="205"/>
        <v>9587.1359000210068</v>
      </c>
      <c r="AN160" s="537">
        <f t="shared" si="205"/>
        <v>9778.8786180214283</v>
      </c>
      <c r="AO160" s="537">
        <f t="shared" si="205"/>
        <v>9974.4561903818576</v>
      </c>
      <c r="AP160" s="537">
        <f t="shared" si="205"/>
        <v>10173.945314189496</v>
      </c>
      <c r="AQ160" s="537">
        <f t="shared" si="205"/>
        <v>10377.424220473287</v>
      </c>
      <c r="AR160" s="537">
        <f t="shared" si="205"/>
        <v>10584.972704882754</v>
      </c>
      <c r="AS160" s="537">
        <f t="shared" si="205"/>
        <v>10796.672158980407</v>
      </c>
    </row>
    <row r="161" spans="1:45" ht="15" customHeight="1" x14ac:dyDescent="0.3">
      <c r="A161" s="530"/>
      <c r="B161" s="531"/>
      <c r="C161" s="532"/>
      <c r="D161" s="257"/>
      <c r="E161" s="257" t="str">
        <f>"Copper realized price: " &amp; F161</f>
        <v>Copper realized price: %LME(assumed)</v>
      </c>
      <c r="F161" s="669" t="str">
        <f xml:space="preserve"> F158</f>
        <v>%LME(assumed)</v>
      </c>
      <c r="G161" s="257" t="s">
        <v>321</v>
      </c>
      <c r="H161" s="257"/>
      <c r="I161" s="257"/>
      <c r="J161" s="257"/>
      <c r="K161" s="257">
        <f t="shared" ref="K161:O161" si="206" xml:space="preserve"> K160 * $F157</f>
        <v>6394.7843999999996</v>
      </c>
      <c r="L161" s="257">
        <f t="shared" si="206"/>
        <v>6775.0484999999999</v>
      </c>
      <c r="M161" s="257">
        <f t="shared" si="206"/>
        <v>6615.3078999999998</v>
      </c>
      <c r="N161" s="257">
        <f t="shared" si="206"/>
        <v>4905.9510499999997</v>
      </c>
      <c r="O161" s="257">
        <f t="shared" si="206"/>
        <v>7161.4438999999993</v>
      </c>
      <c r="P161" s="257">
        <f t="shared" ref="P161:AS161" si="207" xml:space="preserve"> P160 * $F157</f>
        <v>8382.2812999999987</v>
      </c>
      <c r="Q161" s="257">
        <f t="shared" si="207"/>
        <v>7560.9787500000002</v>
      </c>
      <c r="R161" s="257">
        <f t="shared" si="207"/>
        <v>6964.9164499999997</v>
      </c>
      <c r="S161" s="257">
        <f t="shared" si="207"/>
        <v>6520.2271499999997</v>
      </c>
      <c r="T161" s="257">
        <f t="shared" si="207"/>
        <v>5234.93415</v>
      </c>
      <c r="U161" s="257">
        <f t="shared" si="207"/>
        <v>4624.5021499999993</v>
      </c>
      <c r="V161" s="257">
        <f t="shared" si="207"/>
        <v>5861.4429999999993</v>
      </c>
      <c r="W161" s="257">
        <f t="shared" si="207"/>
        <v>6203.3080999999993</v>
      </c>
      <c r="X161" s="257">
        <f t="shared" si="207"/>
        <v>5709.6377499999999</v>
      </c>
      <c r="Y161" s="257">
        <f t="shared" si="207"/>
        <v>5865.8301000000001</v>
      </c>
      <c r="Z161" s="257">
        <f t="shared" si="207"/>
        <v>8851.5385499999993</v>
      </c>
      <c r="AA161" s="257">
        <f t="shared" si="207"/>
        <v>8387.4711499999994</v>
      </c>
      <c r="AB161" s="257">
        <f t="shared" si="207"/>
        <v>8066.2239</v>
      </c>
      <c r="AC161" s="257">
        <f t="shared" si="207"/>
        <v>8123.1868499999991</v>
      </c>
      <c r="AD161" s="257">
        <f t="shared" si="207"/>
        <v>8228.1675499999983</v>
      </c>
      <c r="AE161" s="257">
        <f t="shared" si="207"/>
        <v>8242.4773999999998</v>
      </c>
      <c r="AF161" s="257">
        <f t="shared" si="207"/>
        <v>8234.3624999999993</v>
      </c>
      <c r="AG161" s="257">
        <f t="shared" si="207"/>
        <v>8222.84375</v>
      </c>
      <c r="AH161" s="257">
        <f t="shared" si="207"/>
        <v>8235.0749999999989</v>
      </c>
      <c r="AI161" s="257">
        <f t="shared" si="207"/>
        <v>8414.1800674325459</v>
      </c>
      <c r="AJ161" s="257">
        <f t="shared" si="207"/>
        <v>8582.4636687811981</v>
      </c>
      <c r="AK161" s="257">
        <f t="shared" si="207"/>
        <v>8754.1129421568203</v>
      </c>
      <c r="AL161" s="257">
        <f t="shared" si="207"/>
        <v>8929.1952009999586</v>
      </c>
      <c r="AM161" s="257">
        <f t="shared" si="207"/>
        <v>9107.7791050199558</v>
      </c>
      <c r="AN161" s="257">
        <f t="shared" si="207"/>
        <v>9289.9346871203561</v>
      </c>
      <c r="AO161" s="257">
        <f t="shared" si="207"/>
        <v>9475.7333808627645</v>
      </c>
      <c r="AP161" s="257">
        <f t="shared" si="207"/>
        <v>9665.2480484800199</v>
      </c>
      <c r="AQ161" s="257">
        <f t="shared" si="207"/>
        <v>9858.5530094496226</v>
      </c>
      <c r="AR161" s="257">
        <f t="shared" si="207"/>
        <v>10055.724069638616</v>
      </c>
      <c r="AS161" s="257">
        <f t="shared" si="207"/>
        <v>10256.838551031387</v>
      </c>
    </row>
    <row r="162" spans="1:45" ht="15" customHeight="1" x14ac:dyDescent="0.3">
      <c r="A162" s="530"/>
      <c r="B162" s="531"/>
      <c r="C162" s="532"/>
      <c r="D162" s="257"/>
      <c r="E162" s="662" t="str">
        <f xml:space="preserve"> E161</f>
        <v>Copper realized price: %LME(assumed)</v>
      </c>
      <c r="F162" s="662"/>
      <c r="G162" s="662" t="s">
        <v>631</v>
      </c>
      <c r="H162" s="257"/>
      <c r="I162" s="257"/>
      <c r="J162" s="257"/>
      <c r="K162" s="632">
        <f t="shared" ref="K162:AS162" si="208" xml:space="preserve"> K161 / K160</f>
        <v>0.95</v>
      </c>
      <c r="L162" s="632">
        <f t="shared" si="208"/>
        <v>0.95</v>
      </c>
      <c r="M162" s="632">
        <f t="shared" si="208"/>
        <v>0.95</v>
      </c>
      <c r="N162" s="632">
        <f t="shared" si="208"/>
        <v>0.95</v>
      </c>
      <c r="O162" s="632">
        <f t="shared" si="208"/>
        <v>0.94999999999999984</v>
      </c>
      <c r="P162" s="632">
        <f t="shared" si="208"/>
        <v>0.94999999999999984</v>
      </c>
      <c r="Q162" s="632">
        <f t="shared" si="208"/>
        <v>0.95</v>
      </c>
      <c r="R162" s="632">
        <f t="shared" si="208"/>
        <v>0.95</v>
      </c>
      <c r="S162" s="632">
        <f t="shared" si="208"/>
        <v>0.95</v>
      </c>
      <c r="T162" s="632">
        <f t="shared" si="208"/>
        <v>0.95</v>
      </c>
      <c r="U162" s="632">
        <f t="shared" si="208"/>
        <v>0.94999999999999984</v>
      </c>
      <c r="V162" s="632">
        <f t="shared" si="208"/>
        <v>0.95</v>
      </c>
      <c r="W162" s="632">
        <f t="shared" si="208"/>
        <v>0.95</v>
      </c>
      <c r="X162" s="632">
        <f t="shared" si="208"/>
        <v>0.95</v>
      </c>
      <c r="Y162" s="632">
        <f t="shared" si="208"/>
        <v>0.95000000000000007</v>
      </c>
      <c r="Z162" s="632">
        <f t="shared" si="208"/>
        <v>0.95</v>
      </c>
      <c r="AA162" s="632">
        <f t="shared" si="208"/>
        <v>0.95</v>
      </c>
      <c r="AB162" s="632">
        <f t="shared" si="208"/>
        <v>0.95</v>
      </c>
      <c r="AC162" s="632">
        <f t="shared" si="208"/>
        <v>0.95</v>
      </c>
      <c r="AD162" s="632">
        <f t="shared" si="208"/>
        <v>0.94999999999999984</v>
      </c>
      <c r="AE162" s="632">
        <f t="shared" si="208"/>
        <v>0.95000000000000007</v>
      </c>
      <c r="AF162" s="632">
        <f t="shared" si="208"/>
        <v>0.95</v>
      </c>
      <c r="AG162" s="632">
        <f t="shared" si="208"/>
        <v>0.95</v>
      </c>
      <c r="AH162" s="632">
        <f t="shared" si="208"/>
        <v>0.94999999999999984</v>
      </c>
      <c r="AI162" s="632">
        <f t="shared" si="208"/>
        <v>0.95</v>
      </c>
      <c r="AJ162" s="632">
        <f t="shared" si="208"/>
        <v>0.95</v>
      </c>
      <c r="AK162" s="632">
        <f t="shared" si="208"/>
        <v>0.94999999999999984</v>
      </c>
      <c r="AL162" s="632">
        <f t="shared" si="208"/>
        <v>0.95</v>
      </c>
      <c r="AM162" s="632">
        <f t="shared" si="208"/>
        <v>0.95</v>
      </c>
      <c r="AN162" s="632">
        <f t="shared" si="208"/>
        <v>0.95</v>
      </c>
      <c r="AO162" s="632">
        <f t="shared" si="208"/>
        <v>0.95</v>
      </c>
      <c r="AP162" s="632">
        <f t="shared" si="208"/>
        <v>0.95</v>
      </c>
      <c r="AQ162" s="632">
        <f t="shared" si="208"/>
        <v>0.95</v>
      </c>
      <c r="AR162" s="632">
        <f t="shared" si="208"/>
        <v>0.95000000000000007</v>
      </c>
      <c r="AS162" s="632">
        <f t="shared" si="208"/>
        <v>0.95000000000000007</v>
      </c>
    </row>
    <row r="163" spans="1:45" ht="15" customHeight="1" x14ac:dyDescent="0.3">
      <c r="A163" s="530"/>
      <c r="B163" s="531"/>
      <c r="C163" s="532"/>
      <c r="D163" s="257"/>
      <c r="E163" s="257"/>
      <c r="F163" s="669"/>
      <c r="G163" s="257"/>
      <c r="H163" s="257"/>
      <c r="I163" s="257"/>
      <c r="J163" s="257"/>
      <c r="K163" s="257"/>
      <c r="L163" s="257"/>
      <c r="M163" s="257"/>
      <c r="N163" s="257"/>
      <c r="O163" s="257"/>
      <c r="P163" s="257"/>
      <c r="Q163" s="257"/>
      <c r="R163" s="257"/>
      <c r="S163" s="257"/>
      <c r="T163" s="257"/>
      <c r="U163" s="257"/>
      <c r="V163" s="257"/>
      <c r="W163" s="257"/>
      <c r="X163" s="257"/>
      <c r="Y163" s="257"/>
      <c r="Z163" s="257"/>
      <c r="AA163" s="257"/>
      <c r="AB163" s="257"/>
      <c r="AC163" s="257"/>
      <c r="AD163" s="257"/>
      <c r="AE163" s="257"/>
      <c r="AF163" s="257"/>
      <c r="AG163" s="257"/>
      <c r="AH163" s="257"/>
      <c r="AI163" s="257"/>
      <c r="AJ163" s="257"/>
      <c r="AK163" s="257"/>
      <c r="AL163" s="257"/>
      <c r="AM163" s="257"/>
      <c r="AN163" s="257"/>
      <c r="AO163" s="257"/>
      <c r="AP163" s="257"/>
      <c r="AQ163" s="257"/>
      <c r="AR163" s="257"/>
      <c r="AS163" s="257"/>
    </row>
    <row r="164" spans="1:45" ht="15" customHeight="1" x14ac:dyDescent="0.3">
      <c r="A164" s="129"/>
      <c r="B164" s="658" t="s">
        <v>1028</v>
      </c>
      <c r="C164" s="130"/>
      <c r="D164" s="106"/>
      <c r="E164" s="106"/>
      <c r="F164" s="516" t="s">
        <v>299</v>
      </c>
      <c r="G164" s="257" t="s">
        <v>254</v>
      </c>
      <c r="H164" s="131"/>
      <c r="I164" s="131"/>
      <c r="J164" s="128"/>
      <c r="K164" s="110"/>
      <c r="L164" s="110"/>
      <c r="M164" s="110"/>
      <c r="N164" s="110"/>
      <c r="O164" s="110"/>
      <c r="P164" s="110"/>
      <c r="Q164" s="110"/>
      <c r="R164" s="110"/>
      <c r="S164" s="110"/>
      <c r="T164" s="110"/>
      <c r="U164" s="110"/>
      <c r="V164" s="110"/>
      <c r="W164" s="110"/>
      <c r="X164" s="110"/>
      <c r="Y164" s="110"/>
      <c r="Z164" s="110"/>
      <c r="AA164" s="110"/>
      <c r="AB164" s="110"/>
      <c r="AC164" s="110"/>
      <c r="AD164" s="110"/>
      <c r="AE164" s="110"/>
      <c r="AF164" s="110"/>
      <c r="AG164" s="110"/>
      <c r="AH164" s="110"/>
      <c r="AI164" s="110"/>
      <c r="AJ164" s="110"/>
      <c r="AK164" s="110"/>
      <c r="AL164" s="110"/>
      <c r="AM164" s="110"/>
      <c r="AN164" s="110"/>
      <c r="AO164" s="110"/>
      <c r="AP164" s="110"/>
      <c r="AQ164" s="110"/>
      <c r="AR164" s="110"/>
      <c r="AS164" s="110"/>
    </row>
    <row r="165" spans="1:45" ht="15" customHeight="1" x14ac:dyDescent="0.3">
      <c r="A165" s="129"/>
      <c r="B165" s="129"/>
      <c r="C165" s="130"/>
      <c r="D165" s="106"/>
      <c r="E165" s="255" t="str">
        <f xml:space="preserve"> Inputs_TS!E$113</f>
        <v>Third Party Marketing Charge: Cu &amp; Co</v>
      </c>
      <c r="F165" s="146">
        <f xml:space="preserve"> Inputs_TS!F$113</f>
        <v>8.0000000000000002E-3</v>
      </c>
      <c r="G165" s="255" t="str">
        <f xml:space="preserve"> Inputs_TS!G$113</f>
        <v>%</v>
      </c>
      <c r="H165" s="84" t="str">
        <f xml:space="preserve"> Inputs_TS!H$113</f>
        <v>XXVII</v>
      </c>
      <c r="I165" s="84"/>
      <c r="J165" s="128"/>
      <c r="K165" s="110"/>
      <c r="L165" s="110"/>
      <c r="M165" s="110"/>
      <c r="N165" s="110"/>
      <c r="O165" s="110"/>
      <c r="P165" s="110"/>
      <c r="Q165" s="110"/>
      <c r="R165" s="110"/>
      <c r="S165" s="110"/>
      <c r="T165" s="110"/>
      <c r="U165" s="110"/>
      <c r="V165" s="110"/>
      <c r="W165" s="110"/>
      <c r="X165" s="110"/>
      <c r="Y165" s="110"/>
      <c r="Z165" s="110"/>
      <c r="AA165" s="110"/>
      <c r="AB165" s="110"/>
      <c r="AC165" s="110"/>
      <c r="AD165" s="110"/>
      <c r="AE165" s="110"/>
      <c r="AF165" s="110"/>
      <c r="AG165" s="110"/>
      <c r="AH165" s="110"/>
      <c r="AI165" s="110"/>
      <c r="AJ165" s="110"/>
      <c r="AK165" s="110"/>
      <c r="AL165" s="110"/>
      <c r="AM165" s="110"/>
      <c r="AN165" s="110"/>
      <c r="AO165" s="110"/>
      <c r="AP165" s="110"/>
      <c r="AQ165" s="110"/>
      <c r="AR165" s="110"/>
      <c r="AS165" s="110"/>
    </row>
    <row r="166" spans="1:45" ht="15" customHeight="1" x14ac:dyDescent="0.3">
      <c r="A166" s="129"/>
      <c r="B166" s="129"/>
      <c r="C166" s="130"/>
      <c r="D166" s="106"/>
      <c r="E166" s="145" t="str">
        <f xml:space="preserve"> Inputs_TS!E$114</f>
        <v>Som contract: placeholder assumption of third party sales: Cu</v>
      </c>
      <c r="F166" s="146">
        <f xml:space="preserve"> Inputs_TS!F$114</f>
        <v>0.5</v>
      </c>
      <c r="G166" s="145" t="str">
        <f xml:space="preserve"> Inputs_TS!G$114</f>
        <v>%</v>
      </c>
      <c r="H166" s="84" t="str">
        <f xml:space="preserve"> Inputs_TS!H$114</f>
        <v>XXVII</v>
      </c>
      <c r="I166" s="84"/>
      <c r="J166" s="128"/>
      <c r="K166" s="110"/>
      <c r="L166" s="110"/>
      <c r="M166" s="110"/>
      <c r="N166" s="110"/>
      <c r="O166" s="110"/>
      <c r="P166" s="110"/>
      <c r="Q166" s="110"/>
      <c r="R166" s="110"/>
      <c r="S166" s="110"/>
      <c r="T166" s="110"/>
      <c r="U166" s="110"/>
      <c r="V166" s="110"/>
      <c r="W166" s="110"/>
      <c r="X166" s="110"/>
      <c r="Y166" s="110"/>
      <c r="Z166" s="110"/>
      <c r="AA166" s="110"/>
      <c r="AB166" s="110"/>
      <c r="AC166" s="110"/>
      <c r="AD166" s="110"/>
      <c r="AE166" s="110"/>
      <c r="AF166" s="110"/>
      <c r="AG166" s="110"/>
      <c r="AH166" s="110"/>
      <c r="AI166" s="110"/>
      <c r="AJ166" s="110"/>
      <c r="AK166" s="110"/>
      <c r="AL166" s="110"/>
      <c r="AM166" s="110"/>
      <c r="AN166" s="110"/>
      <c r="AO166" s="110"/>
      <c r="AP166" s="110"/>
      <c r="AQ166" s="110"/>
      <c r="AR166" s="110"/>
      <c r="AS166" s="110"/>
    </row>
    <row r="167" spans="1:45" ht="15" customHeight="1" x14ac:dyDescent="0.3">
      <c r="A167" s="129"/>
      <c r="B167" s="129"/>
      <c r="C167" s="130"/>
      <c r="D167" s="106"/>
      <c r="E167" s="257" t="s">
        <v>632</v>
      </c>
      <c r="F167" s="667">
        <f xml:space="preserve"> F166 * F165</f>
        <v>4.0000000000000001E-3</v>
      </c>
      <c r="G167" s="257" t="s">
        <v>34</v>
      </c>
      <c r="H167" s="84"/>
      <c r="I167" s="84"/>
      <c r="J167" s="128"/>
      <c r="K167" s="110"/>
      <c r="L167" s="110"/>
      <c r="M167" s="110"/>
      <c r="N167" s="110"/>
      <c r="O167" s="110"/>
      <c r="P167" s="110"/>
      <c r="Q167" s="110"/>
      <c r="R167" s="110"/>
      <c r="S167" s="110"/>
      <c r="T167" s="110"/>
      <c r="U167" s="110"/>
      <c r="V167" s="110"/>
      <c r="W167" s="110"/>
      <c r="X167" s="110"/>
      <c r="Y167" s="110"/>
      <c r="Z167" s="110"/>
      <c r="AA167" s="110"/>
      <c r="AB167" s="110"/>
      <c r="AC167" s="110"/>
      <c r="AD167" s="110"/>
      <c r="AE167" s="110"/>
      <c r="AF167" s="110"/>
      <c r="AG167" s="110"/>
      <c r="AH167" s="110"/>
      <c r="AI167" s="110"/>
      <c r="AJ167" s="110"/>
      <c r="AK167" s="110"/>
      <c r="AL167" s="110"/>
      <c r="AM167" s="110"/>
      <c r="AN167" s="110"/>
      <c r="AO167" s="110"/>
      <c r="AP167" s="110"/>
      <c r="AQ167" s="110"/>
      <c r="AR167" s="110"/>
      <c r="AS167" s="110"/>
    </row>
    <row r="168" spans="1:45" ht="15" customHeight="1" x14ac:dyDescent="0.3">
      <c r="A168" s="129"/>
      <c r="B168" s="129"/>
      <c r="C168" s="130"/>
      <c r="D168" s="106"/>
      <c r="E168" s="257"/>
      <c r="F168" s="667"/>
      <c r="G168" s="257"/>
      <c r="H168" s="84"/>
      <c r="I168" s="84"/>
      <c r="J168" s="128"/>
      <c r="K168" s="110"/>
      <c r="L168" s="110"/>
      <c r="M168" s="110"/>
      <c r="N168" s="110"/>
      <c r="O168" s="110"/>
      <c r="P168" s="110"/>
      <c r="Q168" s="110"/>
      <c r="R168" s="110"/>
      <c r="S168" s="110"/>
      <c r="T168" s="110"/>
      <c r="U168" s="110"/>
      <c r="V168" s="110"/>
      <c r="W168" s="110"/>
      <c r="X168" s="110"/>
      <c r="Y168" s="110"/>
      <c r="Z168" s="110"/>
      <c r="AA168" s="110"/>
      <c r="AB168" s="110"/>
      <c r="AC168" s="110"/>
      <c r="AD168" s="110"/>
      <c r="AE168" s="110"/>
      <c r="AF168" s="110"/>
      <c r="AG168" s="110"/>
      <c r="AH168" s="110"/>
      <c r="AI168" s="110"/>
      <c r="AJ168" s="110"/>
      <c r="AK168" s="110"/>
      <c r="AL168" s="110"/>
      <c r="AM168" s="110"/>
      <c r="AN168" s="110"/>
      <c r="AO168" s="110"/>
      <c r="AP168" s="110"/>
      <c r="AQ168" s="110"/>
      <c r="AR168" s="110"/>
      <c r="AS168" s="110"/>
    </row>
    <row r="169" spans="1:45" ht="15" customHeight="1" x14ac:dyDescent="0.3">
      <c r="A169" s="261"/>
      <c r="B169" s="261"/>
      <c r="C169" s="262"/>
      <c r="D169" s="263"/>
      <c r="E169" s="537" t="str">
        <f xml:space="preserve"> E$138</f>
        <v>Copper actual &amp; forecast price: IMF_WEO</v>
      </c>
      <c r="F169" s="537">
        <f t="shared" ref="F169:O169" si="209" xml:space="preserve"> F$138</f>
        <v>0</v>
      </c>
      <c r="G169" s="537" t="str">
        <f t="shared" si="209"/>
        <v>$ / tonne</v>
      </c>
      <c r="H169" s="537">
        <f t="shared" si="209"/>
        <v>0</v>
      </c>
      <c r="I169" s="537">
        <f t="shared" si="209"/>
        <v>0</v>
      </c>
      <c r="J169" s="537">
        <f t="shared" si="209"/>
        <v>0</v>
      </c>
      <c r="K169" s="537">
        <f t="shared" si="209"/>
        <v>6731.3519999999999</v>
      </c>
      <c r="L169" s="537">
        <f t="shared" si="209"/>
        <v>7131.63</v>
      </c>
      <c r="M169" s="537">
        <f t="shared" si="209"/>
        <v>6963.482</v>
      </c>
      <c r="N169" s="537">
        <f t="shared" si="209"/>
        <v>5164.1589999999997</v>
      </c>
      <c r="O169" s="537">
        <f t="shared" si="209"/>
        <v>7538.3620000000001</v>
      </c>
      <c r="P169" s="537">
        <f t="shared" ref="P169:AS169" si="210" xml:space="preserve"> P$138</f>
        <v>8823.4539999999997</v>
      </c>
      <c r="Q169" s="537">
        <f t="shared" si="210"/>
        <v>7958.9250000000002</v>
      </c>
      <c r="R169" s="537">
        <f t="shared" si="210"/>
        <v>7331.491</v>
      </c>
      <c r="S169" s="537">
        <f t="shared" si="210"/>
        <v>6863.3969999999999</v>
      </c>
      <c r="T169" s="537">
        <f t="shared" si="210"/>
        <v>5510.4570000000003</v>
      </c>
      <c r="U169" s="537">
        <f t="shared" si="210"/>
        <v>4867.8969999999999</v>
      </c>
      <c r="V169" s="537">
        <f t="shared" si="210"/>
        <v>6169.94</v>
      </c>
      <c r="W169" s="537">
        <f t="shared" si="210"/>
        <v>6529.7979999999998</v>
      </c>
      <c r="X169" s="537">
        <f t="shared" si="210"/>
        <v>6010.1450000000004</v>
      </c>
      <c r="Y169" s="537">
        <f t="shared" si="210"/>
        <v>6174.558</v>
      </c>
      <c r="Z169" s="537">
        <f t="shared" si="210"/>
        <v>9317.4089999999997</v>
      </c>
      <c r="AA169" s="537">
        <f t="shared" si="210"/>
        <v>8828.9169999999995</v>
      </c>
      <c r="AB169" s="537">
        <f t="shared" si="210"/>
        <v>8490.7620000000006</v>
      </c>
      <c r="AC169" s="537">
        <f t="shared" si="210"/>
        <v>8550.723</v>
      </c>
      <c r="AD169" s="537">
        <f t="shared" si="210"/>
        <v>8661.2289999999994</v>
      </c>
      <c r="AE169" s="537">
        <f t="shared" si="210"/>
        <v>8676.2919999999995</v>
      </c>
      <c r="AF169" s="537">
        <f t="shared" si="210"/>
        <v>8667.75</v>
      </c>
      <c r="AG169" s="537">
        <f t="shared" si="210"/>
        <v>8655.625</v>
      </c>
      <c r="AH169" s="537">
        <f t="shared" si="210"/>
        <v>8668.5</v>
      </c>
      <c r="AI169" s="537">
        <f t="shared" si="210"/>
        <v>8857.0316499289966</v>
      </c>
      <c r="AJ169" s="537">
        <f t="shared" si="210"/>
        <v>9034.1722829275768</v>
      </c>
      <c r="AK169" s="537">
        <f t="shared" si="210"/>
        <v>9214.855728586128</v>
      </c>
      <c r="AL169" s="537">
        <f t="shared" si="210"/>
        <v>9399.1528431578517</v>
      </c>
      <c r="AM169" s="537">
        <f t="shared" si="210"/>
        <v>9587.1359000210068</v>
      </c>
      <c r="AN169" s="537">
        <f t="shared" si="210"/>
        <v>9778.8786180214283</v>
      </c>
      <c r="AO169" s="537">
        <f t="shared" si="210"/>
        <v>9974.4561903818576</v>
      </c>
      <c r="AP169" s="537">
        <f t="shared" si="210"/>
        <v>10173.945314189496</v>
      </c>
      <c r="AQ169" s="537">
        <f t="shared" si="210"/>
        <v>10377.424220473287</v>
      </c>
      <c r="AR169" s="537">
        <f t="shared" si="210"/>
        <v>10584.972704882754</v>
      </c>
      <c r="AS169" s="537">
        <f t="shared" si="210"/>
        <v>10796.672158980407</v>
      </c>
    </row>
    <row r="170" spans="1:45" ht="15" customHeight="1" x14ac:dyDescent="0.3">
      <c r="A170" s="129"/>
      <c r="B170" s="129"/>
      <c r="C170" s="130"/>
      <c r="D170" s="106"/>
      <c r="E170" s="257" t="str">
        <f xml:space="preserve"> E$167</f>
        <v>Third Party Marketing Charges</v>
      </c>
      <c r="F170" s="433">
        <f xml:space="preserve"> F$167</f>
        <v>4.0000000000000001E-3</v>
      </c>
      <c r="G170" s="257" t="str">
        <f xml:space="preserve"> G$167</f>
        <v>%</v>
      </c>
      <c r="H170" s="84"/>
      <c r="I170" s="84"/>
      <c r="J170" s="128"/>
      <c r="K170" s="110"/>
      <c r="L170" s="110"/>
      <c r="M170" s="110"/>
      <c r="N170" s="110"/>
      <c r="O170" s="110"/>
      <c r="P170" s="110"/>
      <c r="Q170" s="110"/>
      <c r="R170" s="110"/>
      <c r="S170" s="110"/>
      <c r="T170" s="110"/>
      <c r="U170" s="110"/>
      <c r="V170" s="110"/>
      <c r="W170" s="110"/>
      <c r="X170" s="110"/>
      <c r="Y170" s="110"/>
      <c r="Z170" s="110"/>
      <c r="AA170" s="110"/>
      <c r="AB170" s="110"/>
      <c r="AC170" s="110"/>
      <c r="AD170" s="110"/>
      <c r="AE170" s="110"/>
      <c r="AF170" s="110"/>
      <c r="AG170" s="110"/>
      <c r="AH170" s="110"/>
      <c r="AI170" s="110"/>
      <c r="AJ170" s="110"/>
      <c r="AK170" s="110"/>
      <c r="AL170" s="110"/>
      <c r="AM170" s="110"/>
      <c r="AN170" s="110"/>
      <c r="AO170" s="110"/>
      <c r="AP170" s="110"/>
      <c r="AQ170" s="110"/>
      <c r="AR170" s="110"/>
      <c r="AS170" s="110"/>
    </row>
    <row r="171" spans="1:45" ht="15" customHeight="1" x14ac:dyDescent="0.3">
      <c r="A171" s="129"/>
      <c r="B171" s="129"/>
      <c r="C171" s="130"/>
      <c r="D171" s="106"/>
      <c r="E171" s="145" t="str">
        <f xml:space="preserve"> Inputs_TS!E$112</f>
        <v>Level 2 discount</v>
      </c>
      <c r="F171" s="256">
        <f xml:space="preserve"> Inputs_TS!F$112</f>
        <v>317</v>
      </c>
      <c r="G171" s="145" t="str">
        <f xml:space="preserve"> Inputs_TS!G$112</f>
        <v>$/tonne</v>
      </c>
      <c r="H171" s="84" t="str">
        <f xml:space="preserve"> Inputs_TS!H$112</f>
        <v>XXVII</v>
      </c>
      <c r="I171" s="84"/>
      <c r="J171" s="128"/>
      <c r="K171" s="110"/>
      <c r="L171" s="110"/>
      <c r="M171" s="110"/>
      <c r="N171" s="110"/>
      <c r="O171" s="110"/>
      <c r="P171" s="110"/>
      <c r="Q171" s="110"/>
      <c r="R171" s="110"/>
      <c r="S171" s="110"/>
      <c r="T171" s="110"/>
      <c r="U171" s="110"/>
      <c r="V171" s="110"/>
      <c r="W171" s="110"/>
      <c r="X171" s="110"/>
      <c r="Y171" s="110"/>
      <c r="Z171" s="110"/>
      <c r="AA171" s="110"/>
      <c r="AB171" s="110"/>
      <c r="AC171" s="110"/>
      <c r="AD171" s="110"/>
      <c r="AE171" s="110"/>
      <c r="AF171" s="110"/>
      <c r="AG171" s="110"/>
      <c r="AH171" s="110"/>
      <c r="AI171" s="110"/>
      <c r="AJ171" s="110"/>
      <c r="AK171" s="110"/>
      <c r="AL171" s="110"/>
      <c r="AM171" s="110"/>
      <c r="AN171" s="110"/>
      <c r="AO171" s="110"/>
      <c r="AP171" s="110"/>
      <c r="AQ171" s="110"/>
      <c r="AR171" s="110"/>
      <c r="AS171" s="110"/>
    </row>
    <row r="172" spans="1:45" ht="15" customHeight="1" x14ac:dyDescent="0.3">
      <c r="A172" s="129"/>
      <c r="B172" s="129"/>
      <c r="C172" s="130"/>
      <c r="D172" s="106"/>
      <c r="E172" s="497" t="str">
        <f xml:space="preserve"> Inputs_Con!E$48</f>
        <v>Apply Cu transport / quality discount (1 = yes)</v>
      </c>
      <c r="F172" s="1049">
        <f xml:space="preserve"> Inputs_Con!F$48</f>
        <v>1</v>
      </c>
      <c r="G172" s="177" t="str">
        <f xml:space="preserve"> Inputs_Con!G$48</f>
        <v>flag</v>
      </c>
      <c r="H172" s="84"/>
      <c r="I172" s="84"/>
      <c r="J172" s="128"/>
      <c r="K172" s="110"/>
      <c r="L172" s="110"/>
      <c r="M172" s="110"/>
      <c r="N172" s="110"/>
      <c r="O172" s="110"/>
      <c r="P172" s="110"/>
      <c r="Q172" s="110"/>
      <c r="R172" s="110"/>
      <c r="S172" s="110"/>
      <c r="T172" s="110"/>
      <c r="U172" s="110"/>
      <c r="V172" s="110"/>
      <c r="W172" s="110"/>
      <c r="X172" s="110"/>
      <c r="Y172" s="110"/>
      <c r="Z172" s="110"/>
      <c r="AA172" s="110"/>
      <c r="AB172" s="110"/>
      <c r="AC172" s="110"/>
      <c r="AD172" s="110"/>
      <c r="AE172" s="110"/>
      <c r="AF172" s="110"/>
      <c r="AG172" s="110"/>
      <c r="AH172" s="110"/>
      <c r="AI172" s="110"/>
      <c r="AJ172" s="110"/>
      <c r="AK172" s="110"/>
      <c r="AL172" s="110"/>
      <c r="AM172" s="110"/>
      <c r="AN172" s="110"/>
      <c r="AO172" s="110"/>
      <c r="AP172" s="110"/>
      <c r="AQ172" s="110"/>
      <c r="AR172" s="110"/>
      <c r="AS172" s="110"/>
    </row>
    <row r="173" spans="1:45" ht="15" customHeight="1" x14ac:dyDescent="0.3">
      <c r="A173" s="129"/>
      <c r="B173" s="129"/>
      <c r="C173" s="130"/>
      <c r="D173" s="106"/>
      <c r="E173" s="497"/>
      <c r="F173" s="1049"/>
      <c r="G173" s="177"/>
      <c r="H173" s="84"/>
      <c r="I173" s="84"/>
      <c r="J173" s="128"/>
      <c r="K173" s="110"/>
      <c r="L173" s="110"/>
      <c r="M173" s="110"/>
      <c r="N173" s="110"/>
      <c r="O173" s="110"/>
      <c r="P173" s="110"/>
      <c r="Q173" s="110"/>
      <c r="R173" s="110"/>
      <c r="S173" s="110"/>
      <c r="T173" s="110"/>
      <c r="U173" s="110"/>
      <c r="V173" s="110"/>
      <c r="W173" s="110"/>
      <c r="X173" s="110"/>
      <c r="Y173" s="110"/>
      <c r="Z173" s="110"/>
      <c r="AA173" s="110"/>
      <c r="AB173" s="110"/>
      <c r="AC173" s="110"/>
      <c r="AD173" s="110"/>
      <c r="AE173" s="110"/>
      <c r="AF173" s="110"/>
      <c r="AG173" s="110"/>
      <c r="AH173" s="110"/>
      <c r="AI173" s="110"/>
      <c r="AJ173" s="110"/>
      <c r="AK173" s="110"/>
      <c r="AL173" s="110"/>
      <c r="AM173" s="110"/>
      <c r="AN173" s="110"/>
      <c r="AO173" s="110"/>
      <c r="AP173" s="110"/>
      <c r="AQ173" s="110"/>
      <c r="AR173" s="110"/>
      <c r="AS173" s="110"/>
    </row>
    <row r="174" spans="1:45" ht="15" customHeight="1" x14ac:dyDescent="0.3">
      <c r="A174" s="129"/>
      <c r="B174" s="129"/>
      <c r="C174" s="130"/>
      <c r="D174" s="106"/>
      <c r="E174" s="270" t="str">
        <f>"Copper realized price: " &amp; F164</f>
        <v>Copper realized price: SOM_Contract</v>
      </c>
      <c r="F174" s="106" t="str">
        <f>F164</f>
        <v>SOM_Contract</v>
      </c>
      <c r="G174" s="106" t="s">
        <v>321</v>
      </c>
      <c r="H174" s="131"/>
      <c r="I174" s="131"/>
      <c r="J174" s="128"/>
      <c r="K174" s="257">
        <f xml:space="preserve"> K169 * ( 1 - $F$170 ) - $F$171 * $F172</f>
        <v>6387.4265919999998</v>
      </c>
      <c r="L174" s="257">
        <f t="shared" ref="L174:AS174" si="211" xml:space="preserve"> L169 * ( 1 - $F$170 ) - $F$171 * $F172</f>
        <v>6786.1034799999998</v>
      </c>
      <c r="M174" s="257">
        <f t="shared" si="211"/>
        <v>6618.6280719999995</v>
      </c>
      <c r="N174" s="257">
        <f t="shared" si="211"/>
        <v>4826.5023639999999</v>
      </c>
      <c r="O174" s="257">
        <f t="shared" si="211"/>
        <v>7191.2085520000001</v>
      </c>
      <c r="P174" s="257">
        <f t="shared" si="211"/>
        <v>8471.1601840000003</v>
      </c>
      <c r="Q174" s="257">
        <f t="shared" si="211"/>
        <v>7610.0893000000005</v>
      </c>
      <c r="R174" s="257">
        <f t="shared" si="211"/>
        <v>6985.1650360000003</v>
      </c>
      <c r="S174" s="257">
        <f t="shared" si="211"/>
        <v>6518.9434119999996</v>
      </c>
      <c r="T174" s="257">
        <f t="shared" si="211"/>
        <v>5171.415172</v>
      </c>
      <c r="U174" s="257">
        <f t="shared" si="211"/>
        <v>4531.4254119999996</v>
      </c>
      <c r="V174" s="257">
        <f t="shared" si="211"/>
        <v>5828.2602399999996</v>
      </c>
      <c r="W174" s="257">
        <f t="shared" si="211"/>
        <v>6186.6788079999997</v>
      </c>
      <c r="X174" s="257">
        <f t="shared" si="211"/>
        <v>5669.1044200000006</v>
      </c>
      <c r="Y174" s="257">
        <f t="shared" si="211"/>
        <v>5832.8597680000003</v>
      </c>
      <c r="Z174" s="257">
        <f t="shared" si="211"/>
        <v>8963.1393639999987</v>
      </c>
      <c r="AA174" s="257">
        <f t="shared" si="211"/>
        <v>8476.6013320000002</v>
      </c>
      <c r="AB174" s="257">
        <f t="shared" si="211"/>
        <v>8139.798952000001</v>
      </c>
      <c r="AC174" s="257">
        <f t="shared" si="211"/>
        <v>8199.5201080000006</v>
      </c>
      <c r="AD174" s="257">
        <f t="shared" si="211"/>
        <v>8309.5840840000001</v>
      </c>
      <c r="AE174" s="257">
        <f t="shared" si="211"/>
        <v>8324.586831999999</v>
      </c>
      <c r="AF174" s="257">
        <f t="shared" si="211"/>
        <v>8316.0789999999997</v>
      </c>
      <c r="AG174" s="257">
        <f t="shared" si="211"/>
        <v>8304.0025000000005</v>
      </c>
      <c r="AH174" s="257">
        <f t="shared" si="211"/>
        <v>8316.8259999999991</v>
      </c>
      <c r="AI174" s="257">
        <f t="shared" si="211"/>
        <v>8504.6035233292805</v>
      </c>
      <c r="AJ174" s="257">
        <f t="shared" si="211"/>
        <v>8681.0355937958666</v>
      </c>
      <c r="AK174" s="257">
        <f t="shared" si="211"/>
        <v>8860.9963056717843</v>
      </c>
      <c r="AL174" s="257">
        <f t="shared" si="211"/>
        <v>9044.55623178522</v>
      </c>
      <c r="AM174" s="257">
        <f t="shared" si="211"/>
        <v>9231.7873564209222</v>
      </c>
      <c r="AN174" s="257">
        <f t="shared" si="211"/>
        <v>9422.7631035493432</v>
      </c>
      <c r="AO174" s="257">
        <f t="shared" si="211"/>
        <v>9617.5583656203307</v>
      </c>
      <c r="AP174" s="257">
        <f t="shared" si="211"/>
        <v>9816.2495329327376</v>
      </c>
      <c r="AQ174" s="257">
        <f t="shared" si="211"/>
        <v>10018.914523591395</v>
      </c>
      <c r="AR174" s="257">
        <f t="shared" si="211"/>
        <v>10225.632814063223</v>
      </c>
      <c r="AS174" s="257">
        <f t="shared" si="211"/>
        <v>10436.485470344485</v>
      </c>
    </row>
    <row r="175" spans="1:45" ht="15" customHeight="1" x14ac:dyDescent="0.3">
      <c r="A175" s="671"/>
      <c r="B175" s="658"/>
      <c r="C175" s="672"/>
      <c r="D175" s="673"/>
      <c r="E175" s="662" t="s">
        <v>633</v>
      </c>
      <c r="F175" s="662"/>
      <c r="G175" s="662" t="s">
        <v>631</v>
      </c>
      <c r="H175" s="257"/>
      <c r="I175" s="257"/>
      <c r="J175" s="662"/>
      <c r="K175" s="632">
        <f t="shared" ref="K175:P175" si="212" xml:space="preserve"> K174 / K169</f>
        <v>0.94890693459501152</v>
      </c>
      <c r="L175" s="632">
        <f t="shared" si="212"/>
        <v>0.95155013370014985</v>
      </c>
      <c r="M175" s="632">
        <f t="shared" si="212"/>
        <v>0.95047679767105009</v>
      </c>
      <c r="N175" s="632">
        <f t="shared" si="212"/>
        <v>0.93461536796214062</v>
      </c>
      <c r="O175" s="632">
        <f t="shared" si="212"/>
        <v>0.95394842433939897</v>
      </c>
      <c r="P175" s="632">
        <f t="shared" si="212"/>
        <v>0.9600730262774646</v>
      </c>
      <c r="Q175" s="632">
        <f t="shared" ref="Q175:AS175" si="213">IFERROR(Q174 / Q169, 0)</f>
        <v>0.95617050041305829</v>
      </c>
      <c r="R175" s="632">
        <f t="shared" si="213"/>
        <v>0.95276186467391155</v>
      </c>
      <c r="S175" s="632">
        <f t="shared" si="213"/>
        <v>0.94981295880159633</v>
      </c>
      <c r="T175" s="632">
        <f t="shared" si="213"/>
        <v>0.9384730108591719</v>
      </c>
      <c r="U175" s="632">
        <f t="shared" si="213"/>
        <v>0.93087947670215698</v>
      </c>
      <c r="V175" s="632">
        <f t="shared" si="213"/>
        <v>0.94462186666320902</v>
      </c>
      <c r="W175" s="632">
        <f t="shared" si="213"/>
        <v>0.94745332213952094</v>
      </c>
      <c r="X175" s="632">
        <f t="shared" si="213"/>
        <v>0.94325584823660669</v>
      </c>
      <c r="Y175" s="632">
        <f t="shared" si="213"/>
        <v>0.94466029276913432</v>
      </c>
      <c r="Z175" s="632">
        <f t="shared" si="213"/>
        <v>0.96197766610867885</v>
      </c>
      <c r="AA175" s="632">
        <f t="shared" si="213"/>
        <v>0.96009525653033101</v>
      </c>
      <c r="AB175" s="632">
        <f t="shared" si="213"/>
        <v>0.958665306129179</v>
      </c>
      <c r="AC175" s="632">
        <f t="shared" si="213"/>
        <v>0.95892711154366717</v>
      </c>
      <c r="AD175" s="632">
        <f t="shared" si="213"/>
        <v>0.95940011330955466</v>
      </c>
      <c r="AE175" s="632">
        <f t="shared" si="213"/>
        <v>0.95946365475020889</v>
      </c>
      <c r="AF175" s="632">
        <f t="shared" si="213"/>
        <v>0.95942764846701856</v>
      </c>
      <c r="AG175" s="632">
        <f t="shared" si="213"/>
        <v>0.95937641706982457</v>
      </c>
      <c r="AH175" s="632">
        <f t="shared" si="213"/>
        <v>0.95943081271269526</v>
      </c>
      <c r="AI175" s="632">
        <f t="shared" si="213"/>
        <v>0.96020922804283515</v>
      </c>
      <c r="AJ175" s="632">
        <f t="shared" si="213"/>
        <v>0.96091100788513251</v>
      </c>
      <c r="AK175" s="632">
        <f t="shared" si="213"/>
        <v>0.96159902733836533</v>
      </c>
      <c r="AL175" s="632">
        <f t="shared" si="213"/>
        <v>0.9622735562140835</v>
      </c>
      <c r="AM175" s="632">
        <f t="shared" si="213"/>
        <v>0.96293485903341514</v>
      </c>
      <c r="AN175" s="632">
        <f t="shared" si="213"/>
        <v>0.96358319513079937</v>
      </c>
      <c r="AO175" s="632">
        <f t="shared" si="213"/>
        <v>0.9642188187556856</v>
      </c>
      <c r="AP175" s="632">
        <f t="shared" si="213"/>
        <v>0.96484197917224079</v>
      </c>
      <c r="AQ175" s="632">
        <f t="shared" si="213"/>
        <v>0.96545292075709888</v>
      </c>
      <c r="AR175" s="632">
        <f t="shared" si="213"/>
        <v>0.96605188309519496</v>
      </c>
      <c r="AS175" s="632">
        <f t="shared" si="213"/>
        <v>0.96663910107372042</v>
      </c>
    </row>
    <row r="176" spans="1:45" ht="15" customHeight="1" x14ac:dyDescent="0.3">
      <c r="A176" s="129"/>
      <c r="B176" s="129"/>
      <c r="C176" s="130"/>
      <c r="D176" s="106"/>
      <c r="E176" s="270"/>
      <c r="F176" s="106"/>
      <c r="G176" s="106"/>
      <c r="H176" s="131"/>
      <c r="I176" s="131"/>
      <c r="J176" s="128"/>
      <c r="K176" s="110"/>
      <c r="L176" s="110"/>
      <c r="M176" s="110"/>
      <c r="N176" s="110"/>
      <c r="O176" s="110"/>
      <c r="P176" s="110"/>
      <c r="Q176" s="110"/>
      <c r="R176" s="110"/>
      <c r="S176" s="110"/>
      <c r="T176" s="110"/>
      <c r="U176" s="110"/>
      <c r="V176" s="110"/>
      <c r="W176" s="110"/>
      <c r="X176" s="110"/>
      <c r="Y176" s="110"/>
      <c r="Z176" s="110"/>
      <c r="AA176" s="110"/>
      <c r="AB176" s="110"/>
      <c r="AC176" s="110"/>
      <c r="AD176" s="110"/>
      <c r="AE176" s="110"/>
      <c r="AF176" s="110"/>
      <c r="AG176" s="110"/>
      <c r="AH176" s="110"/>
      <c r="AI176" s="110"/>
      <c r="AJ176" s="110"/>
      <c r="AK176" s="110"/>
      <c r="AL176" s="110"/>
      <c r="AM176" s="110"/>
      <c r="AN176" s="110"/>
      <c r="AO176" s="110"/>
      <c r="AP176" s="110"/>
      <c r="AQ176" s="110"/>
      <c r="AR176" s="110"/>
      <c r="AS176" s="110"/>
    </row>
    <row r="177" spans="1:45" ht="15" customHeight="1" x14ac:dyDescent="0.3">
      <c r="A177" s="129"/>
      <c r="B177" s="129" t="s">
        <v>300</v>
      </c>
      <c r="C177" s="130"/>
      <c r="D177" s="106"/>
      <c r="E177" s="106"/>
      <c r="F177" s="106"/>
      <c r="G177" s="106"/>
      <c r="H177" s="131"/>
      <c r="I177" s="131"/>
      <c r="J177" s="128"/>
      <c r="K177" s="110"/>
      <c r="L177" s="110"/>
      <c r="M177" s="110"/>
      <c r="N177" s="110"/>
      <c r="O177" s="110"/>
      <c r="P177" s="110"/>
      <c r="Q177" s="110"/>
      <c r="R177" s="110"/>
      <c r="S177" s="110"/>
      <c r="T177" s="110"/>
      <c r="U177" s="110"/>
      <c r="V177" s="110"/>
      <c r="W177" s="110"/>
      <c r="X177" s="110"/>
      <c r="Y177" s="110"/>
      <c r="Z177" s="110"/>
      <c r="AA177" s="110"/>
      <c r="AB177" s="110"/>
      <c r="AC177" s="110"/>
      <c r="AD177" s="110"/>
      <c r="AE177" s="110"/>
      <c r="AF177" s="110"/>
      <c r="AG177" s="110"/>
      <c r="AH177" s="110"/>
      <c r="AI177" s="110"/>
      <c r="AJ177" s="110"/>
      <c r="AK177" s="110"/>
      <c r="AL177" s="110"/>
      <c r="AM177" s="110"/>
      <c r="AN177" s="110"/>
      <c r="AO177" s="110"/>
      <c r="AP177" s="110"/>
      <c r="AQ177" s="110"/>
      <c r="AR177" s="110"/>
      <c r="AS177" s="110"/>
    </row>
    <row r="178" spans="1:45" ht="15" customHeight="1" x14ac:dyDescent="0.3">
      <c r="A178" s="266"/>
      <c r="B178" s="267"/>
      <c r="C178" s="268"/>
      <c r="D178" s="269"/>
      <c r="E178" s="269"/>
      <c r="F178" s="269" t="s">
        <v>319</v>
      </c>
      <c r="G178" s="269"/>
      <c r="H178" s="269"/>
      <c r="I178" s="269"/>
      <c r="J178" s="269"/>
      <c r="K178" s="269"/>
      <c r="L178" s="269"/>
      <c r="M178" s="269"/>
      <c r="N178" s="269"/>
      <c r="O178" s="269"/>
      <c r="P178" s="269"/>
      <c r="Q178" s="269"/>
      <c r="R178" s="269"/>
      <c r="S178" s="269"/>
      <c r="T178" s="269"/>
      <c r="U178" s="269"/>
      <c r="V178" s="269"/>
      <c r="W178" s="269"/>
      <c r="X178" s="269"/>
      <c r="Y178" s="269"/>
      <c r="Z178" s="269"/>
      <c r="AA178" s="269"/>
      <c r="AB178" s="269"/>
      <c r="AC178" s="269"/>
      <c r="AD178" s="269"/>
      <c r="AE178" s="269"/>
      <c r="AF178" s="269"/>
      <c r="AG178" s="269"/>
      <c r="AH178" s="269"/>
      <c r="AI178" s="269"/>
      <c r="AJ178" s="269"/>
      <c r="AK178" s="269"/>
      <c r="AL178" s="269"/>
      <c r="AM178" s="269"/>
      <c r="AN178" s="269"/>
      <c r="AO178" s="269"/>
      <c r="AP178" s="269"/>
      <c r="AQ178" s="269"/>
      <c r="AR178" s="269"/>
      <c r="AS178" s="269"/>
    </row>
    <row r="179" spans="1:45" ht="15" customHeight="1" x14ac:dyDescent="0.3">
      <c r="A179" s="530"/>
      <c r="B179" s="531"/>
      <c r="C179" s="532"/>
      <c r="D179" s="257"/>
      <c r="E179" s="257" t="str">
        <f xml:space="preserve"> E$154</f>
        <v>Copper realized price: %LME(actual)</v>
      </c>
      <c r="F179" s="257" t="str">
        <f t="shared" ref="F179:O179" si="214" xml:space="preserve"> F$154</f>
        <v>%LME(actual)</v>
      </c>
      <c r="G179" s="257" t="str">
        <f t="shared" si="214"/>
        <v>$ / tonne</v>
      </c>
      <c r="H179" s="257">
        <f t="shared" si="214"/>
        <v>0</v>
      </c>
      <c r="I179" s="257">
        <f t="shared" si="214"/>
        <v>0</v>
      </c>
      <c r="J179" s="257">
        <f t="shared" si="214"/>
        <v>0</v>
      </c>
      <c r="K179" s="257">
        <f t="shared" si="214"/>
        <v>6039.1519599022486</v>
      </c>
      <c r="L179" s="257">
        <f t="shared" si="214"/>
        <v>6398.2684744160861</v>
      </c>
      <c r="M179" s="257">
        <f t="shared" si="214"/>
        <v>6247.4115107996176</v>
      </c>
      <c r="N179" s="257">
        <f t="shared" si="214"/>
        <v>4633.1169349183983</v>
      </c>
      <c r="O179" s="257">
        <f t="shared" si="214"/>
        <v>6763.1753096187267</v>
      </c>
      <c r="P179" s="257">
        <f t="shared" ref="P179:AS179" si="215" xml:space="preserve"> P$154</f>
        <v>7916.1184138353383</v>
      </c>
      <c r="Q179" s="257">
        <f t="shared" si="215"/>
        <v>7140.4908720365538</v>
      </c>
      <c r="R179" s="257">
        <f t="shared" si="215"/>
        <v>6577.5773190372001</v>
      </c>
      <c r="S179" s="257">
        <f t="shared" si="215"/>
        <v>6157.6184760709602</v>
      </c>
      <c r="T179" s="257">
        <f t="shared" si="215"/>
        <v>4943.8043340337963</v>
      </c>
      <c r="U179" s="257">
        <f t="shared" si="215"/>
        <v>4367.3202215769243</v>
      </c>
      <c r="V179" s="257">
        <f t="shared" si="215"/>
        <v>5370</v>
      </c>
      <c r="W179" s="257">
        <f t="shared" si="215"/>
        <v>5667.8772618398934</v>
      </c>
      <c r="X179" s="257">
        <f t="shared" si="215"/>
        <v>5484.2765439926088</v>
      </c>
      <c r="Y179" s="257">
        <f t="shared" si="215"/>
        <v>6045.5137948502415</v>
      </c>
      <c r="Z179" s="257">
        <f t="shared" si="215"/>
        <v>8360</v>
      </c>
      <c r="AA179" s="257">
        <f t="shared" si="215"/>
        <v>6819</v>
      </c>
      <c r="AB179" s="257">
        <f t="shared" si="215"/>
        <v>8000</v>
      </c>
      <c r="AC179" s="257">
        <f t="shared" si="215"/>
        <v>8000</v>
      </c>
      <c r="AD179" s="257">
        <f t="shared" si="215"/>
        <v>7770.5753748299285</v>
      </c>
      <c r="AE179" s="257">
        <f t="shared" si="215"/>
        <v>7784.0894127189003</v>
      </c>
      <c r="AF179" s="257">
        <f t="shared" si="215"/>
        <v>7776.4258057582956</v>
      </c>
      <c r="AG179" s="257">
        <f t="shared" si="215"/>
        <v>7765.5476467326171</v>
      </c>
      <c r="AH179" s="257">
        <f t="shared" si="215"/>
        <v>7777.0986815743163</v>
      </c>
      <c r="AI179" s="257">
        <f t="shared" si="215"/>
        <v>7946.2431986300735</v>
      </c>
      <c r="AJ179" s="257">
        <f t="shared" si="215"/>
        <v>8105.1680626026755</v>
      </c>
      <c r="AK179" s="257">
        <f t="shared" si="215"/>
        <v>8267.2714238547287</v>
      </c>
      <c r="AL179" s="257">
        <f t="shared" si="215"/>
        <v>8432.6168523318247</v>
      </c>
      <c r="AM179" s="257">
        <f t="shared" si="215"/>
        <v>8601.2691893784595</v>
      </c>
      <c r="AN179" s="257">
        <f t="shared" si="215"/>
        <v>8773.2945731660293</v>
      </c>
      <c r="AO179" s="257">
        <f t="shared" si="215"/>
        <v>8948.7604646293512</v>
      </c>
      <c r="AP179" s="257">
        <f t="shared" si="215"/>
        <v>9127.7356739219376</v>
      </c>
      <c r="AQ179" s="257">
        <f t="shared" si="215"/>
        <v>9310.2903874003787</v>
      </c>
      <c r="AR179" s="257">
        <f t="shared" si="215"/>
        <v>9496.4961951483874</v>
      </c>
      <c r="AS179" s="257">
        <f t="shared" si="215"/>
        <v>9686.4261190513535</v>
      </c>
    </row>
    <row r="180" spans="1:45" ht="15" customHeight="1" x14ac:dyDescent="0.3">
      <c r="A180" s="129"/>
      <c r="B180" s="129"/>
      <c r="C180" s="130"/>
      <c r="D180" s="106"/>
      <c r="E180" s="537" t="str">
        <f xml:space="preserve"> E$161</f>
        <v>Copper realized price: %LME(assumed)</v>
      </c>
      <c r="F180" s="537" t="str">
        <f t="shared" ref="F180:O180" si="216" xml:space="preserve"> F$161</f>
        <v>%LME(assumed)</v>
      </c>
      <c r="G180" s="537" t="str">
        <f t="shared" si="216"/>
        <v>$ / tonne</v>
      </c>
      <c r="H180" s="537">
        <f t="shared" si="216"/>
        <v>0</v>
      </c>
      <c r="I180" s="537">
        <f t="shared" si="216"/>
        <v>0</v>
      </c>
      <c r="J180" s="537">
        <f t="shared" si="216"/>
        <v>0</v>
      </c>
      <c r="K180" s="537">
        <f t="shared" si="216"/>
        <v>6394.7843999999996</v>
      </c>
      <c r="L180" s="537">
        <f t="shared" si="216"/>
        <v>6775.0484999999999</v>
      </c>
      <c r="M180" s="537">
        <f t="shared" si="216"/>
        <v>6615.3078999999998</v>
      </c>
      <c r="N180" s="537">
        <f t="shared" si="216"/>
        <v>4905.9510499999997</v>
      </c>
      <c r="O180" s="537">
        <f t="shared" si="216"/>
        <v>7161.4438999999993</v>
      </c>
      <c r="P180" s="537">
        <f t="shared" ref="P180:AS180" si="217" xml:space="preserve"> P$161</f>
        <v>8382.2812999999987</v>
      </c>
      <c r="Q180" s="537">
        <f t="shared" si="217"/>
        <v>7560.9787500000002</v>
      </c>
      <c r="R180" s="537">
        <f t="shared" si="217"/>
        <v>6964.9164499999997</v>
      </c>
      <c r="S180" s="537">
        <f t="shared" si="217"/>
        <v>6520.2271499999997</v>
      </c>
      <c r="T180" s="537">
        <f t="shared" si="217"/>
        <v>5234.93415</v>
      </c>
      <c r="U180" s="537">
        <f t="shared" si="217"/>
        <v>4624.5021499999993</v>
      </c>
      <c r="V180" s="537">
        <f t="shared" si="217"/>
        <v>5861.4429999999993</v>
      </c>
      <c r="W180" s="537">
        <f t="shared" si="217"/>
        <v>6203.3080999999993</v>
      </c>
      <c r="X180" s="537">
        <f t="shared" si="217"/>
        <v>5709.6377499999999</v>
      </c>
      <c r="Y180" s="537">
        <f t="shared" si="217"/>
        <v>5865.8301000000001</v>
      </c>
      <c r="Z180" s="537">
        <f t="shared" si="217"/>
        <v>8851.5385499999993</v>
      </c>
      <c r="AA180" s="537">
        <f t="shared" si="217"/>
        <v>8387.4711499999994</v>
      </c>
      <c r="AB180" s="537">
        <f t="shared" si="217"/>
        <v>8066.2239</v>
      </c>
      <c r="AC180" s="537">
        <f t="shared" si="217"/>
        <v>8123.1868499999991</v>
      </c>
      <c r="AD180" s="537">
        <f t="shared" si="217"/>
        <v>8228.1675499999983</v>
      </c>
      <c r="AE180" s="537">
        <f t="shared" si="217"/>
        <v>8242.4773999999998</v>
      </c>
      <c r="AF180" s="537">
        <f t="shared" si="217"/>
        <v>8234.3624999999993</v>
      </c>
      <c r="AG180" s="537">
        <f t="shared" si="217"/>
        <v>8222.84375</v>
      </c>
      <c r="AH180" s="537">
        <f t="shared" si="217"/>
        <v>8235.0749999999989</v>
      </c>
      <c r="AI180" s="537">
        <f t="shared" si="217"/>
        <v>8414.1800674325459</v>
      </c>
      <c r="AJ180" s="537">
        <f t="shared" si="217"/>
        <v>8582.4636687811981</v>
      </c>
      <c r="AK180" s="537">
        <f t="shared" si="217"/>
        <v>8754.1129421568203</v>
      </c>
      <c r="AL180" s="537">
        <f t="shared" si="217"/>
        <v>8929.1952009999586</v>
      </c>
      <c r="AM180" s="537">
        <f t="shared" si="217"/>
        <v>9107.7791050199558</v>
      </c>
      <c r="AN180" s="537">
        <f t="shared" si="217"/>
        <v>9289.9346871203561</v>
      </c>
      <c r="AO180" s="537">
        <f t="shared" si="217"/>
        <v>9475.7333808627645</v>
      </c>
      <c r="AP180" s="537">
        <f t="shared" si="217"/>
        <v>9665.2480484800199</v>
      </c>
      <c r="AQ180" s="537">
        <f t="shared" si="217"/>
        <v>9858.5530094496226</v>
      </c>
      <c r="AR180" s="537">
        <f t="shared" si="217"/>
        <v>10055.724069638616</v>
      </c>
      <c r="AS180" s="537">
        <f t="shared" si="217"/>
        <v>10256.838551031387</v>
      </c>
    </row>
    <row r="181" spans="1:45" ht="15" customHeight="1" x14ac:dyDescent="0.3">
      <c r="A181" s="129"/>
      <c r="B181" s="129"/>
      <c r="C181" s="130"/>
      <c r="D181" s="106"/>
      <c r="E181" s="271" t="str">
        <f t="shared" ref="E181:O181" si="218" xml:space="preserve"> E$174</f>
        <v>Copper realized price: SOM_Contract</v>
      </c>
      <c r="F181" s="110" t="s">
        <v>299</v>
      </c>
      <c r="G181" s="110" t="str">
        <f t="shared" si="218"/>
        <v>$ / tonne</v>
      </c>
      <c r="H181" s="110">
        <f t="shared" si="218"/>
        <v>0</v>
      </c>
      <c r="I181" s="110">
        <f t="shared" si="218"/>
        <v>0</v>
      </c>
      <c r="J181" s="110">
        <f t="shared" si="218"/>
        <v>0</v>
      </c>
      <c r="K181" s="110">
        <f t="shared" si="218"/>
        <v>6387.4265919999998</v>
      </c>
      <c r="L181" s="110">
        <f t="shared" si="218"/>
        <v>6786.1034799999998</v>
      </c>
      <c r="M181" s="110">
        <f t="shared" si="218"/>
        <v>6618.6280719999995</v>
      </c>
      <c r="N181" s="110">
        <f t="shared" si="218"/>
        <v>4826.5023639999999</v>
      </c>
      <c r="O181" s="110">
        <f t="shared" si="218"/>
        <v>7191.2085520000001</v>
      </c>
      <c r="P181" s="110">
        <f t="shared" ref="P181:AS181" si="219" xml:space="preserve"> P$174</f>
        <v>8471.1601840000003</v>
      </c>
      <c r="Q181" s="110">
        <f t="shared" si="219"/>
        <v>7610.0893000000005</v>
      </c>
      <c r="R181" s="110">
        <f t="shared" si="219"/>
        <v>6985.1650360000003</v>
      </c>
      <c r="S181" s="110">
        <f t="shared" si="219"/>
        <v>6518.9434119999996</v>
      </c>
      <c r="T181" s="110">
        <f t="shared" si="219"/>
        <v>5171.415172</v>
      </c>
      <c r="U181" s="110">
        <f t="shared" si="219"/>
        <v>4531.4254119999996</v>
      </c>
      <c r="V181" s="110">
        <f t="shared" si="219"/>
        <v>5828.2602399999996</v>
      </c>
      <c r="W181" s="110">
        <f t="shared" si="219"/>
        <v>6186.6788079999997</v>
      </c>
      <c r="X181" s="110">
        <f t="shared" si="219"/>
        <v>5669.1044200000006</v>
      </c>
      <c r="Y181" s="110">
        <f t="shared" si="219"/>
        <v>5832.8597680000003</v>
      </c>
      <c r="Z181" s="110">
        <f t="shared" si="219"/>
        <v>8963.1393639999987</v>
      </c>
      <c r="AA181" s="110">
        <f t="shared" si="219"/>
        <v>8476.6013320000002</v>
      </c>
      <c r="AB181" s="110">
        <f t="shared" si="219"/>
        <v>8139.798952000001</v>
      </c>
      <c r="AC181" s="110">
        <f t="shared" si="219"/>
        <v>8199.5201080000006</v>
      </c>
      <c r="AD181" s="110">
        <f t="shared" si="219"/>
        <v>8309.5840840000001</v>
      </c>
      <c r="AE181" s="110">
        <f t="shared" si="219"/>
        <v>8324.586831999999</v>
      </c>
      <c r="AF181" s="110">
        <f t="shared" si="219"/>
        <v>8316.0789999999997</v>
      </c>
      <c r="AG181" s="110">
        <f t="shared" si="219"/>
        <v>8304.0025000000005</v>
      </c>
      <c r="AH181" s="110">
        <f t="shared" si="219"/>
        <v>8316.8259999999991</v>
      </c>
      <c r="AI181" s="110">
        <f t="shared" si="219"/>
        <v>8504.6035233292805</v>
      </c>
      <c r="AJ181" s="110">
        <f t="shared" si="219"/>
        <v>8681.0355937958666</v>
      </c>
      <c r="AK181" s="110">
        <f t="shared" si="219"/>
        <v>8860.9963056717843</v>
      </c>
      <c r="AL181" s="110">
        <f t="shared" si="219"/>
        <v>9044.55623178522</v>
      </c>
      <c r="AM181" s="110">
        <f t="shared" si="219"/>
        <v>9231.7873564209222</v>
      </c>
      <c r="AN181" s="110">
        <f t="shared" si="219"/>
        <v>9422.7631035493432</v>
      </c>
      <c r="AO181" s="110">
        <f t="shared" si="219"/>
        <v>9617.5583656203307</v>
      </c>
      <c r="AP181" s="110">
        <f t="shared" si="219"/>
        <v>9816.2495329327376</v>
      </c>
      <c r="AQ181" s="110">
        <f t="shared" si="219"/>
        <v>10018.914523591395</v>
      </c>
      <c r="AR181" s="110">
        <f t="shared" si="219"/>
        <v>10225.632814063223</v>
      </c>
      <c r="AS181" s="110">
        <f t="shared" si="219"/>
        <v>10436.485470344485</v>
      </c>
    </row>
    <row r="182" spans="1:45" ht="15" customHeight="1" x14ac:dyDescent="0.3">
      <c r="A182" s="266"/>
      <c r="B182" s="267"/>
      <c r="C182" s="268"/>
      <c r="D182" s="269"/>
      <c r="E182" s="269"/>
      <c r="F182" s="269" t="s">
        <v>320</v>
      </c>
      <c r="G182" s="269"/>
      <c r="H182" s="269"/>
      <c r="I182" s="269"/>
      <c r="J182" s="269"/>
      <c r="K182" s="269"/>
      <c r="L182" s="269"/>
      <c r="M182" s="269"/>
      <c r="N182" s="269"/>
      <c r="O182" s="269"/>
      <c r="P182" s="269"/>
      <c r="Q182" s="269"/>
      <c r="R182" s="269"/>
      <c r="S182" s="269"/>
      <c r="T182" s="269"/>
      <c r="U182" s="269"/>
      <c r="V182" s="269"/>
      <c r="W182" s="269"/>
      <c r="X182" s="269"/>
      <c r="Y182" s="269"/>
      <c r="Z182" s="269"/>
      <c r="AA182" s="269"/>
      <c r="AB182" s="269"/>
      <c r="AC182" s="269"/>
      <c r="AD182" s="269"/>
      <c r="AE182" s="269"/>
      <c r="AF182" s="269"/>
      <c r="AG182" s="269"/>
      <c r="AH182" s="269"/>
      <c r="AI182" s="269"/>
      <c r="AJ182" s="269"/>
      <c r="AK182" s="269"/>
      <c r="AL182" s="269"/>
      <c r="AM182" s="269"/>
      <c r="AN182" s="269"/>
      <c r="AO182" s="269"/>
      <c r="AP182" s="269"/>
      <c r="AQ182" s="269"/>
      <c r="AR182" s="269"/>
      <c r="AS182" s="269"/>
    </row>
    <row r="183" spans="1:45" ht="15" customHeight="1" x14ac:dyDescent="0.3">
      <c r="A183" s="129"/>
      <c r="B183" s="129"/>
      <c r="C183" s="130"/>
      <c r="D183" s="106"/>
      <c r="E183" s="106"/>
      <c r="F183" s="106"/>
      <c r="G183" s="106"/>
      <c r="H183" s="131"/>
      <c r="I183" s="131"/>
      <c r="J183" s="128"/>
      <c r="K183" s="110"/>
      <c r="L183" s="110"/>
      <c r="M183" s="110"/>
      <c r="N183" s="110"/>
      <c r="O183" s="110"/>
      <c r="P183" s="110"/>
      <c r="Q183" s="110"/>
      <c r="R183" s="110"/>
      <c r="S183" s="110"/>
      <c r="T183" s="110"/>
      <c r="U183" s="110"/>
      <c r="V183" s="110"/>
      <c r="W183" s="110"/>
      <c r="X183" s="110"/>
      <c r="Y183" s="110"/>
      <c r="Z183" s="110"/>
      <c r="AA183" s="110"/>
      <c r="AB183" s="110"/>
      <c r="AC183" s="110"/>
      <c r="AD183" s="110"/>
      <c r="AE183" s="110"/>
      <c r="AF183" s="110"/>
      <c r="AG183" s="110"/>
      <c r="AH183" s="110"/>
      <c r="AI183" s="110"/>
      <c r="AJ183" s="110"/>
      <c r="AK183" s="110"/>
      <c r="AL183" s="110"/>
      <c r="AM183" s="110"/>
      <c r="AN183" s="110"/>
      <c r="AO183" s="110"/>
      <c r="AP183" s="110"/>
      <c r="AQ183" s="110"/>
      <c r="AR183" s="110"/>
      <c r="AS183" s="110"/>
    </row>
    <row r="184" spans="1:45" ht="15" customHeight="1" x14ac:dyDescent="0.3">
      <c r="A184" s="129"/>
      <c r="B184" s="129"/>
      <c r="C184" s="130"/>
      <c r="D184" s="106"/>
      <c r="E184" s="517" t="str">
        <f xml:space="preserve"> Inputs_Con!E$42</f>
        <v>Cu realized price method</v>
      </c>
      <c r="F184" s="517" t="str">
        <f xml:space="preserve"> Inputs_Con!F$42</f>
        <v>SOM_Contract</v>
      </c>
      <c r="G184" s="517" t="str">
        <f xml:space="preserve"> Inputs_Con!G$42</f>
        <v>selected</v>
      </c>
      <c r="H184" s="131"/>
      <c r="I184" s="131"/>
      <c r="J184" s="128"/>
      <c r="K184" s="110"/>
      <c r="L184" s="110"/>
      <c r="M184" s="110"/>
      <c r="N184" s="110"/>
      <c r="O184" s="110"/>
      <c r="P184" s="110"/>
      <c r="Q184" s="110"/>
      <c r="R184" s="110"/>
      <c r="S184" s="110"/>
      <c r="T184" s="110"/>
      <c r="U184" s="110"/>
      <c r="V184" s="110"/>
      <c r="W184" s="110"/>
      <c r="X184" s="110"/>
      <c r="Y184" s="110"/>
      <c r="Z184" s="110"/>
      <c r="AA184" s="110"/>
      <c r="AB184" s="110"/>
      <c r="AC184" s="110"/>
      <c r="AD184" s="110"/>
      <c r="AE184" s="110"/>
      <c r="AF184" s="110"/>
      <c r="AG184" s="110"/>
      <c r="AH184" s="110"/>
      <c r="AI184" s="110"/>
      <c r="AJ184" s="110"/>
      <c r="AK184" s="110"/>
      <c r="AL184" s="110"/>
      <c r="AM184" s="110"/>
      <c r="AN184" s="110"/>
      <c r="AO184" s="110"/>
      <c r="AP184" s="110"/>
      <c r="AQ184" s="110"/>
      <c r="AR184" s="110"/>
      <c r="AS184" s="110"/>
    </row>
    <row r="185" spans="1:45" ht="15" customHeight="1" x14ac:dyDescent="0.3">
      <c r="A185" s="129"/>
      <c r="B185" s="129"/>
      <c r="C185" s="130"/>
      <c r="D185" s="106"/>
      <c r="E185" s="106"/>
      <c r="F185" s="106"/>
      <c r="G185" s="106"/>
      <c r="H185" s="131"/>
      <c r="I185" s="131"/>
      <c r="J185" s="128"/>
      <c r="K185" s="110"/>
      <c r="L185" s="110"/>
      <c r="M185" s="110"/>
      <c r="N185" s="110"/>
      <c r="O185" s="110"/>
      <c r="P185" s="110"/>
      <c r="Q185" s="110"/>
      <c r="R185" s="110"/>
      <c r="S185" s="110"/>
      <c r="T185" s="110"/>
      <c r="U185" s="110"/>
      <c r="V185" s="110"/>
      <c r="W185" s="110"/>
      <c r="X185" s="110"/>
      <c r="Y185" s="110"/>
      <c r="Z185" s="110"/>
      <c r="AA185" s="110"/>
      <c r="AB185" s="110"/>
      <c r="AC185" s="110"/>
      <c r="AD185" s="110"/>
      <c r="AE185" s="110"/>
      <c r="AF185" s="110"/>
      <c r="AG185" s="110"/>
      <c r="AH185" s="110"/>
      <c r="AI185" s="110"/>
      <c r="AJ185" s="110"/>
      <c r="AK185" s="110"/>
      <c r="AL185" s="110"/>
      <c r="AM185" s="110"/>
      <c r="AN185" s="110"/>
      <c r="AO185" s="110"/>
      <c r="AP185" s="110"/>
      <c r="AQ185" s="110"/>
      <c r="AR185" s="110"/>
      <c r="AS185" s="110"/>
    </row>
    <row r="186" spans="1:45" ht="15" customHeight="1" x14ac:dyDescent="0.3">
      <c r="A186" s="560"/>
      <c r="B186" s="560"/>
      <c r="C186" s="561"/>
      <c r="D186" s="540"/>
      <c r="E186" s="540" t="str">
        <f>INDEX(E179:E181, MATCH($F184, $F179:$F181, 0))</f>
        <v>Copper realized price: SOM_Contract</v>
      </c>
      <c r="F186" s="540" t="str">
        <f t="shared" ref="F186:J186" si="220">INDEX(F179:F181, MATCH($F184, $F179:$F181, 0))</f>
        <v>SOM_Contract</v>
      </c>
      <c r="G186" s="540" t="str">
        <f t="shared" si="220"/>
        <v>$ / tonne</v>
      </c>
      <c r="H186" s="540">
        <f t="shared" si="220"/>
        <v>0</v>
      </c>
      <c r="I186" s="540">
        <f t="shared" si="220"/>
        <v>0</v>
      </c>
      <c r="J186" s="540">
        <f t="shared" si="220"/>
        <v>0</v>
      </c>
      <c r="K186" s="540">
        <f t="shared" ref="K186:AA186" si="221">INDEX(K178:K182, MATCH($F184, $F178:$F182, 0))</f>
        <v>6387.4265919999998</v>
      </c>
      <c r="L186" s="540">
        <f t="shared" si="221"/>
        <v>6786.1034799999998</v>
      </c>
      <c r="M186" s="540">
        <f t="shared" si="221"/>
        <v>6618.6280719999995</v>
      </c>
      <c r="N186" s="540">
        <f t="shared" si="221"/>
        <v>4826.5023639999999</v>
      </c>
      <c r="O186" s="540">
        <f t="shared" si="221"/>
        <v>7191.2085520000001</v>
      </c>
      <c r="P186" s="540">
        <f t="shared" si="221"/>
        <v>8471.1601840000003</v>
      </c>
      <c r="Q186" s="540">
        <f t="shared" si="221"/>
        <v>7610.0893000000005</v>
      </c>
      <c r="R186" s="540">
        <f t="shared" si="221"/>
        <v>6985.1650360000003</v>
      </c>
      <c r="S186" s="540">
        <f t="shared" si="221"/>
        <v>6518.9434119999996</v>
      </c>
      <c r="T186" s="540">
        <f t="shared" si="221"/>
        <v>5171.415172</v>
      </c>
      <c r="U186" s="540">
        <f t="shared" si="221"/>
        <v>4531.4254119999996</v>
      </c>
      <c r="V186" s="540">
        <f t="shared" si="221"/>
        <v>5828.2602399999996</v>
      </c>
      <c r="W186" s="540">
        <f t="shared" si="221"/>
        <v>6186.6788079999997</v>
      </c>
      <c r="X186" s="540">
        <f t="shared" si="221"/>
        <v>5669.1044200000006</v>
      </c>
      <c r="Y186" s="540">
        <f t="shared" si="221"/>
        <v>5832.8597680000003</v>
      </c>
      <c r="Z186" s="540">
        <f t="shared" si="221"/>
        <v>8963.1393639999987</v>
      </c>
      <c r="AA186" s="540">
        <f t="shared" si="221"/>
        <v>8476.6013320000002</v>
      </c>
      <c r="AB186" s="540">
        <f>INDEX(AB178:AB182, MATCH($F184, $F178:$F182, 0))</f>
        <v>8139.798952000001</v>
      </c>
      <c r="AC186" s="540">
        <f t="shared" ref="AC186:AS186" si="222">INDEX(AC178:AC182, MATCH($F184, $F178:$F182, 0))</f>
        <v>8199.5201080000006</v>
      </c>
      <c r="AD186" s="540">
        <f t="shared" si="222"/>
        <v>8309.5840840000001</v>
      </c>
      <c r="AE186" s="540">
        <f t="shared" si="222"/>
        <v>8324.586831999999</v>
      </c>
      <c r="AF186" s="540">
        <f t="shared" si="222"/>
        <v>8316.0789999999997</v>
      </c>
      <c r="AG186" s="540">
        <f t="shared" si="222"/>
        <v>8304.0025000000005</v>
      </c>
      <c r="AH186" s="540">
        <f t="shared" si="222"/>
        <v>8316.8259999999991</v>
      </c>
      <c r="AI186" s="540">
        <f t="shared" si="222"/>
        <v>8504.6035233292805</v>
      </c>
      <c r="AJ186" s="540">
        <f t="shared" si="222"/>
        <v>8681.0355937958666</v>
      </c>
      <c r="AK186" s="540">
        <f t="shared" si="222"/>
        <v>8860.9963056717843</v>
      </c>
      <c r="AL186" s="540">
        <f t="shared" si="222"/>
        <v>9044.55623178522</v>
      </c>
      <c r="AM186" s="540">
        <f t="shared" si="222"/>
        <v>9231.7873564209222</v>
      </c>
      <c r="AN186" s="540">
        <f t="shared" si="222"/>
        <v>9422.7631035493432</v>
      </c>
      <c r="AO186" s="540">
        <f t="shared" si="222"/>
        <v>9617.5583656203307</v>
      </c>
      <c r="AP186" s="540">
        <f t="shared" si="222"/>
        <v>9816.2495329327376</v>
      </c>
      <c r="AQ186" s="540">
        <f t="shared" si="222"/>
        <v>10018.914523591395</v>
      </c>
      <c r="AR186" s="540">
        <f t="shared" si="222"/>
        <v>10225.632814063223</v>
      </c>
      <c r="AS186" s="540">
        <f t="shared" si="222"/>
        <v>10436.485470344485</v>
      </c>
    </row>
    <row r="187" spans="1:45" ht="15" customHeight="1" x14ac:dyDescent="0.3">
      <c r="A187" s="129"/>
      <c r="B187" s="129"/>
      <c r="C187" s="130"/>
      <c r="D187" s="106"/>
      <c r="E187" s="106"/>
      <c r="F187" s="106"/>
      <c r="G187" s="106"/>
      <c r="H187" s="131"/>
      <c r="I187" s="131"/>
      <c r="J187" s="128"/>
      <c r="K187" s="110"/>
      <c r="L187" s="110"/>
      <c r="M187" s="110"/>
      <c r="N187" s="110"/>
      <c r="O187" s="110"/>
      <c r="P187" s="110"/>
      <c r="Q187" s="110"/>
      <c r="R187" s="110"/>
      <c r="S187" s="110"/>
      <c r="T187" s="110"/>
      <c r="U187" s="110"/>
      <c r="V187" s="110"/>
      <c r="W187" s="110"/>
      <c r="X187" s="110"/>
      <c r="Y187" s="110"/>
      <c r="Z187" s="110"/>
      <c r="AA187" s="110"/>
      <c r="AB187" s="110"/>
      <c r="AC187" s="110"/>
      <c r="AD187" s="110"/>
      <c r="AE187" s="110"/>
      <c r="AF187" s="110"/>
      <c r="AG187" s="110"/>
      <c r="AH187" s="110"/>
      <c r="AI187" s="110"/>
      <c r="AJ187" s="110"/>
      <c r="AK187" s="110"/>
      <c r="AL187" s="110"/>
      <c r="AM187" s="110"/>
      <c r="AN187" s="110"/>
      <c r="AO187" s="110"/>
      <c r="AP187" s="110"/>
      <c r="AQ187" s="110"/>
      <c r="AR187" s="110"/>
      <c r="AS187" s="110"/>
    </row>
    <row r="188" spans="1:45" ht="15" customHeight="1" x14ac:dyDescent="0.3">
      <c r="A188" s="129"/>
      <c r="B188" s="129" t="s">
        <v>1058</v>
      </c>
      <c r="C188" s="130"/>
      <c r="D188" s="106"/>
      <c r="E188" s="106"/>
      <c r="F188" s="106"/>
      <c r="G188" s="106"/>
      <c r="H188" s="131"/>
      <c r="I188" s="131"/>
      <c r="J188" s="128"/>
      <c r="K188" s="110"/>
      <c r="L188" s="110"/>
      <c r="M188" s="110"/>
      <c r="N188" s="110"/>
      <c r="O188" s="110"/>
      <c r="P188" s="110"/>
      <c r="Q188" s="110"/>
      <c r="R188" s="110"/>
      <c r="S188" s="110"/>
      <c r="T188" s="110"/>
      <c r="U188" s="110"/>
      <c r="V188" s="110"/>
      <c r="W188" s="110"/>
      <c r="X188" s="110"/>
      <c r="Y188" s="110"/>
      <c r="Z188" s="110"/>
      <c r="AA188" s="110"/>
      <c r="AB188" s="110"/>
      <c r="AC188" s="110"/>
      <c r="AD188" s="110"/>
      <c r="AE188" s="110"/>
      <c r="AF188" s="110"/>
      <c r="AG188" s="110"/>
      <c r="AH188" s="110"/>
      <c r="AI188" s="110"/>
      <c r="AJ188" s="110"/>
      <c r="AK188" s="110"/>
      <c r="AL188" s="110"/>
      <c r="AM188" s="110"/>
      <c r="AN188" s="110"/>
      <c r="AO188" s="110"/>
      <c r="AP188" s="110"/>
      <c r="AQ188" s="110"/>
      <c r="AR188" s="110"/>
      <c r="AS188" s="110"/>
    </row>
    <row r="189" spans="1:45" ht="15" customHeight="1" x14ac:dyDescent="0.3">
      <c r="C189" s="113" t="s">
        <v>153</v>
      </c>
      <c r="I189" s="116"/>
      <c r="AL189" s="42"/>
      <c r="AM189" s="42"/>
      <c r="AN189" s="42"/>
      <c r="AO189" s="42"/>
      <c r="AP189" s="42"/>
      <c r="AQ189" s="42"/>
      <c r="AR189" s="42"/>
      <c r="AS189" s="42"/>
    </row>
    <row r="190" spans="1:45" ht="15" customHeight="1" x14ac:dyDescent="0.3">
      <c r="A190" s="244"/>
      <c r="B190" s="244"/>
      <c r="C190" s="245"/>
      <c r="D190" s="246"/>
      <c r="E190" s="127" t="str">
        <f xml:space="preserve"> E$186</f>
        <v>Copper realized price: SOM_Contract</v>
      </c>
      <c r="F190" s="127" t="str">
        <f t="shared" ref="F190:O190" si="223" xml:space="preserve"> F$186</f>
        <v>SOM_Contract</v>
      </c>
      <c r="G190" s="127" t="str">
        <f t="shared" si="223"/>
        <v>$ / tonne</v>
      </c>
      <c r="H190" s="127">
        <f t="shared" si="223"/>
        <v>0</v>
      </c>
      <c r="I190" s="127">
        <f t="shared" si="223"/>
        <v>0</v>
      </c>
      <c r="J190" s="127">
        <f t="shared" si="223"/>
        <v>0</v>
      </c>
      <c r="K190" s="127">
        <f t="shared" si="223"/>
        <v>6387.4265919999998</v>
      </c>
      <c r="L190" s="127">
        <f t="shared" si="223"/>
        <v>6786.1034799999998</v>
      </c>
      <c r="M190" s="127">
        <f t="shared" si="223"/>
        <v>6618.6280719999995</v>
      </c>
      <c r="N190" s="127">
        <f t="shared" si="223"/>
        <v>4826.5023639999999</v>
      </c>
      <c r="O190" s="127">
        <f t="shared" si="223"/>
        <v>7191.2085520000001</v>
      </c>
      <c r="P190" s="127">
        <f t="shared" ref="P190:AS190" si="224" xml:space="preserve"> P$186</f>
        <v>8471.1601840000003</v>
      </c>
      <c r="Q190" s="127">
        <f t="shared" si="224"/>
        <v>7610.0893000000005</v>
      </c>
      <c r="R190" s="127">
        <f t="shared" si="224"/>
        <v>6985.1650360000003</v>
      </c>
      <c r="S190" s="127">
        <f t="shared" si="224"/>
        <v>6518.9434119999996</v>
      </c>
      <c r="T190" s="127">
        <f t="shared" si="224"/>
        <v>5171.415172</v>
      </c>
      <c r="U190" s="127">
        <f t="shared" si="224"/>
        <v>4531.4254119999996</v>
      </c>
      <c r="V190" s="127">
        <f t="shared" si="224"/>
        <v>5828.2602399999996</v>
      </c>
      <c r="W190" s="127">
        <f t="shared" si="224"/>
        <v>6186.6788079999997</v>
      </c>
      <c r="X190" s="127">
        <f t="shared" si="224"/>
        <v>5669.1044200000006</v>
      </c>
      <c r="Y190" s="127">
        <f t="shared" si="224"/>
        <v>5832.8597680000003</v>
      </c>
      <c r="Z190" s="127">
        <f t="shared" si="224"/>
        <v>8963.1393639999987</v>
      </c>
      <c r="AA190" s="127">
        <f t="shared" si="224"/>
        <v>8476.6013320000002</v>
      </c>
      <c r="AB190" s="127">
        <f t="shared" si="224"/>
        <v>8139.798952000001</v>
      </c>
      <c r="AC190" s="127">
        <f t="shared" si="224"/>
        <v>8199.5201080000006</v>
      </c>
      <c r="AD190" s="127">
        <f t="shared" si="224"/>
        <v>8309.5840840000001</v>
      </c>
      <c r="AE190" s="127">
        <f t="shared" si="224"/>
        <v>8324.586831999999</v>
      </c>
      <c r="AF190" s="127">
        <f t="shared" si="224"/>
        <v>8316.0789999999997</v>
      </c>
      <c r="AG190" s="127">
        <f t="shared" si="224"/>
        <v>8304.0025000000005</v>
      </c>
      <c r="AH190" s="127">
        <f t="shared" si="224"/>
        <v>8316.8259999999991</v>
      </c>
      <c r="AI190" s="127">
        <f t="shared" si="224"/>
        <v>8504.6035233292805</v>
      </c>
      <c r="AJ190" s="127">
        <f t="shared" si="224"/>
        <v>8681.0355937958666</v>
      </c>
      <c r="AK190" s="127">
        <f t="shared" si="224"/>
        <v>8860.9963056717843</v>
      </c>
      <c r="AL190" s="127">
        <f t="shared" si="224"/>
        <v>9044.55623178522</v>
      </c>
      <c r="AM190" s="127">
        <f t="shared" si="224"/>
        <v>9231.7873564209222</v>
      </c>
      <c r="AN190" s="127">
        <f t="shared" si="224"/>
        <v>9422.7631035493432</v>
      </c>
      <c r="AO190" s="127">
        <f t="shared" si="224"/>
        <v>9617.5583656203307</v>
      </c>
      <c r="AP190" s="127">
        <f t="shared" si="224"/>
        <v>9816.2495329327376</v>
      </c>
      <c r="AQ190" s="127">
        <f t="shared" si="224"/>
        <v>10018.914523591395</v>
      </c>
      <c r="AR190" s="127">
        <f t="shared" si="224"/>
        <v>10225.632814063223</v>
      </c>
      <c r="AS190" s="127">
        <f t="shared" si="224"/>
        <v>10436.485470344485</v>
      </c>
    </row>
    <row r="191" spans="1:45" ht="15" customHeight="1" x14ac:dyDescent="0.3">
      <c r="E191" s="1188" t="str">
        <f xml:space="preserve"> Inputs_TS!E$155</f>
        <v>Other copper to copper benchmark ratio</v>
      </c>
      <c r="F191" s="1189">
        <f xml:space="preserve"> Inputs_TS!F$155</f>
        <v>0.87434716239321675</v>
      </c>
      <c r="G191" s="1188" t="str">
        <f xml:space="preserve"> Inputs_TS!G$155</f>
        <v>%</v>
      </c>
      <c r="I191" s="116"/>
      <c r="AL191" s="42"/>
      <c r="AM191" s="42"/>
      <c r="AN191" s="42"/>
      <c r="AO191" s="42"/>
      <c r="AP191" s="42"/>
      <c r="AQ191" s="42"/>
      <c r="AR191" s="42"/>
      <c r="AS191" s="42"/>
    </row>
    <row r="192" spans="1:45" ht="15" customHeight="1" x14ac:dyDescent="0.3">
      <c r="E192" s="42" t="s">
        <v>303</v>
      </c>
      <c r="G192" s="42" t="s">
        <v>321</v>
      </c>
      <c r="I192" s="116"/>
      <c r="K192" s="42">
        <f t="shared" ref="K192:O192" si="225">K190 * $F191</f>
        <v>5584.828315710175</v>
      </c>
      <c r="L192" s="42">
        <f t="shared" si="225"/>
        <v>5933.4103214447332</v>
      </c>
      <c r="M192" s="42">
        <f t="shared" si="225"/>
        <v>5786.9786736892866</v>
      </c>
      <c r="N192" s="42">
        <f t="shared" si="225"/>
        <v>4220.0386462475526</v>
      </c>
      <c r="O192" s="42">
        <f t="shared" si="225"/>
        <v>6287.6127916190335</v>
      </c>
      <c r="P192" s="42">
        <f t="shared" ref="P192:AS192" si="226">P190 * $F191</f>
        <v>7406.7348690588005</v>
      </c>
      <c r="Q192" s="42">
        <f t="shared" si="226"/>
        <v>6653.8599850139817</v>
      </c>
      <c r="R192" s="42">
        <f t="shared" si="226"/>
        <v>6107.4592280749121</v>
      </c>
      <c r="S192" s="42">
        <f t="shared" si="226"/>
        <v>5699.819674084154</v>
      </c>
      <c r="T192" s="42">
        <f t="shared" si="226"/>
        <v>4521.612181195429</v>
      </c>
      <c r="U192" s="42">
        <f t="shared" si="226"/>
        <v>3962.038950578713</v>
      </c>
      <c r="V192" s="42">
        <f t="shared" si="226"/>
        <v>5095.9228025332077</v>
      </c>
      <c r="W192" s="42">
        <f t="shared" si="226"/>
        <v>5409.3050604130485</v>
      </c>
      <c r="X192" s="42">
        <f t="shared" si="226"/>
        <v>4956.7653629378437</v>
      </c>
      <c r="Y192" s="42">
        <f t="shared" si="226"/>
        <v>5099.9443867883565</v>
      </c>
      <c r="Z192" s="42">
        <f t="shared" si="226"/>
        <v>7836.8954690483406</v>
      </c>
      <c r="AA192" s="42">
        <f t="shared" si="226"/>
        <v>7411.4923213727616</v>
      </c>
      <c r="AB192" s="42">
        <f t="shared" si="226"/>
        <v>7117.0101161324801</v>
      </c>
      <c r="AC192" s="42">
        <f t="shared" si="226"/>
        <v>7169.2271394159225</v>
      </c>
      <c r="AD192" s="42">
        <f t="shared" si="226"/>
        <v>7265.4612645132374</v>
      </c>
      <c r="AE192" s="42">
        <f t="shared" si="226"/>
        <v>7278.578874655137</v>
      </c>
      <c r="AF192" s="42">
        <f t="shared" si="226"/>
        <v>7271.140075887819</v>
      </c>
      <c r="AG192" s="42">
        <f t="shared" si="226"/>
        <v>7260.5810223811786</v>
      </c>
      <c r="AH192" s="42">
        <f t="shared" si="226"/>
        <v>7271.7932132181268</v>
      </c>
      <c r="AI192" s="42">
        <f t="shared" si="226"/>
        <v>7435.9759579023093</v>
      </c>
      <c r="AJ192" s="42">
        <f t="shared" si="226"/>
        <v>7590.2388380699294</v>
      </c>
      <c r="AK192" s="42">
        <f t="shared" si="226"/>
        <v>7747.5869758409017</v>
      </c>
      <c r="AL192" s="42">
        <f t="shared" si="226"/>
        <v>7908.0820763672918</v>
      </c>
      <c r="AM192" s="42">
        <f t="shared" si="226"/>
        <v>8071.787078904209</v>
      </c>
      <c r="AN192" s="42">
        <f t="shared" si="226"/>
        <v>8238.7661814918683</v>
      </c>
      <c r="AO192" s="42">
        <f t="shared" si="226"/>
        <v>8409.0848661312793</v>
      </c>
      <c r="AP192" s="42">
        <f t="shared" si="226"/>
        <v>8582.8099244634777</v>
      </c>
      <c r="AQ192" s="42">
        <f t="shared" si="226"/>
        <v>8760.0094839623234</v>
      </c>
      <c r="AR192" s="42">
        <f t="shared" si="226"/>
        <v>8940.753034651143</v>
      </c>
      <c r="AS192" s="42">
        <f t="shared" si="226"/>
        <v>9125.1114563537376</v>
      </c>
    </row>
    <row r="193" spans="1:45" ht="15" customHeight="1" x14ac:dyDescent="0.3">
      <c r="I193" s="116"/>
      <c r="AL193" s="42"/>
      <c r="AM193" s="42"/>
      <c r="AN193" s="42"/>
      <c r="AO193" s="42"/>
      <c r="AP193" s="42"/>
      <c r="AQ193" s="42"/>
      <c r="AR193" s="42"/>
      <c r="AS193" s="42"/>
    </row>
    <row r="194" spans="1:45" ht="15" customHeight="1" x14ac:dyDescent="0.3">
      <c r="E194" s="104" t="str">
        <f xml:space="preserve"> Inputs_TS!E$148</f>
        <v>Other copper: realized price</v>
      </c>
      <c r="F194" s="104"/>
      <c r="G194" s="104" t="str">
        <f xml:space="preserve"> Inputs_TS!G$148</f>
        <v>$ / tonne</v>
      </c>
      <c r="H194" s="104"/>
      <c r="I194" s="104"/>
      <c r="J194" s="104">
        <f xml:space="preserve"> Inputs_TS!J$148</f>
        <v>0</v>
      </c>
      <c r="K194" s="104">
        <f xml:space="preserve"> Inputs_TS!K$148</f>
        <v>0</v>
      </c>
      <c r="L194" s="104">
        <f xml:space="preserve"> Inputs_TS!L$148</f>
        <v>0</v>
      </c>
      <c r="M194" s="104">
        <f xml:space="preserve"> Inputs_TS!M$148</f>
        <v>0</v>
      </c>
      <c r="N194" s="104">
        <f xml:space="preserve"> Inputs_TS!N$148</f>
        <v>0</v>
      </c>
      <c r="O194" s="104">
        <f xml:space="preserve"> Inputs_TS!O$148</f>
        <v>0</v>
      </c>
      <c r="P194" s="104">
        <f xml:space="preserve"> Inputs_TS!P$148</f>
        <v>0</v>
      </c>
      <c r="Q194" s="104">
        <f xml:space="preserve"> Inputs_TS!Q$148</f>
        <v>0</v>
      </c>
      <c r="R194" s="104">
        <f xml:space="preserve"> Inputs_TS!R$148</f>
        <v>0</v>
      </c>
      <c r="S194" s="104">
        <f xml:space="preserve"> Inputs_TS!S$148</f>
        <v>0</v>
      </c>
      <c r="T194" s="104">
        <f xml:space="preserve"> Inputs_TS!T$148</f>
        <v>0</v>
      </c>
      <c r="U194" s="104">
        <f xml:space="preserve"> Inputs_TS!U$148</f>
        <v>0</v>
      </c>
      <c r="V194" s="104">
        <f xml:space="preserve"> Inputs_TS!V$148</f>
        <v>0</v>
      </c>
      <c r="W194" s="104">
        <f xml:space="preserve"> Inputs_TS!W$148</f>
        <v>5667.8772618398943</v>
      </c>
      <c r="X194" s="104">
        <f xml:space="preserve"> Inputs_TS!X$148</f>
        <v>5293.0889973622889</v>
      </c>
      <c r="Y194" s="104">
        <f xml:space="preserve"> Inputs_TS!Y$148</f>
        <v>6487.8031190483161</v>
      </c>
      <c r="Z194" s="104">
        <f xml:space="preserve"> Inputs_TS!Z$148</f>
        <v>0</v>
      </c>
      <c r="AA194" s="104">
        <f xml:space="preserve"> Inputs_TS!AA$148</f>
        <v>0</v>
      </c>
      <c r="AB194" s="104">
        <f xml:space="preserve"> Inputs_TS!AB$148</f>
        <v>0</v>
      </c>
      <c r="AC194" s="104">
        <f xml:space="preserve"> Inputs_TS!AC$148</f>
        <v>0</v>
      </c>
      <c r="AD194" s="104">
        <f xml:space="preserve"> Inputs_TS!AD$148</f>
        <v>0</v>
      </c>
      <c r="AE194" s="104">
        <f xml:space="preserve"> Inputs_TS!AE$148</f>
        <v>0</v>
      </c>
      <c r="AF194" s="104">
        <f xml:space="preserve"> Inputs_TS!AF$148</f>
        <v>0</v>
      </c>
      <c r="AG194" s="104">
        <f xml:space="preserve"> Inputs_TS!AG$148</f>
        <v>0</v>
      </c>
      <c r="AH194" s="104">
        <f xml:space="preserve"> Inputs_TS!AH$148</f>
        <v>0</v>
      </c>
      <c r="AI194" s="104">
        <f xml:space="preserve"> Inputs_TS!AI$148</f>
        <v>0</v>
      </c>
      <c r="AJ194" s="104">
        <f xml:space="preserve"> Inputs_TS!AJ$148</f>
        <v>0</v>
      </c>
      <c r="AK194" s="104">
        <f xml:space="preserve"> Inputs_TS!AK$148</f>
        <v>0</v>
      </c>
      <c r="AL194" s="104">
        <f xml:space="preserve"> Inputs_TS!AL$148</f>
        <v>0</v>
      </c>
      <c r="AM194" s="104">
        <f xml:space="preserve"> Inputs_TS!AM$148</f>
        <v>0</v>
      </c>
      <c r="AN194" s="104">
        <f xml:space="preserve"> Inputs_TS!AN$148</f>
        <v>0</v>
      </c>
      <c r="AO194" s="104">
        <f xml:space="preserve"> Inputs_TS!AO$148</f>
        <v>0</v>
      </c>
      <c r="AP194" s="104">
        <f xml:space="preserve"> Inputs_TS!AP$148</f>
        <v>0</v>
      </c>
      <c r="AQ194" s="104">
        <f xml:space="preserve"> Inputs_TS!AQ$148</f>
        <v>0</v>
      </c>
      <c r="AR194" s="104">
        <f xml:space="preserve"> Inputs_TS!AO$148</f>
        <v>0</v>
      </c>
      <c r="AS194" s="104">
        <f xml:space="preserve"> Inputs_TS!AP$148</f>
        <v>0</v>
      </c>
    </row>
    <row r="195" spans="1:45" ht="15" customHeight="1" x14ac:dyDescent="0.3">
      <c r="E195" s="40" t="str">
        <f t="shared" ref="E195:O195" si="227" xml:space="preserve"> E$192</f>
        <v>Other copper: calculated price</v>
      </c>
      <c r="F195" s="40">
        <f t="shared" si="227"/>
        <v>0</v>
      </c>
      <c r="G195" s="40" t="str">
        <f t="shared" si="227"/>
        <v>$ / tonne</v>
      </c>
      <c r="H195" s="40">
        <f t="shared" si="227"/>
        <v>0</v>
      </c>
      <c r="I195" s="40">
        <f t="shared" si="227"/>
        <v>0</v>
      </c>
      <c r="J195" s="40">
        <f t="shared" si="227"/>
        <v>0</v>
      </c>
      <c r="K195" s="40">
        <f t="shared" si="227"/>
        <v>5584.828315710175</v>
      </c>
      <c r="L195" s="40">
        <f t="shared" si="227"/>
        <v>5933.4103214447332</v>
      </c>
      <c r="M195" s="40">
        <f t="shared" si="227"/>
        <v>5786.9786736892866</v>
      </c>
      <c r="N195" s="40">
        <f t="shared" si="227"/>
        <v>4220.0386462475526</v>
      </c>
      <c r="O195" s="40">
        <f t="shared" si="227"/>
        <v>6287.6127916190335</v>
      </c>
      <c r="P195" s="40">
        <f t="shared" ref="P195:AS195" si="228" xml:space="preserve"> P$192</f>
        <v>7406.7348690588005</v>
      </c>
      <c r="Q195" s="40">
        <f t="shared" si="228"/>
        <v>6653.8599850139817</v>
      </c>
      <c r="R195" s="40">
        <f t="shared" si="228"/>
        <v>6107.4592280749121</v>
      </c>
      <c r="S195" s="40">
        <f t="shared" si="228"/>
        <v>5699.819674084154</v>
      </c>
      <c r="T195" s="40">
        <f t="shared" si="228"/>
        <v>4521.612181195429</v>
      </c>
      <c r="U195" s="40">
        <f t="shared" si="228"/>
        <v>3962.038950578713</v>
      </c>
      <c r="V195" s="40">
        <f t="shared" si="228"/>
        <v>5095.9228025332077</v>
      </c>
      <c r="W195" s="40">
        <f t="shared" si="228"/>
        <v>5409.3050604130485</v>
      </c>
      <c r="X195" s="40">
        <f t="shared" si="228"/>
        <v>4956.7653629378437</v>
      </c>
      <c r="Y195" s="40">
        <f t="shared" si="228"/>
        <v>5099.9443867883565</v>
      </c>
      <c r="Z195" s="40">
        <f t="shared" si="228"/>
        <v>7836.8954690483406</v>
      </c>
      <c r="AA195" s="40">
        <f t="shared" si="228"/>
        <v>7411.4923213727616</v>
      </c>
      <c r="AB195" s="40">
        <f t="shared" si="228"/>
        <v>7117.0101161324801</v>
      </c>
      <c r="AC195" s="40">
        <f t="shared" si="228"/>
        <v>7169.2271394159225</v>
      </c>
      <c r="AD195" s="40">
        <f t="shared" si="228"/>
        <v>7265.4612645132374</v>
      </c>
      <c r="AE195" s="40">
        <f t="shared" si="228"/>
        <v>7278.578874655137</v>
      </c>
      <c r="AF195" s="40">
        <f t="shared" si="228"/>
        <v>7271.140075887819</v>
      </c>
      <c r="AG195" s="40">
        <f t="shared" si="228"/>
        <v>7260.5810223811786</v>
      </c>
      <c r="AH195" s="40">
        <f t="shared" si="228"/>
        <v>7271.7932132181268</v>
      </c>
      <c r="AI195" s="40">
        <f t="shared" si="228"/>
        <v>7435.9759579023093</v>
      </c>
      <c r="AJ195" s="40">
        <f t="shared" si="228"/>
        <v>7590.2388380699294</v>
      </c>
      <c r="AK195" s="40">
        <f t="shared" si="228"/>
        <v>7747.5869758409017</v>
      </c>
      <c r="AL195" s="40">
        <f t="shared" si="228"/>
        <v>7908.0820763672918</v>
      </c>
      <c r="AM195" s="40">
        <f t="shared" si="228"/>
        <v>8071.787078904209</v>
      </c>
      <c r="AN195" s="40">
        <f t="shared" si="228"/>
        <v>8238.7661814918683</v>
      </c>
      <c r="AO195" s="40">
        <f t="shared" si="228"/>
        <v>8409.0848661312793</v>
      </c>
      <c r="AP195" s="40">
        <f t="shared" si="228"/>
        <v>8582.8099244634777</v>
      </c>
      <c r="AQ195" s="40">
        <f t="shared" si="228"/>
        <v>8760.0094839623234</v>
      </c>
      <c r="AR195" s="40">
        <f t="shared" si="228"/>
        <v>8940.753034651143</v>
      </c>
      <c r="AS195" s="40">
        <f t="shared" si="228"/>
        <v>9125.1114563537376</v>
      </c>
    </row>
    <row r="196" spans="1:45" ht="15" customHeight="1" x14ac:dyDescent="0.3">
      <c r="A196" s="129"/>
      <c r="B196" s="129"/>
      <c r="C196" s="130"/>
      <c r="D196" s="106"/>
      <c r="E196" s="110" t="s">
        <v>304</v>
      </c>
      <c r="F196" s="110"/>
      <c r="G196" s="110" t="s">
        <v>321</v>
      </c>
      <c r="H196" s="110"/>
      <c r="I196" s="110"/>
      <c r="J196" s="110"/>
      <c r="K196" s="110">
        <f t="shared" ref="K196:O196" si="229">IF(K194 &gt; 0,K194, IF(K195 &gt; 0, K195,))</f>
        <v>5584.828315710175</v>
      </c>
      <c r="L196" s="110">
        <f t="shared" si="229"/>
        <v>5933.4103214447332</v>
      </c>
      <c r="M196" s="110">
        <f t="shared" si="229"/>
        <v>5786.9786736892866</v>
      </c>
      <c r="N196" s="110">
        <f t="shared" si="229"/>
        <v>4220.0386462475526</v>
      </c>
      <c r="O196" s="110">
        <f t="shared" si="229"/>
        <v>6287.6127916190335</v>
      </c>
      <c r="P196" s="110">
        <f t="shared" ref="P196:R196" si="230">IF(P194 &gt; 0,P194, IF(P195 &gt; 0, P195,))</f>
        <v>7406.7348690588005</v>
      </c>
      <c r="Q196" s="110">
        <f t="shared" si="230"/>
        <v>6653.8599850139817</v>
      </c>
      <c r="R196" s="110">
        <f t="shared" si="230"/>
        <v>6107.4592280749121</v>
      </c>
      <c r="S196" s="110">
        <f t="shared" ref="S196:AS196" si="231">IF(S194 &gt; 0,S194, IF(S195 &gt; 0, S195,))</f>
        <v>5699.819674084154</v>
      </c>
      <c r="T196" s="110">
        <f t="shared" si="231"/>
        <v>4521.612181195429</v>
      </c>
      <c r="U196" s="110">
        <f t="shared" si="231"/>
        <v>3962.038950578713</v>
      </c>
      <c r="V196" s="110">
        <f t="shared" si="231"/>
        <v>5095.9228025332077</v>
      </c>
      <c r="W196" s="110">
        <f t="shared" si="231"/>
        <v>5667.8772618398943</v>
      </c>
      <c r="X196" s="110">
        <f t="shared" si="231"/>
        <v>5293.0889973622889</v>
      </c>
      <c r="Y196" s="110">
        <f t="shared" si="231"/>
        <v>6487.8031190483161</v>
      </c>
      <c r="Z196" s="110">
        <f t="shared" si="231"/>
        <v>7836.8954690483406</v>
      </c>
      <c r="AA196" s="110">
        <f t="shared" si="231"/>
        <v>7411.4923213727616</v>
      </c>
      <c r="AB196" s="110">
        <f t="shared" si="231"/>
        <v>7117.0101161324801</v>
      </c>
      <c r="AC196" s="110">
        <f t="shared" si="231"/>
        <v>7169.2271394159225</v>
      </c>
      <c r="AD196" s="110">
        <f t="shared" si="231"/>
        <v>7265.4612645132374</v>
      </c>
      <c r="AE196" s="110">
        <f t="shared" si="231"/>
        <v>7278.578874655137</v>
      </c>
      <c r="AF196" s="110">
        <f t="shared" si="231"/>
        <v>7271.140075887819</v>
      </c>
      <c r="AG196" s="110">
        <f t="shared" si="231"/>
        <v>7260.5810223811786</v>
      </c>
      <c r="AH196" s="110">
        <f t="shared" si="231"/>
        <v>7271.7932132181268</v>
      </c>
      <c r="AI196" s="110">
        <f t="shared" si="231"/>
        <v>7435.9759579023093</v>
      </c>
      <c r="AJ196" s="110">
        <f t="shared" si="231"/>
        <v>7590.2388380699294</v>
      </c>
      <c r="AK196" s="110">
        <f t="shared" si="231"/>
        <v>7747.5869758409017</v>
      </c>
      <c r="AL196" s="110">
        <f t="shared" si="231"/>
        <v>7908.0820763672918</v>
      </c>
      <c r="AM196" s="110">
        <f t="shared" si="231"/>
        <v>8071.787078904209</v>
      </c>
      <c r="AN196" s="110">
        <f t="shared" si="231"/>
        <v>8238.7661814918683</v>
      </c>
      <c r="AO196" s="110">
        <f t="shared" ref="AO196:AQ196" si="232">IF(AO194 &gt; 0,AO194, IF(AO195 &gt; 0, AO195,))</f>
        <v>8409.0848661312793</v>
      </c>
      <c r="AP196" s="110">
        <f t="shared" si="232"/>
        <v>8582.8099244634777</v>
      </c>
      <c r="AQ196" s="110">
        <f t="shared" si="232"/>
        <v>8760.0094839623234</v>
      </c>
      <c r="AR196" s="110">
        <f t="shared" si="231"/>
        <v>8940.753034651143</v>
      </c>
      <c r="AS196" s="110">
        <f t="shared" si="231"/>
        <v>9125.1114563537376</v>
      </c>
    </row>
    <row r="197" spans="1:45" ht="15" customHeight="1" x14ac:dyDescent="0.3">
      <c r="E197" s="40"/>
      <c r="F197" s="40"/>
      <c r="G197" s="40"/>
      <c r="H197" s="40"/>
      <c r="I197" s="40"/>
      <c r="J197" s="40"/>
      <c r="K197" s="40"/>
      <c r="L197" s="40"/>
      <c r="M197" s="40"/>
      <c r="N197" s="40"/>
      <c r="O197" s="40"/>
      <c r="P197" s="40"/>
      <c r="Q197" s="40"/>
      <c r="R197" s="40"/>
      <c r="S197" s="40"/>
      <c r="T197" s="40"/>
      <c r="U197" s="40"/>
      <c r="V197" s="40"/>
      <c r="W197" s="40"/>
      <c r="X197" s="40"/>
      <c r="Y197" s="40"/>
      <c r="Z197" s="40"/>
      <c r="AA197" s="40"/>
      <c r="AB197" s="40"/>
      <c r="AC197" s="40"/>
      <c r="AD197" s="40"/>
      <c r="AE197" s="40"/>
      <c r="AF197" s="40"/>
      <c r="AG197" s="40"/>
      <c r="AH197" s="40"/>
      <c r="AI197" s="40"/>
      <c r="AJ197" s="40"/>
      <c r="AK197" s="40"/>
      <c r="AL197" s="40"/>
      <c r="AM197" s="40"/>
      <c r="AN197" s="40"/>
      <c r="AO197" s="40"/>
      <c r="AP197" s="40"/>
      <c r="AQ197" s="40"/>
      <c r="AR197" s="40"/>
      <c r="AS197" s="40"/>
    </row>
    <row r="198" spans="1:45" ht="15" customHeight="1" x14ac:dyDescent="0.3">
      <c r="C198" s="113" t="s">
        <v>165</v>
      </c>
      <c r="E198" s="40"/>
      <c r="F198" s="40"/>
      <c r="G198" s="40"/>
      <c r="H198" s="40"/>
      <c r="I198" s="40"/>
      <c r="J198" s="40"/>
      <c r="K198" s="40"/>
      <c r="L198" s="40"/>
      <c r="M198" s="40"/>
      <c r="N198" s="40"/>
      <c r="O198" s="40"/>
      <c r="P198" s="40"/>
      <c r="Q198" s="40"/>
      <c r="R198" s="40"/>
      <c r="S198" s="40"/>
      <c r="T198" s="40"/>
      <c r="U198" s="40"/>
      <c r="V198" s="40"/>
      <c r="W198" s="40"/>
      <c r="X198" s="40"/>
      <c r="Y198" s="40"/>
      <c r="Z198" s="40"/>
      <c r="AA198" s="40"/>
      <c r="AB198" s="40"/>
      <c r="AC198" s="40"/>
      <c r="AD198" s="40"/>
      <c r="AE198" s="40"/>
      <c r="AF198" s="40"/>
      <c r="AG198" s="40"/>
      <c r="AH198" s="40"/>
      <c r="AI198" s="40"/>
      <c r="AJ198" s="40"/>
      <c r="AK198" s="40"/>
      <c r="AL198" s="40"/>
      <c r="AM198" s="40"/>
      <c r="AN198" s="40"/>
      <c r="AO198" s="40"/>
      <c r="AP198" s="40"/>
      <c r="AQ198" s="40"/>
      <c r="AR198" s="40"/>
      <c r="AS198" s="40"/>
    </row>
    <row r="199" spans="1:45" ht="15" customHeight="1" x14ac:dyDescent="0.3">
      <c r="A199" s="244"/>
      <c r="B199" s="244"/>
      <c r="C199" s="245"/>
      <c r="D199" s="246"/>
      <c r="E199" s="127" t="str">
        <f t="shared" ref="E199:O199" si="233" xml:space="preserve"> E$186</f>
        <v>Copper realized price: SOM_Contract</v>
      </c>
      <c r="F199" s="127" t="str">
        <f t="shared" si="233"/>
        <v>SOM_Contract</v>
      </c>
      <c r="G199" s="127" t="str">
        <f t="shared" si="233"/>
        <v>$ / tonne</v>
      </c>
      <c r="H199" s="127">
        <f t="shared" si="233"/>
        <v>0</v>
      </c>
      <c r="I199" s="127">
        <f t="shared" si="233"/>
        <v>0</v>
      </c>
      <c r="J199" s="127">
        <f t="shared" si="233"/>
        <v>0</v>
      </c>
      <c r="K199" s="127">
        <f t="shared" si="233"/>
        <v>6387.4265919999998</v>
      </c>
      <c r="L199" s="127">
        <f t="shared" si="233"/>
        <v>6786.1034799999998</v>
      </c>
      <c r="M199" s="127">
        <f t="shared" si="233"/>
        <v>6618.6280719999995</v>
      </c>
      <c r="N199" s="127">
        <f t="shared" si="233"/>
        <v>4826.5023639999999</v>
      </c>
      <c r="O199" s="127">
        <f t="shared" si="233"/>
        <v>7191.2085520000001</v>
      </c>
      <c r="P199" s="127">
        <f t="shared" ref="P199:AS199" si="234" xml:space="preserve"> P$186</f>
        <v>8471.1601840000003</v>
      </c>
      <c r="Q199" s="127">
        <f t="shared" si="234"/>
        <v>7610.0893000000005</v>
      </c>
      <c r="R199" s="127">
        <f t="shared" si="234"/>
        <v>6985.1650360000003</v>
      </c>
      <c r="S199" s="127">
        <f t="shared" si="234"/>
        <v>6518.9434119999996</v>
      </c>
      <c r="T199" s="127">
        <f t="shared" si="234"/>
        <v>5171.415172</v>
      </c>
      <c r="U199" s="127">
        <f t="shared" si="234"/>
        <v>4531.4254119999996</v>
      </c>
      <c r="V199" s="127">
        <f t="shared" si="234"/>
        <v>5828.2602399999996</v>
      </c>
      <c r="W199" s="127">
        <f t="shared" si="234"/>
        <v>6186.6788079999997</v>
      </c>
      <c r="X199" s="127">
        <f t="shared" si="234"/>
        <v>5669.1044200000006</v>
      </c>
      <c r="Y199" s="127">
        <f t="shared" si="234"/>
        <v>5832.8597680000003</v>
      </c>
      <c r="Z199" s="127">
        <f t="shared" si="234"/>
        <v>8963.1393639999987</v>
      </c>
      <c r="AA199" s="127">
        <f t="shared" si="234"/>
        <v>8476.6013320000002</v>
      </c>
      <c r="AB199" s="127">
        <f t="shared" si="234"/>
        <v>8139.798952000001</v>
      </c>
      <c r="AC199" s="127">
        <f t="shared" si="234"/>
        <v>8199.5201080000006</v>
      </c>
      <c r="AD199" s="127">
        <f t="shared" si="234"/>
        <v>8309.5840840000001</v>
      </c>
      <c r="AE199" s="127">
        <f t="shared" si="234"/>
        <v>8324.586831999999</v>
      </c>
      <c r="AF199" s="127">
        <f t="shared" si="234"/>
        <v>8316.0789999999997</v>
      </c>
      <c r="AG199" s="127">
        <f t="shared" si="234"/>
        <v>8304.0025000000005</v>
      </c>
      <c r="AH199" s="127">
        <f t="shared" si="234"/>
        <v>8316.8259999999991</v>
      </c>
      <c r="AI199" s="127">
        <f t="shared" si="234"/>
        <v>8504.6035233292805</v>
      </c>
      <c r="AJ199" s="127">
        <f t="shared" si="234"/>
        <v>8681.0355937958666</v>
      </c>
      <c r="AK199" s="127">
        <f t="shared" si="234"/>
        <v>8860.9963056717843</v>
      </c>
      <c r="AL199" s="127">
        <f t="shared" si="234"/>
        <v>9044.55623178522</v>
      </c>
      <c r="AM199" s="127">
        <f t="shared" si="234"/>
        <v>9231.7873564209222</v>
      </c>
      <c r="AN199" s="127">
        <f t="shared" si="234"/>
        <v>9422.7631035493432</v>
      </c>
      <c r="AO199" s="127">
        <f t="shared" si="234"/>
        <v>9617.5583656203307</v>
      </c>
      <c r="AP199" s="127">
        <f t="shared" si="234"/>
        <v>9816.2495329327376</v>
      </c>
      <c r="AQ199" s="127">
        <f t="shared" si="234"/>
        <v>10018.914523591395</v>
      </c>
      <c r="AR199" s="127">
        <f t="shared" si="234"/>
        <v>10225.632814063223</v>
      </c>
      <c r="AS199" s="127">
        <f t="shared" si="234"/>
        <v>10436.485470344485</v>
      </c>
    </row>
    <row r="200" spans="1:45" ht="15" customHeight="1" x14ac:dyDescent="0.3">
      <c r="E200" s="61" t="str">
        <f xml:space="preserve"> Inputs_TS!E$160</f>
        <v>Copper cathode to copper benchmark ratio</v>
      </c>
      <c r="F200" s="96">
        <f xml:space="preserve"> Inputs_TS!F$160</f>
        <v>0.97703363970897328</v>
      </c>
      <c r="G200" s="61" t="str">
        <f xml:space="preserve"> Inputs_TS!G$160</f>
        <v>%</v>
      </c>
      <c r="I200" s="116"/>
      <c r="AL200" s="42"/>
      <c r="AM200" s="42"/>
      <c r="AN200" s="42"/>
      <c r="AO200" s="42"/>
      <c r="AP200" s="42"/>
      <c r="AQ200" s="42"/>
      <c r="AR200" s="42"/>
      <c r="AS200" s="42"/>
    </row>
    <row r="201" spans="1:45" ht="15" customHeight="1" x14ac:dyDescent="0.3">
      <c r="E201" s="42" t="s">
        <v>316</v>
      </c>
      <c r="G201" s="42" t="s">
        <v>321</v>
      </c>
      <c r="I201" s="116"/>
      <c r="K201" s="42">
        <f t="shared" ref="K201:O201" si="235">K199 * $F200</f>
        <v>6240.7306515556429</v>
      </c>
      <c r="L201" s="42">
        <f t="shared" si="235"/>
        <v>6630.2513825061296</v>
      </c>
      <c r="M201" s="42">
        <f t="shared" si="235"/>
        <v>6466.6222750661436</v>
      </c>
      <c r="N201" s="42">
        <f t="shared" si="235"/>
        <v>4715.6551717628836</v>
      </c>
      <c r="O201" s="42">
        <f t="shared" si="235"/>
        <v>7026.0526654668556</v>
      </c>
      <c r="P201" s="42">
        <f t="shared" ref="P201:AS201" si="236">P199 * $F200</f>
        <v>8276.6084671312565</v>
      </c>
      <c r="Q201" s="42">
        <f t="shared" si="236"/>
        <v>7435.313247289313</v>
      </c>
      <c r="R201" s="42">
        <f t="shared" si="236"/>
        <v>6824.7412190909417</v>
      </c>
      <c r="S201" s="42">
        <f t="shared" si="236"/>
        <v>6369.2270088831929</v>
      </c>
      <c r="T201" s="42">
        <f t="shared" si="236"/>
        <v>5052.6465879453663</v>
      </c>
      <c r="U201" s="42">
        <f t="shared" si="236"/>
        <v>4427.3550633560935</v>
      </c>
      <c r="V201" s="42">
        <f t="shared" si="236"/>
        <v>5694.4063154582936</v>
      </c>
      <c r="W201" s="42">
        <f t="shared" si="236"/>
        <v>6044.5933134906118</v>
      </c>
      <c r="X201" s="42">
        <f t="shared" si="236"/>
        <v>5538.9057253628289</v>
      </c>
      <c r="Y201" s="42">
        <f t="shared" si="236"/>
        <v>5698.9002090410777</v>
      </c>
      <c r="Z201" s="42">
        <f t="shared" si="236"/>
        <v>8757.2886760276906</v>
      </c>
      <c r="AA201" s="42">
        <f t="shared" si="236"/>
        <v>8281.9246517658903</v>
      </c>
      <c r="AB201" s="42">
        <f t="shared" si="236"/>
        <v>7952.8573965718469</v>
      </c>
      <c r="AC201" s="42">
        <f t="shared" si="236"/>
        <v>8011.2069749861539</v>
      </c>
      <c r="AD201" s="42">
        <f t="shared" si="236"/>
        <v>8118.7431820582751</v>
      </c>
      <c r="AE201" s="42">
        <f t="shared" si="236"/>
        <v>8133.4013715423507</v>
      </c>
      <c r="AF201" s="42">
        <f t="shared" si="236"/>
        <v>8125.0889334773583</v>
      </c>
      <c r="AG201" s="42">
        <f t="shared" si="236"/>
        <v>8113.2897867274141</v>
      </c>
      <c r="AH201" s="42">
        <f t="shared" si="236"/>
        <v>8125.8187776062205</v>
      </c>
      <c r="AI201" s="42">
        <f t="shared" si="236"/>
        <v>8309.2837346801643</v>
      </c>
      <c r="AJ201" s="42">
        <f t="shared" si="236"/>
        <v>8481.6638026495239</v>
      </c>
      <c r="AK201" s="42">
        <f t="shared" si="236"/>
        <v>8657.4914719782701</v>
      </c>
      <c r="AL201" s="42">
        <f t="shared" si="236"/>
        <v>8836.8356946935892</v>
      </c>
      <c r="AM201" s="42">
        <f t="shared" si="236"/>
        <v>9019.7668018632139</v>
      </c>
      <c r="AN201" s="42">
        <f t="shared" si="236"/>
        <v>9206.3565311762359</v>
      </c>
      <c r="AO201" s="42">
        <f t="shared" si="236"/>
        <v>9396.6780550755157</v>
      </c>
      <c r="AP201" s="42">
        <f t="shared" si="236"/>
        <v>9590.8060094527809</v>
      </c>
      <c r="AQ201" s="42">
        <f t="shared" si="236"/>
        <v>9788.8165229175938</v>
      </c>
      <c r="AR201" s="42">
        <f t="shared" si="236"/>
        <v>9990.7872466517019</v>
      </c>
      <c r="AS201" s="42">
        <f t="shared" si="236"/>
        <v>10196.797384860489</v>
      </c>
    </row>
    <row r="202" spans="1:45" ht="15" customHeight="1" x14ac:dyDescent="0.3">
      <c r="I202" s="116"/>
      <c r="AL202" s="42"/>
      <c r="AM202" s="42"/>
      <c r="AN202" s="42"/>
      <c r="AO202" s="42"/>
      <c r="AP202" s="42"/>
      <c r="AQ202" s="42"/>
      <c r="AR202" s="42"/>
      <c r="AS202" s="42"/>
    </row>
    <row r="203" spans="1:45" ht="15" customHeight="1" x14ac:dyDescent="0.3">
      <c r="E203" s="61" t="str">
        <f xml:space="preserve"> Inputs_TS!E$135</f>
        <v>Copper cathode: realized price</v>
      </c>
      <c r="F203" s="104"/>
      <c r="G203" s="104" t="str">
        <f xml:space="preserve"> Inputs_TS!G$135</f>
        <v>$ / tonne</v>
      </c>
      <c r="H203" s="57" t="str">
        <f xml:space="preserve"> Inputs_TS!H$135</f>
        <v>XIV</v>
      </c>
      <c r="I203" s="57"/>
      <c r="J203" s="136">
        <f xml:space="preserve"> Inputs_TS!J$135</f>
        <v>0</v>
      </c>
      <c r="K203" s="104">
        <f xml:space="preserve"> Inputs_TS!K$135</f>
        <v>0</v>
      </c>
      <c r="L203" s="104">
        <f xml:space="preserve"> Inputs_TS!L$135</f>
        <v>0</v>
      </c>
      <c r="M203" s="104">
        <f xml:space="preserve"> Inputs_TS!M$135</f>
        <v>0</v>
      </c>
      <c r="N203" s="104">
        <f xml:space="preserve"> Inputs_TS!N$135</f>
        <v>0</v>
      </c>
      <c r="O203" s="104">
        <f xml:space="preserve"> Inputs_TS!O$135</f>
        <v>0</v>
      </c>
      <c r="P203" s="104">
        <f xml:space="preserve"> Inputs_TS!P$135</f>
        <v>0</v>
      </c>
      <c r="Q203" s="104">
        <f xml:space="preserve"> Inputs_TS!Q$135</f>
        <v>0</v>
      </c>
      <c r="R203" s="104">
        <f xml:space="preserve"> Inputs_TS!R$135</f>
        <v>0</v>
      </c>
      <c r="S203" s="104">
        <f xml:space="preserve"> Inputs_TS!S$135</f>
        <v>0</v>
      </c>
      <c r="T203" s="104">
        <f xml:space="preserve"> Inputs_TS!T$135</f>
        <v>0</v>
      </c>
      <c r="U203" s="104">
        <f xml:space="preserve"> Inputs_TS!U$135</f>
        <v>0</v>
      </c>
      <c r="V203" s="104">
        <f xml:space="preserve"> Inputs_TS!V$135</f>
        <v>0</v>
      </c>
      <c r="W203" s="104">
        <f xml:space="preserve"> Inputs_TS!W$135</f>
        <v>0</v>
      </c>
      <c r="X203" s="104">
        <f xml:space="preserve"> Inputs_TS!X$135</f>
        <v>5872.1138445286879</v>
      </c>
      <c r="Y203" s="104">
        <f xml:space="preserve"> Inputs_TS!Y$135</f>
        <v>5679.8362270723128</v>
      </c>
      <c r="Z203" s="104">
        <f xml:space="preserve"> Inputs_TS!Z$135</f>
        <v>0</v>
      </c>
      <c r="AA203" s="104">
        <f xml:space="preserve"> Inputs_TS!AA$135</f>
        <v>0</v>
      </c>
      <c r="AB203" s="104">
        <f xml:space="preserve"> Inputs_TS!AB$135</f>
        <v>0</v>
      </c>
      <c r="AC203" s="104">
        <f xml:space="preserve"> Inputs_TS!AC$135</f>
        <v>0</v>
      </c>
      <c r="AD203" s="104">
        <f xml:space="preserve"> Inputs_TS!AD$135</f>
        <v>0</v>
      </c>
      <c r="AE203" s="104">
        <f xml:space="preserve"> Inputs_TS!AE$135</f>
        <v>0</v>
      </c>
      <c r="AF203" s="104">
        <f xml:space="preserve"> Inputs_TS!AF$135</f>
        <v>0</v>
      </c>
      <c r="AG203" s="104">
        <f xml:space="preserve"> Inputs_TS!AG$135</f>
        <v>0</v>
      </c>
      <c r="AH203" s="104">
        <f xml:space="preserve"> Inputs_TS!AH$135</f>
        <v>0</v>
      </c>
      <c r="AI203" s="104">
        <f xml:space="preserve"> Inputs_TS!AI$135</f>
        <v>0</v>
      </c>
      <c r="AJ203" s="104">
        <f xml:space="preserve"> Inputs_TS!AJ$135</f>
        <v>0</v>
      </c>
      <c r="AK203" s="104">
        <f xml:space="preserve"> Inputs_TS!AK$135</f>
        <v>0</v>
      </c>
      <c r="AL203" s="104">
        <f xml:space="preserve"> Inputs_TS!AL$135</f>
        <v>0</v>
      </c>
      <c r="AM203" s="104">
        <f xml:space="preserve"> Inputs_TS!AM$135</f>
        <v>0</v>
      </c>
      <c r="AN203" s="104">
        <f xml:space="preserve"> Inputs_TS!AN$135</f>
        <v>0</v>
      </c>
      <c r="AO203" s="104">
        <f xml:space="preserve"> Inputs_TS!AO$135</f>
        <v>0</v>
      </c>
      <c r="AP203" s="104">
        <f xml:space="preserve"> Inputs_TS!AP$135</f>
        <v>0</v>
      </c>
      <c r="AQ203" s="104">
        <f xml:space="preserve"> Inputs_TS!AQ$135</f>
        <v>0</v>
      </c>
      <c r="AR203" s="104">
        <f xml:space="preserve"> Inputs_TS!AO$135</f>
        <v>0</v>
      </c>
      <c r="AS203" s="104">
        <f xml:space="preserve"> Inputs_TS!AP$135</f>
        <v>0</v>
      </c>
    </row>
    <row r="204" spans="1:45" ht="15" customHeight="1" x14ac:dyDescent="0.3">
      <c r="E204" s="40" t="str">
        <f t="shared" ref="E204:O204" si="237" xml:space="preserve"> E$201</f>
        <v>Copper cathode: calculated price</v>
      </c>
      <c r="F204" s="40">
        <f t="shared" si="237"/>
        <v>0</v>
      </c>
      <c r="G204" s="40" t="str">
        <f t="shared" si="237"/>
        <v>$ / tonne</v>
      </c>
      <c r="H204" s="40">
        <f t="shared" si="237"/>
        <v>0</v>
      </c>
      <c r="I204" s="40">
        <f t="shared" si="237"/>
        <v>0</v>
      </c>
      <c r="J204" s="40">
        <f t="shared" si="237"/>
        <v>0</v>
      </c>
      <c r="K204" s="40">
        <f t="shared" si="237"/>
        <v>6240.7306515556429</v>
      </c>
      <c r="L204" s="40">
        <f t="shared" si="237"/>
        <v>6630.2513825061296</v>
      </c>
      <c r="M204" s="40">
        <f t="shared" si="237"/>
        <v>6466.6222750661436</v>
      </c>
      <c r="N204" s="40">
        <f t="shared" si="237"/>
        <v>4715.6551717628836</v>
      </c>
      <c r="O204" s="40">
        <f t="shared" si="237"/>
        <v>7026.0526654668556</v>
      </c>
      <c r="P204" s="40">
        <f t="shared" ref="P204:AS204" si="238" xml:space="preserve"> P$201</f>
        <v>8276.6084671312565</v>
      </c>
      <c r="Q204" s="40">
        <f t="shared" si="238"/>
        <v>7435.313247289313</v>
      </c>
      <c r="R204" s="40">
        <f t="shared" si="238"/>
        <v>6824.7412190909417</v>
      </c>
      <c r="S204" s="40">
        <f t="shared" si="238"/>
        <v>6369.2270088831929</v>
      </c>
      <c r="T204" s="40">
        <f t="shared" si="238"/>
        <v>5052.6465879453663</v>
      </c>
      <c r="U204" s="40">
        <f t="shared" si="238"/>
        <v>4427.3550633560935</v>
      </c>
      <c r="V204" s="40">
        <f t="shared" si="238"/>
        <v>5694.4063154582936</v>
      </c>
      <c r="W204" s="40">
        <f t="shared" si="238"/>
        <v>6044.5933134906118</v>
      </c>
      <c r="X204" s="40">
        <f t="shared" si="238"/>
        <v>5538.9057253628289</v>
      </c>
      <c r="Y204" s="40">
        <f t="shared" si="238"/>
        <v>5698.9002090410777</v>
      </c>
      <c r="Z204" s="40">
        <f t="shared" si="238"/>
        <v>8757.2886760276906</v>
      </c>
      <c r="AA204" s="40">
        <f t="shared" si="238"/>
        <v>8281.9246517658903</v>
      </c>
      <c r="AB204" s="40">
        <f t="shared" si="238"/>
        <v>7952.8573965718469</v>
      </c>
      <c r="AC204" s="40">
        <f t="shared" si="238"/>
        <v>8011.2069749861539</v>
      </c>
      <c r="AD204" s="40">
        <f t="shared" si="238"/>
        <v>8118.7431820582751</v>
      </c>
      <c r="AE204" s="40">
        <f t="shared" si="238"/>
        <v>8133.4013715423507</v>
      </c>
      <c r="AF204" s="40">
        <f t="shared" si="238"/>
        <v>8125.0889334773583</v>
      </c>
      <c r="AG204" s="40">
        <f t="shared" si="238"/>
        <v>8113.2897867274141</v>
      </c>
      <c r="AH204" s="40">
        <f t="shared" si="238"/>
        <v>8125.8187776062205</v>
      </c>
      <c r="AI204" s="40">
        <f t="shared" si="238"/>
        <v>8309.2837346801643</v>
      </c>
      <c r="AJ204" s="40">
        <f t="shared" si="238"/>
        <v>8481.6638026495239</v>
      </c>
      <c r="AK204" s="40">
        <f t="shared" si="238"/>
        <v>8657.4914719782701</v>
      </c>
      <c r="AL204" s="40">
        <f t="shared" si="238"/>
        <v>8836.8356946935892</v>
      </c>
      <c r="AM204" s="40">
        <f t="shared" si="238"/>
        <v>9019.7668018632139</v>
      </c>
      <c r="AN204" s="40">
        <f t="shared" si="238"/>
        <v>9206.3565311762359</v>
      </c>
      <c r="AO204" s="40">
        <f t="shared" si="238"/>
        <v>9396.6780550755157</v>
      </c>
      <c r="AP204" s="40">
        <f t="shared" si="238"/>
        <v>9590.8060094527809</v>
      </c>
      <c r="AQ204" s="40">
        <f t="shared" si="238"/>
        <v>9788.8165229175938</v>
      </c>
      <c r="AR204" s="40">
        <f t="shared" si="238"/>
        <v>9990.7872466517019</v>
      </c>
      <c r="AS204" s="40">
        <f t="shared" si="238"/>
        <v>10196.797384860489</v>
      </c>
    </row>
    <row r="205" spans="1:45" ht="15" customHeight="1" x14ac:dyDescent="0.3">
      <c r="A205" s="129"/>
      <c r="B205" s="129"/>
      <c r="C205" s="130"/>
      <c r="D205" s="106"/>
      <c r="E205" s="106" t="s">
        <v>315</v>
      </c>
      <c r="F205" s="106"/>
      <c r="G205" s="106" t="s">
        <v>321</v>
      </c>
      <c r="H205" s="131"/>
      <c r="I205" s="131"/>
      <c r="J205" s="128"/>
      <c r="K205" s="110">
        <f t="shared" ref="K205:O205" si="239">IF(K203 &gt; 0,K203, IF(K204 &gt; 0, K204,))</f>
        <v>6240.7306515556429</v>
      </c>
      <c r="L205" s="110">
        <f t="shared" si="239"/>
        <v>6630.2513825061296</v>
      </c>
      <c r="M205" s="110">
        <f t="shared" si="239"/>
        <v>6466.6222750661436</v>
      </c>
      <c r="N205" s="110">
        <f t="shared" si="239"/>
        <v>4715.6551717628836</v>
      </c>
      <c r="O205" s="110">
        <f t="shared" si="239"/>
        <v>7026.0526654668556</v>
      </c>
      <c r="P205" s="110">
        <f t="shared" ref="P205:R205" si="240">IF(P203 &gt; 0,P203, IF(P204 &gt; 0, P204,))</f>
        <v>8276.6084671312565</v>
      </c>
      <c r="Q205" s="110">
        <f t="shared" si="240"/>
        <v>7435.313247289313</v>
      </c>
      <c r="R205" s="110">
        <f t="shared" si="240"/>
        <v>6824.7412190909417</v>
      </c>
      <c r="S205" s="110">
        <f t="shared" ref="S205:AS205" si="241">IF(S203 &gt; 0,S203, IF(S204 &gt; 0, S204,))</f>
        <v>6369.2270088831929</v>
      </c>
      <c r="T205" s="110">
        <f t="shared" si="241"/>
        <v>5052.6465879453663</v>
      </c>
      <c r="U205" s="110">
        <f t="shared" si="241"/>
        <v>4427.3550633560935</v>
      </c>
      <c r="V205" s="110">
        <f t="shared" si="241"/>
        <v>5694.4063154582936</v>
      </c>
      <c r="W205" s="110">
        <f t="shared" si="241"/>
        <v>6044.5933134906118</v>
      </c>
      <c r="X205" s="110">
        <f t="shared" si="241"/>
        <v>5872.1138445286879</v>
      </c>
      <c r="Y205" s="110">
        <f t="shared" si="241"/>
        <v>5679.8362270723128</v>
      </c>
      <c r="Z205" s="110">
        <f t="shared" si="241"/>
        <v>8757.2886760276906</v>
      </c>
      <c r="AA205" s="110">
        <f t="shared" si="241"/>
        <v>8281.9246517658903</v>
      </c>
      <c r="AB205" s="110">
        <f t="shared" si="241"/>
        <v>7952.8573965718469</v>
      </c>
      <c r="AC205" s="110">
        <f t="shared" si="241"/>
        <v>8011.2069749861539</v>
      </c>
      <c r="AD205" s="110">
        <f t="shared" si="241"/>
        <v>8118.7431820582751</v>
      </c>
      <c r="AE205" s="110">
        <f t="shared" si="241"/>
        <v>8133.4013715423507</v>
      </c>
      <c r="AF205" s="110">
        <f t="shared" si="241"/>
        <v>8125.0889334773583</v>
      </c>
      <c r="AG205" s="110">
        <f t="shared" si="241"/>
        <v>8113.2897867274141</v>
      </c>
      <c r="AH205" s="110">
        <f t="shared" si="241"/>
        <v>8125.8187776062205</v>
      </c>
      <c r="AI205" s="110">
        <f t="shared" si="241"/>
        <v>8309.2837346801643</v>
      </c>
      <c r="AJ205" s="110">
        <f t="shared" si="241"/>
        <v>8481.6638026495239</v>
      </c>
      <c r="AK205" s="110">
        <f t="shared" si="241"/>
        <v>8657.4914719782701</v>
      </c>
      <c r="AL205" s="110">
        <f t="shared" si="241"/>
        <v>8836.8356946935892</v>
      </c>
      <c r="AM205" s="110">
        <f t="shared" si="241"/>
        <v>9019.7668018632139</v>
      </c>
      <c r="AN205" s="110">
        <f t="shared" si="241"/>
        <v>9206.3565311762359</v>
      </c>
      <c r="AO205" s="110">
        <f t="shared" ref="AO205:AQ205" si="242">IF(AO203 &gt; 0,AO203, IF(AO204 &gt; 0, AO204,))</f>
        <v>9396.6780550755157</v>
      </c>
      <c r="AP205" s="110">
        <f t="shared" si="242"/>
        <v>9590.8060094527809</v>
      </c>
      <c r="AQ205" s="110">
        <f t="shared" si="242"/>
        <v>9788.8165229175938</v>
      </c>
      <c r="AR205" s="110">
        <f t="shared" si="241"/>
        <v>9990.7872466517019</v>
      </c>
      <c r="AS205" s="110">
        <f t="shared" si="241"/>
        <v>10196.797384860489</v>
      </c>
    </row>
    <row r="206" spans="1:45" ht="15" customHeight="1" x14ac:dyDescent="0.3">
      <c r="A206" s="129"/>
      <c r="B206" s="129"/>
      <c r="C206" s="130"/>
      <c r="D206" s="106"/>
      <c r="E206" s="270"/>
      <c r="F206" s="106"/>
      <c r="G206" s="106"/>
      <c r="H206" s="131"/>
      <c r="I206" s="131"/>
      <c r="J206" s="128"/>
      <c r="K206" s="110"/>
      <c r="L206" s="110"/>
      <c r="M206" s="110"/>
      <c r="N206" s="110"/>
      <c r="O206" s="110"/>
      <c r="P206" s="110"/>
      <c r="Q206" s="110"/>
      <c r="R206" s="110"/>
      <c r="S206" s="110"/>
      <c r="T206" s="110"/>
      <c r="U206" s="110"/>
      <c r="V206" s="110"/>
      <c r="W206" s="110"/>
      <c r="X206" s="110"/>
      <c r="Y206" s="110"/>
      <c r="Z206" s="110"/>
      <c r="AA206" s="110"/>
      <c r="AB206" s="110"/>
      <c r="AC206" s="110"/>
      <c r="AD206" s="110"/>
      <c r="AE206" s="110"/>
      <c r="AF206" s="110"/>
      <c r="AG206" s="110"/>
      <c r="AH206" s="110"/>
      <c r="AI206" s="110"/>
      <c r="AJ206" s="110"/>
      <c r="AK206" s="110"/>
      <c r="AL206" s="110"/>
      <c r="AM206" s="110"/>
      <c r="AN206" s="110"/>
      <c r="AO206" s="110"/>
      <c r="AP206" s="110"/>
      <c r="AQ206" s="110"/>
      <c r="AR206" s="110"/>
      <c r="AS206" s="110"/>
    </row>
    <row r="207" spans="1:45" ht="15" customHeight="1" x14ac:dyDescent="0.3">
      <c r="A207" s="129"/>
      <c r="B207" s="129"/>
      <c r="C207" s="130"/>
      <c r="D207" s="106"/>
      <c r="E207" s="147" t="str">
        <f xml:space="preserve"> Inputs_Con!E$13</f>
        <v>Production case: FS or original</v>
      </c>
      <c r="F207" s="147" t="str">
        <f xml:space="preserve"> Inputs_Con!F$13</f>
        <v>FS</v>
      </c>
      <c r="G207" s="147" t="str">
        <f xml:space="preserve"> Inputs_Con!G$13</f>
        <v>selected</v>
      </c>
      <c r="H207" s="131"/>
      <c r="I207" s="131"/>
      <c r="J207" s="128"/>
      <c r="K207" s="110"/>
      <c r="L207" s="110"/>
      <c r="M207" s="110"/>
      <c r="N207" s="110"/>
      <c r="O207" s="110"/>
      <c r="P207" s="110"/>
      <c r="Q207" s="110"/>
      <c r="R207" s="110"/>
      <c r="S207" s="110"/>
      <c r="T207" s="110"/>
      <c r="U207" s="110"/>
      <c r="V207" s="110"/>
      <c r="W207" s="110"/>
      <c r="X207" s="110"/>
      <c r="Y207" s="110"/>
      <c r="Z207" s="110"/>
      <c r="AA207" s="110"/>
      <c r="AB207" s="110"/>
      <c r="AC207" s="110"/>
      <c r="AD207" s="110"/>
      <c r="AE207" s="110"/>
      <c r="AF207" s="110"/>
      <c r="AG207" s="110"/>
      <c r="AH207" s="110"/>
      <c r="AI207" s="110"/>
      <c r="AJ207" s="110"/>
      <c r="AK207" s="110"/>
      <c r="AL207" s="110"/>
      <c r="AM207" s="110"/>
      <c r="AN207" s="110"/>
      <c r="AO207" s="110"/>
      <c r="AP207" s="110"/>
      <c r="AQ207" s="110"/>
      <c r="AR207" s="110"/>
      <c r="AS207" s="110"/>
    </row>
    <row r="208" spans="1:45" ht="15" customHeight="1" x14ac:dyDescent="0.3">
      <c r="A208" s="129"/>
      <c r="B208" s="129"/>
      <c r="C208" s="130"/>
      <c r="D208" s="106"/>
      <c r="E208" s="270"/>
      <c r="F208" s="106"/>
      <c r="G208" s="106"/>
      <c r="H208" s="131"/>
      <c r="I208" s="131"/>
      <c r="J208" s="128"/>
      <c r="K208" s="110"/>
      <c r="L208" s="110"/>
      <c r="M208" s="110"/>
      <c r="N208" s="110"/>
      <c r="O208" s="110"/>
      <c r="P208" s="110"/>
      <c r="Q208" s="110"/>
      <c r="R208" s="110"/>
      <c r="S208" s="110"/>
      <c r="T208" s="110"/>
      <c r="U208" s="110"/>
      <c r="V208" s="110"/>
      <c r="W208" s="110"/>
      <c r="X208" s="110"/>
      <c r="Y208" s="110"/>
      <c r="Z208" s="110"/>
      <c r="AA208" s="110"/>
      <c r="AB208" s="110"/>
      <c r="AC208" s="110"/>
      <c r="AD208" s="110"/>
      <c r="AE208" s="110"/>
      <c r="AF208" s="110"/>
      <c r="AG208" s="110"/>
      <c r="AH208" s="110"/>
      <c r="AI208" s="110"/>
      <c r="AJ208" s="110"/>
      <c r="AK208" s="110"/>
      <c r="AL208" s="110"/>
      <c r="AM208" s="110"/>
      <c r="AN208" s="110"/>
      <c r="AO208" s="110"/>
      <c r="AP208" s="110"/>
      <c r="AQ208" s="110"/>
      <c r="AR208" s="110"/>
      <c r="AS208" s="110"/>
    </row>
    <row r="209" spans="1:45" ht="15" customHeight="1" x14ac:dyDescent="0.3">
      <c r="A209" s="129"/>
      <c r="B209" s="129" t="s">
        <v>1059</v>
      </c>
      <c r="D209" s="106"/>
      <c r="E209" s="270"/>
      <c r="F209" s="106"/>
      <c r="G209" s="106"/>
      <c r="H209" s="131"/>
      <c r="I209" s="131"/>
      <c r="J209" s="128"/>
      <c r="K209" s="110"/>
      <c r="L209" s="110"/>
      <c r="M209" s="110"/>
      <c r="N209" s="110"/>
      <c r="O209" s="110"/>
      <c r="P209" s="110"/>
      <c r="Q209" s="110"/>
      <c r="R209" s="110"/>
      <c r="S209" s="110"/>
      <c r="T209" s="110"/>
      <c r="U209" s="110"/>
      <c r="V209" s="110"/>
      <c r="W209" s="110"/>
      <c r="X209" s="110"/>
      <c r="Y209" s="110"/>
      <c r="Z209" s="110"/>
      <c r="AA209" s="110"/>
      <c r="AB209" s="110"/>
      <c r="AC209" s="110"/>
      <c r="AD209" s="110"/>
      <c r="AE209" s="110"/>
      <c r="AF209" s="110"/>
      <c r="AG209" s="110"/>
      <c r="AH209" s="110"/>
      <c r="AI209" s="110"/>
      <c r="AJ209" s="110"/>
      <c r="AK209" s="110"/>
      <c r="AL209" s="110"/>
      <c r="AM209" s="110"/>
      <c r="AN209" s="110"/>
      <c r="AO209" s="110"/>
      <c r="AP209" s="110"/>
      <c r="AQ209" s="110"/>
      <c r="AR209" s="110"/>
      <c r="AS209" s="110"/>
    </row>
    <row r="210" spans="1:45" ht="15" customHeight="1" x14ac:dyDescent="0.3">
      <c r="A210" s="88"/>
      <c r="B210" s="288"/>
      <c r="C210" s="289"/>
      <c r="D210" s="292"/>
      <c r="E210" s="362" t="str">
        <f xml:space="preserve"> 'Inputs_ FS'!E$28</f>
        <v>Copper price: FS</v>
      </c>
      <c r="F210" s="362">
        <f xml:space="preserve"> 'Inputs_ FS'!F$28</f>
        <v>0</v>
      </c>
      <c r="G210" s="362" t="str">
        <f xml:space="preserve"> 'Inputs_ FS'!G$28</f>
        <v>$ /tCu</v>
      </c>
      <c r="H210" s="362" t="str">
        <f xml:space="preserve"> 'Inputs_ FS'!H$28</f>
        <v>M</v>
      </c>
      <c r="I210" s="362">
        <f xml:space="preserve"> 'Inputs_ FS'!I$28</f>
        <v>0</v>
      </c>
      <c r="J210" s="362">
        <f xml:space="preserve"> 'Inputs_ FS'!J$28</f>
        <v>0</v>
      </c>
      <c r="K210" s="362">
        <f xml:space="preserve"> 'Inputs_ FS'!K$28</f>
        <v>0</v>
      </c>
      <c r="L210" s="362">
        <f xml:space="preserve"> 'Inputs_ FS'!L$28</f>
        <v>0</v>
      </c>
      <c r="M210" s="362">
        <f xml:space="preserve"> 'Inputs_ FS'!M$28</f>
        <v>0</v>
      </c>
      <c r="N210" s="362">
        <f xml:space="preserve"> 'Inputs_ FS'!N$28</f>
        <v>0</v>
      </c>
      <c r="O210" s="362">
        <f xml:space="preserve"> 'Inputs_ FS'!O$28</f>
        <v>0</v>
      </c>
      <c r="P210" s="362">
        <f xml:space="preserve"> 'Inputs_ FS'!P$28</f>
        <v>0</v>
      </c>
      <c r="Q210" s="362">
        <f xml:space="preserve"> 'Inputs_ FS'!Q$28</f>
        <v>0</v>
      </c>
      <c r="R210" s="362">
        <f xml:space="preserve"> 'Inputs_ FS'!R$28</f>
        <v>0</v>
      </c>
      <c r="S210" s="362">
        <f xml:space="preserve"> 'Inputs_ FS'!S$28</f>
        <v>0</v>
      </c>
      <c r="T210" s="362">
        <f xml:space="preserve"> 'Inputs_ FS'!T$28</f>
        <v>0</v>
      </c>
      <c r="U210" s="362">
        <f xml:space="preserve"> 'Inputs_ FS'!U$28</f>
        <v>0</v>
      </c>
      <c r="V210" s="362">
        <f xml:space="preserve"> 'Inputs_ FS'!V$28</f>
        <v>5370</v>
      </c>
      <c r="W210" s="362">
        <f xml:space="preserve"> 'Inputs_ FS'!W$28</f>
        <v>6009</v>
      </c>
      <c r="X210" s="362">
        <f xml:space="preserve"> 'Inputs_ FS'!X$28</f>
        <v>5535</v>
      </c>
      <c r="Y210" s="362">
        <f xml:space="preserve"> 'Inputs_ FS'!Y$28</f>
        <v>5998</v>
      </c>
      <c r="Z210" s="362">
        <f xml:space="preserve"> 'Inputs_ FS'!Z$28</f>
        <v>8360</v>
      </c>
      <c r="AA210" s="362">
        <f xml:space="preserve"> 'Inputs_ FS'!AA$28</f>
        <v>6819</v>
      </c>
      <c r="AB210" s="362">
        <f xml:space="preserve"> 'Inputs_ FS'!AB$28</f>
        <v>8000</v>
      </c>
      <c r="AC210" s="362">
        <f xml:space="preserve"> 'Inputs_ FS'!AC$28</f>
        <v>8000</v>
      </c>
      <c r="AD210" s="362">
        <f xml:space="preserve"> 'Inputs_ FS'!AD$28</f>
        <v>8000</v>
      </c>
      <c r="AE210" s="362">
        <f xml:space="preserve"> 'Inputs_ FS'!AE$28</f>
        <v>8000</v>
      </c>
      <c r="AF210" s="362">
        <f xml:space="preserve"> 'Inputs_ FS'!AF$28</f>
        <v>8000</v>
      </c>
      <c r="AG210" s="362">
        <f xml:space="preserve"> 'Inputs_ FS'!AG$28</f>
        <v>8000</v>
      </c>
      <c r="AH210" s="362">
        <f xml:space="preserve"> 'Inputs_ FS'!AH$28</f>
        <v>8000</v>
      </c>
      <c r="AI210" s="362">
        <f xml:space="preserve"> 'Inputs_ FS'!AI$28</f>
        <v>8000</v>
      </c>
      <c r="AJ210" s="362">
        <f xml:space="preserve"> 'Inputs_ FS'!AJ$28</f>
        <v>8000</v>
      </c>
      <c r="AK210" s="362">
        <f xml:space="preserve"> 'Inputs_ FS'!AK$28</f>
        <v>8000</v>
      </c>
      <c r="AL210" s="362">
        <f xml:space="preserve"> 'Inputs_ FS'!AL$28</f>
        <v>0</v>
      </c>
      <c r="AM210" s="362">
        <f xml:space="preserve"> 'Inputs_ FS'!AM$28</f>
        <v>0</v>
      </c>
      <c r="AN210" s="362">
        <f xml:space="preserve"> 'Inputs_ FS'!AN$28</f>
        <v>0</v>
      </c>
      <c r="AO210" s="362">
        <f xml:space="preserve"> 'Inputs_ FS'!AO$28</f>
        <v>0</v>
      </c>
      <c r="AP210" s="362">
        <f xml:space="preserve"> 'Inputs_ FS'!AP$28</f>
        <v>0</v>
      </c>
      <c r="AQ210" s="362">
        <f xml:space="preserve"> 'Inputs_ FS'!AQ$28</f>
        <v>0</v>
      </c>
      <c r="AR210" s="362">
        <f xml:space="preserve"> 'Inputs_ FS'!AO$28</f>
        <v>0</v>
      </c>
      <c r="AS210" s="362">
        <f xml:space="preserve"> 'Inputs_ FS'!AP$28</f>
        <v>0</v>
      </c>
    </row>
    <row r="211" spans="1:45" ht="15" customHeight="1" x14ac:dyDescent="0.3">
      <c r="A211" s="88"/>
      <c r="B211" s="288"/>
      <c r="C211" s="289"/>
      <c r="D211" s="292"/>
      <c r="E211" s="362" t="str">
        <f xml:space="preserve"> 'Inputs_ FS'!E$29</f>
        <v>Copper cathode price</v>
      </c>
      <c r="F211" s="362">
        <f xml:space="preserve"> 'Inputs_ FS'!F$29</f>
        <v>0</v>
      </c>
      <c r="G211" s="362" t="str">
        <f xml:space="preserve"> 'Inputs_ FS'!G$29</f>
        <v>$ /tCu</v>
      </c>
      <c r="H211" s="362" t="str">
        <f xml:space="preserve"> 'Inputs_ FS'!H$29</f>
        <v>M</v>
      </c>
      <c r="I211" s="362">
        <f xml:space="preserve"> 'Inputs_ FS'!I$29</f>
        <v>0</v>
      </c>
      <c r="J211" s="362">
        <f xml:space="preserve"> 'Inputs_ FS'!J$29</f>
        <v>0</v>
      </c>
      <c r="K211" s="362">
        <f xml:space="preserve"> 'Inputs_ FS'!K$29</f>
        <v>0</v>
      </c>
      <c r="L211" s="362">
        <f xml:space="preserve"> 'Inputs_ FS'!L$29</f>
        <v>0</v>
      </c>
      <c r="M211" s="362">
        <f xml:space="preserve"> 'Inputs_ FS'!M$29</f>
        <v>0</v>
      </c>
      <c r="N211" s="362">
        <f xml:space="preserve"> 'Inputs_ FS'!N$29</f>
        <v>0</v>
      </c>
      <c r="O211" s="362">
        <f xml:space="preserve"> 'Inputs_ FS'!O$29</f>
        <v>0</v>
      </c>
      <c r="P211" s="362">
        <f xml:space="preserve"> 'Inputs_ FS'!P$29</f>
        <v>0</v>
      </c>
      <c r="Q211" s="362">
        <f xml:space="preserve"> 'Inputs_ FS'!Q$29</f>
        <v>0</v>
      </c>
      <c r="R211" s="362">
        <f xml:space="preserve"> 'Inputs_ FS'!R$29</f>
        <v>0</v>
      </c>
      <c r="S211" s="362">
        <f xml:space="preserve"> 'Inputs_ FS'!S$29</f>
        <v>0</v>
      </c>
      <c r="T211" s="362">
        <f xml:space="preserve"> 'Inputs_ FS'!T$29</f>
        <v>0</v>
      </c>
      <c r="U211" s="362">
        <f xml:space="preserve"> 'Inputs_ FS'!U$29</f>
        <v>0</v>
      </c>
      <c r="V211" s="362">
        <f xml:space="preserve"> 'Inputs_ FS'!V$29</f>
        <v>0</v>
      </c>
      <c r="W211" s="362">
        <f xml:space="preserve"> 'Inputs_ FS'!W$29</f>
        <v>0</v>
      </c>
      <c r="X211" s="362">
        <f xml:space="preserve"> 'Inputs_ FS'!X$29</f>
        <v>5535</v>
      </c>
      <c r="Y211" s="362">
        <f xml:space="preserve"> 'Inputs_ FS'!Y$29</f>
        <v>5998</v>
      </c>
      <c r="Z211" s="362">
        <f xml:space="preserve"> 'Inputs_ FS'!Z$29</f>
        <v>8360</v>
      </c>
      <c r="AA211" s="362">
        <f xml:space="preserve"> 'Inputs_ FS'!AA$29</f>
        <v>6819</v>
      </c>
      <c r="AB211" s="362">
        <f xml:space="preserve"> 'Inputs_ FS'!AB$29</f>
        <v>8000</v>
      </c>
      <c r="AC211" s="362">
        <f xml:space="preserve"> 'Inputs_ FS'!AC$29</f>
        <v>8000</v>
      </c>
      <c r="AD211" s="362">
        <f xml:space="preserve"> 'Inputs_ FS'!AD$29</f>
        <v>8000</v>
      </c>
      <c r="AE211" s="362">
        <f xml:space="preserve"> 'Inputs_ FS'!AE$29</f>
        <v>8000</v>
      </c>
      <c r="AF211" s="362">
        <f xml:space="preserve"> 'Inputs_ FS'!AF$29</f>
        <v>8000</v>
      </c>
      <c r="AG211" s="362">
        <f xml:space="preserve"> 'Inputs_ FS'!AG$29</f>
        <v>8000</v>
      </c>
      <c r="AH211" s="362">
        <f xml:space="preserve"> 'Inputs_ FS'!AH$29</f>
        <v>8000</v>
      </c>
      <c r="AI211" s="362">
        <f xml:space="preserve"> 'Inputs_ FS'!AI$29</f>
        <v>8000</v>
      </c>
      <c r="AJ211" s="362">
        <f xml:space="preserve"> 'Inputs_ FS'!AJ$29</f>
        <v>8000</v>
      </c>
      <c r="AK211" s="362">
        <f xml:space="preserve"> 'Inputs_ FS'!AK$29</f>
        <v>8000</v>
      </c>
      <c r="AL211" s="362">
        <f xml:space="preserve"> 'Inputs_ FS'!AL$29</f>
        <v>0</v>
      </c>
      <c r="AM211" s="362">
        <f xml:space="preserve"> 'Inputs_ FS'!AM$29</f>
        <v>0</v>
      </c>
      <c r="AN211" s="362">
        <f xml:space="preserve"> 'Inputs_ FS'!AN$29</f>
        <v>0</v>
      </c>
      <c r="AO211" s="362">
        <f xml:space="preserve"> 'Inputs_ FS'!AO$29</f>
        <v>0</v>
      </c>
      <c r="AP211" s="362">
        <f xml:space="preserve"> 'Inputs_ FS'!AP$29</f>
        <v>0</v>
      </c>
      <c r="AQ211" s="362">
        <f xml:space="preserve"> 'Inputs_ FS'!AQ$29</f>
        <v>0</v>
      </c>
      <c r="AR211" s="362">
        <f xml:space="preserve"> 'Inputs_ FS'!AO$29</f>
        <v>0</v>
      </c>
      <c r="AS211" s="362">
        <f xml:space="preserve"> 'Inputs_ FS'!AP$29</f>
        <v>0</v>
      </c>
    </row>
    <row r="212" spans="1:45" ht="15" customHeight="1" x14ac:dyDescent="0.3">
      <c r="A212" s="88"/>
      <c r="B212" s="288"/>
      <c r="C212" s="289"/>
      <c r="D212" s="292"/>
      <c r="E212" s="362" t="str">
        <f xml:space="preserve"> 'Inputs_ FS'!E$30</f>
        <v>Blister copper price</v>
      </c>
      <c r="F212" s="362">
        <f xml:space="preserve"> 'Inputs_ FS'!F$30</f>
        <v>0</v>
      </c>
      <c r="G212" s="362" t="str">
        <f xml:space="preserve"> 'Inputs_ FS'!G$30</f>
        <v>$ /tCu</v>
      </c>
      <c r="H212" s="362" t="str">
        <f xml:space="preserve"> 'Inputs_ FS'!H$30</f>
        <v>M</v>
      </c>
      <c r="I212" s="362">
        <f xml:space="preserve"> 'Inputs_ FS'!I$30</f>
        <v>0</v>
      </c>
      <c r="J212" s="362">
        <f xml:space="preserve"> 'Inputs_ FS'!J$30</f>
        <v>0</v>
      </c>
      <c r="K212" s="362">
        <f xml:space="preserve"> 'Inputs_ FS'!K$30</f>
        <v>0</v>
      </c>
      <c r="L212" s="362">
        <f xml:space="preserve"> 'Inputs_ FS'!L$30</f>
        <v>0</v>
      </c>
      <c r="M212" s="362">
        <f xml:space="preserve"> 'Inputs_ FS'!M$30</f>
        <v>0</v>
      </c>
      <c r="N212" s="362">
        <f xml:space="preserve"> 'Inputs_ FS'!N$30</f>
        <v>0</v>
      </c>
      <c r="O212" s="362">
        <f xml:space="preserve"> 'Inputs_ FS'!O$30</f>
        <v>0</v>
      </c>
      <c r="P212" s="362">
        <f xml:space="preserve"> 'Inputs_ FS'!P$30</f>
        <v>0</v>
      </c>
      <c r="Q212" s="362">
        <f xml:space="preserve"> 'Inputs_ FS'!Q$30</f>
        <v>0</v>
      </c>
      <c r="R212" s="362">
        <f xml:space="preserve"> 'Inputs_ FS'!R$30</f>
        <v>0</v>
      </c>
      <c r="S212" s="362">
        <f xml:space="preserve"> 'Inputs_ FS'!S$30</f>
        <v>0</v>
      </c>
      <c r="T212" s="362">
        <f xml:space="preserve"> 'Inputs_ FS'!T$30</f>
        <v>0</v>
      </c>
      <c r="U212" s="362">
        <f xml:space="preserve"> 'Inputs_ FS'!U$30</f>
        <v>0</v>
      </c>
      <c r="V212" s="362">
        <f xml:space="preserve"> 'Inputs_ FS'!V$30</f>
        <v>5354</v>
      </c>
      <c r="W212" s="362">
        <f xml:space="preserve"> 'Inputs_ FS'!W$30</f>
        <v>5991</v>
      </c>
      <c r="X212" s="362">
        <f xml:space="preserve"> 'Inputs_ FS'!X$30</f>
        <v>5519</v>
      </c>
      <c r="Y212" s="362">
        <f xml:space="preserve"> 'Inputs_ FS'!Y$30</f>
        <v>5980</v>
      </c>
      <c r="Z212" s="362">
        <f xml:space="preserve"> 'Inputs_ FS'!Z$30</f>
        <v>8335</v>
      </c>
      <c r="AA212" s="362">
        <f xml:space="preserve"> 'Inputs_ FS'!AA$30</f>
        <v>6798</v>
      </c>
      <c r="AB212" s="362">
        <f xml:space="preserve"> 'Inputs_ FS'!AB$30</f>
        <v>7976</v>
      </c>
      <c r="AC212" s="362">
        <f xml:space="preserve"> 'Inputs_ FS'!AC$30</f>
        <v>7976</v>
      </c>
      <c r="AD212" s="362">
        <f xml:space="preserve"> 'Inputs_ FS'!AD$30</f>
        <v>7976</v>
      </c>
      <c r="AE212" s="362">
        <f xml:space="preserve"> 'Inputs_ FS'!AE$30</f>
        <v>7976</v>
      </c>
      <c r="AF212" s="362">
        <f xml:space="preserve"> 'Inputs_ FS'!AF$30</f>
        <v>7976</v>
      </c>
      <c r="AG212" s="362">
        <f xml:space="preserve"> 'Inputs_ FS'!AG$30</f>
        <v>7976</v>
      </c>
      <c r="AH212" s="362">
        <f xml:space="preserve"> 'Inputs_ FS'!AH$30</f>
        <v>7976</v>
      </c>
      <c r="AI212" s="362">
        <f xml:space="preserve"> 'Inputs_ FS'!AI$30</f>
        <v>7976</v>
      </c>
      <c r="AJ212" s="362">
        <f xml:space="preserve"> 'Inputs_ FS'!AJ$30</f>
        <v>7976</v>
      </c>
      <c r="AK212" s="362">
        <f xml:space="preserve"> 'Inputs_ FS'!AK$30</f>
        <v>7976</v>
      </c>
      <c r="AL212" s="362">
        <f xml:space="preserve"> 'Inputs_ FS'!AL$30</f>
        <v>0</v>
      </c>
      <c r="AM212" s="362">
        <f xml:space="preserve"> 'Inputs_ FS'!AM$30</f>
        <v>0</v>
      </c>
      <c r="AN212" s="362">
        <f xml:space="preserve"> 'Inputs_ FS'!AN$30</f>
        <v>0</v>
      </c>
      <c r="AO212" s="362">
        <f xml:space="preserve"> 'Inputs_ FS'!AO$30</f>
        <v>0</v>
      </c>
      <c r="AP212" s="362">
        <f xml:space="preserve"> 'Inputs_ FS'!AP$30</f>
        <v>0</v>
      </c>
      <c r="AQ212" s="362">
        <f xml:space="preserve"> 'Inputs_ FS'!AQ$30</f>
        <v>0</v>
      </c>
      <c r="AR212" s="362">
        <f xml:space="preserve"> 'Inputs_ FS'!AO$30</f>
        <v>0</v>
      </c>
      <c r="AS212" s="362">
        <f xml:space="preserve"> 'Inputs_ FS'!AP$30</f>
        <v>0</v>
      </c>
    </row>
    <row r="213" spans="1:45" ht="15" customHeight="1" x14ac:dyDescent="0.3">
      <c r="A213" s="88"/>
      <c r="B213" s="288"/>
      <c r="C213" s="289"/>
      <c r="D213" s="292"/>
      <c r="E213" s="362" t="str">
        <f xml:space="preserve"> 'Inputs_ FS'!E$31</f>
        <v>Copper matt price</v>
      </c>
      <c r="F213" s="362">
        <f xml:space="preserve"> 'Inputs_ FS'!F$31</f>
        <v>0</v>
      </c>
      <c r="G213" s="362" t="str">
        <f xml:space="preserve"> 'Inputs_ FS'!G$31</f>
        <v>$ /tCu</v>
      </c>
      <c r="H213" s="362" t="str">
        <f xml:space="preserve"> 'Inputs_ FS'!H$31</f>
        <v>M</v>
      </c>
      <c r="I213" s="362">
        <f xml:space="preserve"> 'Inputs_ FS'!I$31</f>
        <v>0</v>
      </c>
      <c r="J213" s="362">
        <f xml:space="preserve"> 'Inputs_ FS'!J$31</f>
        <v>0</v>
      </c>
      <c r="K213" s="362">
        <f xml:space="preserve"> 'Inputs_ FS'!K$31</f>
        <v>0</v>
      </c>
      <c r="L213" s="362">
        <f xml:space="preserve"> 'Inputs_ FS'!L$31</f>
        <v>0</v>
      </c>
      <c r="M213" s="362">
        <f xml:space="preserve"> 'Inputs_ FS'!M$31</f>
        <v>0</v>
      </c>
      <c r="N213" s="362">
        <f xml:space="preserve"> 'Inputs_ FS'!N$31</f>
        <v>0</v>
      </c>
      <c r="O213" s="362">
        <f xml:space="preserve"> 'Inputs_ FS'!O$31</f>
        <v>0</v>
      </c>
      <c r="P213" s="362">
        <f xml:space="preserve"> 'Inputs_ FS'!P$31</f>
        <v>0</v>
      </c>
      <c r="Q213" s="362">
        <f xml:space="preserve"> 'Inputs_ FS'!Q$31</f>
        <v>0</v>
      </c>
      <c r="R213" s="362">
        <f xml:space="preserve"> 'Inputs_ FS'!R$31</f>
        <v>0</v>
      </c>
      <c r="S213" s="362">
        <f xml:space="preserve"> 'Inputs_ FS'!S$31</f>
        <v>0</v>
      </c>
      <c r="T213" s="362">
        <f xml:space="preserve"> 'Inputs_ FS'!T$31</f>
        <v>0</v>
      </c>
      <c r="U213" s="362">
        <f xml:space="preserve"> 'Inputs_ FS'!U$31</f>
        <v>0</v>
      </c>
      <c r="V213" s="362">
        <f xml:space="preserve"> 'Inputs_ FS'!V$31</f>
        <v>4296</v>
      </c>
      <c r="W213" s="362">
        <f xml:space="preserve"> 'Inputs_ FS'!W$31</f>
        <v>4807</v>
      </c>
      <c r="X213" s="362">
        <f xml:space="preserve"> 'Inputs_ FS'!X$31</f>
        <v>4428</v>
      </c>
      <c r="Y213" s="362">
        <f xml:space="preserve"> 'Inputs_ FS'!Y$31</f>
        <v>4799</v>
      </c>
      <c r="Z213" s="362">
        <f xml:space="preserve"> 'Inputs_ FS'!Z$31</f>
        <v>6688</v>
      </c>
      <c r="AA213" s="362">
        <f xml:space="preserve"> 'Inputs_ FS'!AA$31</f>
        <v>5455</v>
      </c>
      <c r="AB213" s="362">
        <f xml:space="preserve"> 'Inputs_ FS'!AB$31</f>
        <v>6400</v>
      </c>
      <c r="AC213" s="362">
        <f xml:space="preserve"> 'Inputs_ FS'!AC$31</f>
        <v>6400</v>
      </c>
      <c r="AD213" s="362">
        <f xml:space="preserve"> 'Inputs_ FS'!AD$31</f>
        <v>6400</v>
      </c>
      <c r="AE213" s="362">
        <f xml:space="preserve"> 'Inputs_ FS'!AE$31</f>
        <v>6400</v>
      </c>
      <c r="AF213" s="362">
        <f xml:space="preserve"> 'Inputs_ FS'!AF$31</f>
        <v>6400</v>
      </c>
      <c r="AG213" s="362">
        <f xml:space="preserve"> 'Inputs_ FS'!AG$31</f>
        <v>6400</v>
      </c>
      <c r="AH213" s="362">
        <f xml:space="preserve"> 'Inputs_ FS'!AH$31</f>
        <v>6400</v>
      </c>
      <c r="AI213" s="362">
        <f xml:space="preserve"> 'Inputs_ FS'!AI$31</f>
        <v>6400</v>
      </c>
      <c r="AJ213" s="362">
        <f xml:space="preserve"> 'Inputs_ FS'!AJ$31</f>
        <v>6400</v>
      </c>
      <c r="AK213" s="362">
        <f xml:space="preserve"> 'Inputs_ FS'!AK$31</f>
        <v>6400</v>
      </c>
      <c r="AL213" s="362">
        <f xml:space="preserve"> 'Inputs_ FS'!AL$31</f>
        <v>0</v>
      </c>
      <c r="AM213" s="362">
        <f xml:space="preserve"> 'Inputs_ FS'!AM$31</f>
        <v>0</v>
      </c>
      <c r="AN213" s="362">
        <f xml:space="preserve"> 'Inputs_ FS'!AN$31</f>
        <v>0</v>
      </c>
      <c r="AO213" s="362">
        <f xml:space="preserve"> 'Inputs_ FS'!AO$31</f>
        <v>0</v>
      </c>
      <c r="AP213" s="362">
        <f xml:space="preserve"> 'Inputs_ FS'!AP$31</f>
        <v>0</v>
      </c>
      <c r="AQ213" s="362">
        <f xml:space="preserve"> 'Inputs_ FS'!AQ$31</f>
        <v>0</v>
      </c>
      <c r="AR213" s="362">
        <f xml:space="preserve"> 'Inputs_ FS'!AO$31</f>
        <v>0</v>
      </c>
      <c r="AS213" s="362">
        <f xml:space="preserve"> 'Inputs_ FS'!AP$31</f>
        <v>0</v>
      </c>
    </row>
    <row r="214" spans="1:45" ht="15" customHeight="1" x14ac:dyDescent="0.3">
      <c r="A214" s="88"/>
      <c r="B214" s="288"/>
      <c r="C214" s="289"/>
      <c r="D214" s="292"/>
      <c r="E214" s="362" t="str">
        <f xml:space="preserve"> 'Inputs_ FS'!E$32</f>
        <v>Copper sulfide concentrates price</v>
      </c>
      <c r="F214" s="362">
        <f xml:space="preserve"> 'Inputs_ FS'!F$32</f>
        <v>0</v>
      </c>
      <c r="G214" s="362" t="str">
        <f xml:space="preserve"> 'Inputs_ FS'!G$32</f>
        <v>$ /tCu</v>
      </c>
      <c r="H214" s="362" t="str">
        <f xml:space="preserve"> 'Inputs_ FS'!H$32</f>
        <v>M</v>
      </c>
      <c r="I214" s="362">
        <f xml:space="preserve"> 'Inputs_ FS'!I$32</f>
        <v>0</v>
      </c>
      <c r="J214" s="362">
        <f xml:space="preserve"> 'Inputs_ FS'!J$32</f>
        <v>0</v>
      </c>
      <c r="K214" s="362">
        <f xml:space="preserve"> 'Inputs_ FS'!K$32</f>
        <v>0</v>
      </c>
      <c r="L214" s="362">
        <f xml:space="preserve"> 'Inputs_ FS'!L$32</f>
        <v>0</v>
      </c>
      <c r="M214" s="362">
        <f xml:space="preserve"> 'Inputs_ FS'!M$32</f>
        <v>0</v>
      </c>
      <c r="N214" s="362">
        <f xml:space="preserve"> 'Inputs_ FS'!N$32</f>
        <v>0</v>
      </c>
      <c r="O214" s="362">
        <f xml:space="preserve"> 'Inputs_ FS'!O$32</f>
        <v>0</v>
      </c>
      <c r="P214" s="362">
        <f xml:space="preserve"> 'Inputs_ FS'!P$32</f>
        <v>0</v>
      </c>
      <c r="Q214" s="362">
        <f xml:space="preserve"> 'Inputs_ FS'!Q$32</f>
        <v>0</v>
      </c>
      <c r="R214" s="362">
        <f xml:space="preserve"> 'Inputs_ FS'!R$32</f>
        <v>0</v>
      </c>
      <c r="S214" s="362">
        <f xml:space="preserve"> 'Inputs_ FS'!S$32</f>
        <v>0</v>
      </c>
      <c r="T214" s="362">
        <f xml:space="preserve"> 'Inputs_ FS'!T$32</f>
        <v>0</v>
      </c>
      <c r="U214" s="362">
        <f xml:space="preserve"> 'Inputs_ FS'!U$32</f>
        <v>0</v>
      </c>
      <c r="V214" s="362">
        <f xml:space="preserve"> 'Inputs_ FS'!V$32</f>
        <v>1123</v>
      </c>
      <c r="W214" s="362">
        <f xml:space="preserve"> 'Inputs_ FS'!W$32</f>
        <v>833</v>
      </c>
      <c r="X214" s="362">
        <f xml:space="preserve"> 'Inputs_ FS'!X$32</f>
        <v>815</v>
      </c>
      <c r="Y214" s="362">
        <f xml:space="preserve"> 'Inputs_ FS'!Y$32</f>
        <v>2096</v>
      </c>
      <c r="Z214" s="362">
        <f xml:space="preserve"> 'Inputs_ FS'!Z$32</f>
        <v>2447</v>
      </c>
      <c r="AA214" s="362">
        <f xml:space="preserve"> 'Inputs_ FS'!AA$32</f>
        <v>6001</v>
      </c>
      <c r="AB214" s="362">
        <f xml:space="preserve"> 'Inputs_ FS'!AB$32</f>
        <v>7040</v>
      </c>
      <c r="AC214" s="362">
        <f xml:space="preserve"> 'Inputs_ FS'!AC$32</f>
        <v>7040</v>
      </c>
      <c r="AD214" s="362">
        <f xml:space="preserve"> 'Inputs_ FS'!AD$32</f>
        <v>7040</v>
      </c>
      <c r="AE214" s="362">
        <f xml:space="preserve"> 'Inputs_ FS'!AE$32</f>
        <v>7040</v>
      </c>
      <c r="AF214" s="362">
        <f xml:space="preserve"> 'Inputs_ FS'!AF$32</f>
        <v>7040</v>
      </c>
      <c r="AG214" s="362">
        <f xml:space="preserve"> 'Inputs_ FS'!AG$32</f>
        <v>7040</v>
      </c>
      <c r="AH214" s="362">
        <f xml:space="preserve"> 'Inputs_ FS'!AH$32</f>
        <v>7040</v>
      </c>
      <c r="AI214" s="362">
        <f xml:space="preserve"> 'Inputs_ FS'!AI$32</f>
        <v>7040</v>
      </c>
      <c r="AJ214" s="362">
        <f xml:space="preserve"> 'Inputs_ FS'!AJ$32</f>
        <v>7040</v>
      </c>
      <c r="AK214" s="362">
        <f xml:space="preserve"> 'Inputs_ FS'!AK$32</f>
        <v>7040</v>
      </c>
      <c r="AL214" s="362">
        <f xml:space="preserve"> 'Inputs_ FS'!AL$32</f>
        <v>0</v>
      </c>
      <c r="AM214" s="362">
        <f xml:space="preserve"> 'Inputs_ FS'!AM$32</f>
        <v>0</v>
      </c>
      <c r="AN214" s="362">
        <f xml:space="preserve"> 'Inputs_ FS'!AN$32</f>
        <v>0</v>
      </c>
      <c r="AO214" s="362">
        <f xml:space="preserve"> 'Inputs_ FS'!AO$32</f>
        <v>0</v>
      </c>
      <c r="AP214" s="362">
        <f xml:space="preserve"> 'Inputs_ FS'!AP$32</f>
        <v>0</v>
      </c>
      <c r="AQ214" s="362">
        <f xml:space="preserve"> 'Inputs_ FS'!AQ$32</f>
        <v>0</v>
      </c>
      <c r="AR214" s="362">
        <f xml:space="preserve"> 'Inputs_ FS'!AO$32</f>
        <v>0</v>
      </c>
      <c r="AS214" s="362">
        <f xml:space="preserve"> 'Inputs_ FS'!AP$32</f>
        <v>0</v>
      </c>
    </row>
    <row r="215" spans="1:45" ht="15" customHeight="1" x14ac:dyDescent="0.3">
      <c r="A215" s="88"/>
      <c r="B215" s="288"/>
      <c r="C215" s="289"/>
      <c r="D215" s="292"/>
      <c r="E215" s="362" t="str">
        <f xml:space="preserve"> 'Inputs_ FS'!E$33</f>
        <v>Copper oxide concentrates price</v>
      </c>
      <c r="F215" s="362">
        <f xml:space="preserve"> 'Inputs_ FS'!F$33</f>
        <v>0</v>
      </c>
      <c r="G215" s="362" t="str">
        <f xml:space="preserve"> 'Inputs_ FS'!G$33</f>
        <v>$ /tCu</v>
      </c>
      <c r="H215" s="362" t="str">
        <f xml:space="preserve"> 'Inputs_ FS'!H$33</f>
        <v>M</v>
      </c>
      <c r="I215" s="362">
        <f xml:space="preserve"> 'Inputs_ FS'!I$33</f>
        <v>0</v>
      </c>
      <c r="J215" s="362">
        <f xml:space="preserve"> 'Inputs_ FS'!J$33</f>
        <v>0</v>
      </c>
      <c r="K215" s="362">
        <f xml:space="preserve"> 'Inputs_ FS'!K$33</f>
        <v>0</v>
      </c>
      <c r="L215" s="362">
        <f xml:space="preserve"> 'Inputs_ FS'!L$33</f>
        <v>0</v>
      </c>
      <c r="M215" s="362">
        <f xml:space="preserve"> 'Inputs_ FS'!M$33</f>
        <v>0</v>
      </c>
      <c r="N215" s="362">
        <f xml:space="preserve"> 'Inputs_ FS'!N$33</f>
        <v>0</v>
      </c>
      <c r="O215" s="362">
        <f xml:space="preserve"> 'Inputs_ FS'!O$33</f>
        <v>0</v>
      </c>
      <c r="P215" s="362">
        <f xml:space="preserve"> 'Inputs_ FS'!P$33</f>
        <v>0</v>
      </c>
      <c r="Q215" s="362">
        <f xml:space="preserve"> 'Inputs_ FS'!Q$33</f>
        <v>0</v>
      </c>
      <c r="R215" s="362">
        <f xml:space="preserve"> 'Inputs_ FS'!R$33</f>
        <v>0</v>
      </c>
      <c r="S215" s="362">
        <f xml:space="preserve"> 'Inputs_ FS'!S$33</f>
        <v>0</v>
      </c>
      <c r="T215" s="362">
        <f xml:space="preserve"> 'Inputs_ FS'!T$33</f>
        <v>0</v>
      </c>
      <c r="U215" s="362">
        <f xml:space="preserve"> 'Inputs_ FS'!U$33</f>
        <v>0</v>
      </c>
      <c r="V215" s="362">
        <f xml:space="preserve"> 'Inputs_ FS'!V$33</f>
        <v>2685</v>
      </c>
      <c r="W215" s="362">
        <f xml:space="preserve"> 'Inputs_ FS'!W$33</f>
        <v>3005</v>
      </c>
      <c r="X215" s="362">
        <f xml:space="preserve"> 'Inputs_ FS'!X$33</f>
        <v>2768</v>
      </c>
      <c r="Y215" s="362">
        <f xml:space="preserve"> 'Inputs_ FS'!Y$33</f>
        <v>2999</v>
      </c>
      <c r="Z215" s="362">
        <f xml:space="preserve"> 'Inputs_ FS'!Z$33</f>
        <v>4180</v>
      </c>
      <c r="AA215" s="362">
        <f xml:space="preserve"> 'Inputs_ FS'!AA$33</f>
        <v>3409</v>
      </c>
      <c r="AB215" s="362">
        <f xml:space="preserve"> 'Inputs_ FS'!AB$33</f>
        <v>4000</v>
      </c>
      <c r="AC215" s="362">
        <f xml:space="preserve"> 'Inputs_ FS'!AC$33</f>
        <v>4000</v>
      </c>
      <c r="AD215" s="362">
        <f xml:space="preserve"> 'Inputs_ FS'!AD$33</f>
        <v>4000</v>
      </c>
      <c r="AE215" s="362">
        <f xml:space="preserve"> 'Inputs_ FS'!AE$33</f>
        <v>4000</v>
      </c>
      <c r="AF215" s="362">
        <f xml:space="preserve"> 'Inputs_ FS'!AF$33</f>
        <v>4000</v>
      </c>
      <c r="AG215" s="362">
        <f xml:space="preserve"> 'Inputs_ FS'!AG$33</f>
        <v>4000</v>
      </c>
      <c r="AH215" s="362">
        <f xml:space="preserve"> 'Inputs_ FS'!AH$33</f>
        <v>4000</v>
      </c>
      <c r="AI215" s="362">
        <f xml:space="preserve"> 'Inputs_ FS'!AI$33</f>
        <v>4000</v>
      </c>
      <c r="AJ215" s="362">
        <f xml:space="preserve"> 'Inputs_ FS'!AJ$33</f>
        <v>4000</v>
      </c>
      <c r="AK215" s="362">
        <f xml:space="preserve"> 'Inputs_ FS'!AK$33</f>
        <v>4000</v>
      </c>
      <c r="AL215" s="362">
        <f xml:space="preserve"> 'Inputs_ FS'!AL$33</f>
        <v>0</v>
      </c>
      <c r="AM215" s="362">
        <f xml:space="preserve"> 'Inputs_ FS'!AM$33</f>
        <v>0</v>
      </c>
      <c r="AN215" s="362">
        <f xml:space="preserve"> 'Inputs_ FS'!AN$33</f>
        <v>0</v>
      </c>
      <c r="AO215" s="362">
        <f xml:space="preserve"> 'Inputs_ FS'!AO$33</f>
        <v>0</v>
      </c>
      <c r="AP215" s="362">
        <f xml:space="preserve"> 'Inputs_ FS'!AP$33</f>
        <v>0</v>
      </c>
      <c r="AQ215" s="362">
        <f xml:space="preserve"> 'Inputs_ FS'!AQ$33</f>
        <v>0</v>
      </c>
      <c r="AR215" s="362">
        <f xml:space="preserve"> 'Inputs_ FS'!AO$33</f>
        <v>0</v>
      </c>
      <c r="AS215" s="362">
        <f xml:space="preserve"> 'Inputs_ FS'!AP$33</f>
        <v>0</v>
      </c>
    </row>
    <row r="216" spans="1:45" ht="15" customHeight="1" x14ac:dyDescent="0.3">
      <c r="A216" s="88"/>
      <c r="B216" s="288"/>
      <c r="C216" s="289"/>
      <c r="D216" s="292"/>
      <c r="E216" s="362"/>
      <c r="F216" s="362"/>
      <c r="G216" s="362"/>
      <c r="H216" s="362"/>
      <c r="I216" s="362"/>
      <c r="J216" s="362"/>
      <c r="K216" s="362"/>
      <c r="L216" s="362"/>
      <c r="M216" s="362"/>
      <c r="N216" s="362"/>
      <c r="O216" s="362"/>
      <c r="P216" s="362"/>
      <c r="Q216" s="362"/>
      <c r="R216" s="362"/>
      <c r="S216" s="362"/>
      <c r="T216" s="362"/>
      <c r="U216" s="362"/>
      <c r="V216" s="362"/>
      <c r="W216" s="362"/>
      <c r="X216" s="362"/>
      <c r="Y216" s="362"/>
      <c r="Z216" s="362"/>
      <c r="AA216" s="362"/>
      <c r="AB216" s="362"/>
      <c r="AC216" s="362"/>
      <c r="AD216" s="362"/>
      <c r="AE216" s="362"/>
      <c r="AF216" s="362"/>
      <c r="AG216" s="362"/>
      <c r="AH216" s="362"/>
      <c r="AI216" s="362"/>
      <c r="AJ216" s="362"/>
      <c r="AK216" s="362"/>
      <c r="AL216" s="362"/>
      <c r="AM216" s="362"/>
      <c r="AN216" s="362"/>
      <c r="AO216" s="362"/>
      <c r="AP216" s="362"/>
      <c r="AQ216" s="362"/>
      <c r="AR216" s="362"/>
      <c r="AS216" s="362"/>
    </row>
    <row r="217" spans="1:45" ht="15" customHeight="1" x14ac:dyDescent="0.3">
      <c r="A217" s="168"/>
      <c r="B217" s="374"/>
      <c r="C217" s="375"/>
      <c r="D217" s="376"/>
      <c r="E217" s="293" t="s">
        <v>1021</v>
      </c>
      <c r="F217" s="293"/>
      <c r="G217" s="293" t="s">
        <v>160</v>
      </c>
      <c r="H217" s="293"/>
      <c r="I217" s="293"/>
      <c r="J217" s="293"/>
      <c r="K217" s="293">
        <f t="shared" ref="K217:AS217" si="243">(K2 &gt; 2022) * 1</f>
        <v>0</v>
      </c>
      <c r="L217" s="293">
        <f t="shared" si="243"/>
        <v>0</v>
      </c>
      <c r="M217" s="293">
        <f t="shared" si="243"/>
        <v>0</v>
      </c>
      <c r="N217" s="293">
        <f t="shared" si="243"/>
        <v>0</v>
      </c>
      <c r="O217" s="293">
        <f t="shared" si="243"/>
        <v>0</v>
      </c>
      <c r="P217" s="293">
        <f t="shared" si="243"/>
        <v>0</v>
      </c>
      <c r="Q217" s="293">
        <f t="shared" si="243"/>
        <v>0</v>
      </c>
      <c r="R217" s="293">
        <f t="shared" si="243"/>
        <v>0</v>
      </c>
      <c r="S217" s="293">
        <f t="shared" si="243"/>
        <v>0</v>
      </c>
      <c r="T217" s="293">
        <f t="shared" si="243"/>
        <v>0</v>
      </c>
      <c r="U217" s="293">
        <f t="shared" si="243"/>
        <v>0</v>
      </c>
      <c r="V217" s="293">
        <f t="shared" si="243"/>
        <v>0</v>
      </c>
      <c r="W217" s="293">
        <f t="shared" si="243"/>
        <v>0</v>
      </c>
      <c r="X217" s="293">
        <f t="shared" si="243"/>
        <v>0</v>
      </c>
      <c r="Y217" s="293">
        <f t="shared" si="243"/>
        <v>0</v>
      </c>
      <c r="Z217" s="293">
        <f t="shared" si="243"/>
        <v>0</v>
      </c>
      <c r="AA217" s="293">
        <f t="shared" si="243"/>
        <v>0</v>
      </c>
      <c r="AB217" s="293">
        <f t="shared" si="243"/>
        <v>1</v>
      </c>
      <c r="AC217" s="293">
        <f t="shared" si="243"/>
        <v>1</v>
      </c>
      <c r="AD217" s="293">
        <f t="shared" si="243"/>
        <v>1</v>
      </c>
      <c r="AE217" s="293">
        <f t="shared" si="243"/>
        <v>1</v>
      </c>
      <c r="AF217" s="293">
        <f t="shared" si="243"/>
        <v>1</v>
      </c>
      <c r="AG217" s="293">
        <f t="shared" si="243"/>
        <v>1</v>
      </c>
      <c r="AH217" s="293">
        <f t="shared" si="243"/>
        <v>1</v>
      </c>
      <c r="AI217" s="293">
        <f t="shared" si="243"/>
        <v>1</v>
      </c>
      <c r="AJ217" s="293">
        <f t="shared" si="243"/>
        <v>1</v>
      </c>
      <c r="AK217" s="293">
        <f t="shared" si="243"/>
        <v>1</v>
      </c>
      <c r="AL217" s="293">
        <f t="shared" si="243"/>
        <v>1</v>
      </c>
      <c r="AM217" s="293">
        <f t="shared" si="243"/>
        <v>1</v>
      </c>
      <c r="AN217" s="293">
        <f t="shared" si="243"/>
        <v>1</v>
      </c>
      <c r="AO217" s="293">
        <f t="shared" si="243"/>
        <v>1</v>
      </c>
      <c r="AP217" s="293">
        <f t="shared" si="243"/>
        <v>1</v>
      </c>
      <c r="AQ217" s="293">
        <f t="shared" si="243"/>
        <v>1</v>
      </c>
      <c r="AR217" s="293">
        <f t="shared" si="243"/>
        <v>1</v>
      </c>
      <c r="AS217" s="293">
        <f t="shared" si="243"/>
        <v>1</v>
      </c>
    </row>
    <row r="218" spans="1:45" ht="15" customHeight="1" x14ac:dyDescent="0.3">
      <c r="A218" s="88"/>
      <c r="B218" s="288"/>
      <c r="C218" s="289"/>
      <c r="D218" s="292"/>
      <c r="E218" s="362"/>
      <c r="F218" s="362"/>
      <c r="G218" s="362"/>
      <c r="H218" s="362"/>
      <c r="I218" s="362"/>
      <c r="J218" s="362"/>
      <c r="K218" s="362"/>
      <c r="L218" s="362"/>
      <c r="M218" s="362"/>
      <c r="N218" s="362"/>
      <c r="O218" s="362"/>
      <c r="P218" s="362"/>
      <c r="Q218" s="362"/>
      <c r="R218" s="362"/>
      <c r="S218" s="362"/>
      <c r="T218" s="362"/>
      <c r="U218" s="362"/>
      <c r="V218" s="362"/>
      <c r="W218" s="362"/>
      <c r="X218" s="362"/>
      <c r="Y218" s="362"/>
      <c r="Z218" s="362"/>
      <c r="AA218" s="362"/>
      <c r="AB218" s="362"/>
      <c r="AC218" s="362"/>
      <c r="AD218" s="362"/>
      <c r="AE218" s="362"/>
      <c r="AF218" s="362"/>
      <c r="AG218" s="362"/>
      <c r="AH218" s="362"/>
      <c r="AI218" s="362"/>
      <c r="AJ218" s="362"/>
      <c r="AK218" s="362"/>
      <c r="AL218" s="362"/>
      <c r="AM218" s="362"/>
      <c r="AN218" s="362"/>
      <c r="AO218" s="362"/>
      <c r="AP218" s="362"/>
      <c r="AQ218" s="362"/>
      <c r="AR218" s="362"/>
      <c r="AS218" s="362"/>
    </row>
    <row r="219" spans="1:45" ht="15" customHeight="1" x14ac:dyDescent="0.3">
      <c r="A219" s="168"/>
      <c r="B219" s="374"/>
      <c r="C219" s="375"/>
      <c r="D219" s="376"/>
      <c r="E219" s="293" t="str">
        <f>E211 &amp; " ratio future"</f>
        <v>Copper cathode price ratio future</v>
      </c>
      <c r="F219" s="144">
        <f>SUMIF(K$217:AS$217, 1, K211:AS211 ) / SUMIF(K$217:AS$217, 1, K$210:AS$210)</f>
        <v>1</v>
      </c>
      <c r="G219" s="293"/>
      <c r="H219" s="293"/>
      <c r="I219" s="293"/>
      <c r="J219" s="293"/>
      <c r="K219" s="293"/>
      <c r="L219" s="293"/>
      <c r="M219" s="293"/>
      <c r="N219" s="293"/>
      <c r="O219" s="293"/>
      <c r="P219" s="293"/>
      <c r="Q219" s="293"/>
      <c r="R219" s="293"/>
      <c r="S219" s="293"/>
      <c r="T219" s="293"/>
      <c r="U219" s="293"/>
      <c r="V219" s="144">
        <f>V211/V$210</f>
        <v>0</v>
      </c>
      <c r="W219" s="144">
        <f t="shared" ref="W219:AB219" si="244">W211/W$210</f>
        <v>0</v>
      </c>
      <c r="X219" s="144">
        <f t="shared" si="244"/>
        <v>1</v>
      </c>
      <c r="Y219" s="144">
        <f t="shared" si="244"/>
        <v>1</v>
      </c>
      <c r="Z219" s="144">
        <f t="shared" si="244"/>
        <v>1</v>
      </c>
      <c r="AA219" s="144">
        <f t="shared" si="244"/>
        <v>1</v>
      </c>
      <c r="AB219" s="144">
        <f t="shared" si="244"/>
        <v>1</v>
      </c>
      <c r="AC219" s="293"/>
      <c r="AD219" s="293"/>
      <c r="AE219" s="293"/>
      <c r="AF219" s="293"/>
      <c r="AG219" s="293"/>
      <c r="AH219" s="293"/>
      <c r="AI219" s="293"/>
      <c r="AJ219" s="293"/>
      <c r="AK219" s="293"/>
      <c r="AL219" s="293"/>
      <c r="AM219" s="293"/>
      <c r="AN219" s="293"/>
      <c r="AO219" s="293"/>
      <c r="AP219" s="293"/>
      <c r="AQ219" s="293"/>
      <c r="AR219" s="293"/>
      <c r="AS219" s="293"/>
    </row>
    <row r="220" spans="1:45" ht="15" customHeight="1" x14ac:dyDescent="0.3">
      <c r="A220" s="168"/>
      <c r="B220" s="374"/>
      <c r="C220" s="375"/>
      <c r="D220" s="376"/>
      <c r="E220" s="293" t="str">
        <f>E212 &amp; " ratio future"</f>
        <v>Blister copper price ratio future</v>
      </c>
      <c r="F220" s="144">
        <f>SUMIF(K$217:AS$217, 1, K212:AS212 ) / SUMIF(K$217:AS$217, 1, K$210:AS$210)</f>
        <v>0.997</v>
      </c>
      <c r="G220" s="293"/>
      <c r="H220" s="293"/>
      <c r="I220" s="293"/>
      <c r="J220" s="293"/>
      <c r="K220" s="293"/>
      <c r="L220" s="293"/>
      <c r="M220" s="293"/>
      <c r="N220" s="293"/>
      <c r="O220" s="293"/>
      <c r="P220" s="293"/>
      <c r="Q220" s="293"/>
      <c r="R220" s="293"/>
      <c r="S220" s="293"/>
      <c r="T220" s="293"/>
      <c r="U220" s="293"/>
      <c r="V220" s="144">
        <f t="shared" ref="V220:AB223" si="245">V212/V$210</f>
        <v>0.99702048417132216</v>
      </c>
      <c r="W220" s="144">
        <f t="shared" si="245"/>
        <v>0.99700449326010987</v>
      </c>
      <c r="X220" s="144">
        <f t="shared" si="245"/>
        <v>0.99710930442637757</v>
      </c>
      <c r="Y220" s="144">
        <f t="shared" si="245"/>
        <v>0.99699899966655547</v>
      </c>
      <c r="Z220" s="144">
        <f t="shared" si="245"/>
        <v>0.99700956937799046</v>
      </c>
      <c r="AA220" s="144">
        <f t="shared" si="245"/>
        <v>0.99692036955565333</v>
      </c>
      <c r="AB220" s="144">
        <f t="shared" si="245"/>
        <v>0.997</v>
      </c>
      <c r="AC220" s="293"/>
      <c r="AD220" s="293"/>
      <c r="AE220" s="293"/>
      <c r="AF220" s="293"/>
      <c r="AG220" s="293"/>
      <c r="AH220" s="293"/>
      <c r="AI220" s="293"/>
      <c r="AJ220" s="293"/>
      <c r="AK220" s="293"/>
      <c r="AL220" s="293"/>
      <c r="AM220" s="293"/>
      <c r="AN220" s="293"/>
      <c r="AO220" s="293"/>
      <c r="AP220" s="293"/>
      <c r="AQ220" s="293"/>
      <c r="AR220" s="293"/>
      <c r="AS220" s="293"/>
    </row>
    <row r="221" spans="1:45" ht="15" customHeight="1" x14ac:dyDescent="0.3">
      <c r="A221" s="168"/>
      <c r="B221" s="374"/>
      <c r="C221" s="375"/>
      <c r="D221" s="376"/>
      <c r="E221" s="293" t="str">
        <f>E213 &amp; " ratio future"</f>
        <v>Copper matt price ratio future</v>
      </c>
      <c r="F221" s="144">
        <f t="shared" ref="F221:F222" si="246">SUMIF(K$217:AS$217, 1, K213:AS213 ) / SUMIF(K$217:AS$217, 1, K$210:AS$210)</f>
        <v>0.8</v>
      </c>
      <c r="G221" s="293"/>
      <c r="H221" s="293"/>
      <c r="I221" s="293"/>
      <c r="J221" s="293"/>
      <c r="K221" s="293"/>
      <c r="L221" s="293"/>
      <c r="M221" s="293"/>
      <c r="N221" s="293"/>
      <c r="O221" s="293"/>
      <c r="P221" s="293"/>
      <c r="Q221" s="293"/>
      <c r="R221" s="293"/>
      <c r="S221" s="293"/>
      <c r="T221" s="293"/>
      <c r="U221" s="293"/>
      <c r="V221" s="144">
        <f t="shared" si="245"/>
        <v>0.8</v>
      </c>
      <c r="W221" s="144">
        <f t="shared" si="245"/>
        <v>0.79996671659177898</v>
      </c>
      <c r="X221" s="144">
        <f t="shared" si="245"/>
        <v>0.8</v>
      </c>
      <c r="Y221" s="144">
        <f t="shared" si="245"/>
        <v>0.80010003334444812</v>
      </c>
      <c r="Z221" s="144">
        <f t="shared" si="245"/>
        <v>0.8</v>
      </c>
      <c r="AA221" s="144">
        <f t="shared" si="245"/>
        <v>0.79997067018624435</v>
      </c>
      <c r="AB221" s="144">
        <f t="shared" si="245"/>
        <v>0.8</v>
      </c>
      <c r="AC221" s="293"/>
      <c r="AD221" s="293"/>
      <c r="AE221" s="293"/>
      <c r="AF221" s="293"/>
      <c r="AG221" s="293"/>
      <c r="AH221" s="293"/>
      <c r="AI221" s="293"/>
      <c r="AJ221" s="293"/>
      <c r="AK221" s="293"/>
      <c r="AL221" s="293"/>
      <c r="AM221" s="293"/>
      <c r="AN221" s="293"/>
      <c r="AO221" s="293"/>
      <c r="AP221" s="293"/>
      <c r="AQ221" s="293"/>
      <c r="AR221" s="293"/>
      <c r="AS221" s="293"/>
    </row>
    <row r="222" spans="1:45" ht="15" customHeight="1" x14ac:dyDescent="0.3">
      <c r="A222" s="168"/>
      <c r="B222" s="374"/>
      <c r="C222" s="375"/>
      <c r="D222" s="376"/>
      <c r="E222" s="293" t="str">
        <f>E214 &amp; " ratio future"</f>
        <v>Copper sulfide concentrates price ratio future</v>
      </c>
      <c r="F222" s="144">
        <f t="shared" si="246"/>
        <v>0.88</v>
      </c>
      <c r="G222" s="293"/>
      <c r="H222" s="293"/>
      <c r="I222" s="293"/>
      <c r="J222" s="293"/>
      <c r="K222" s="293"/>
      <c r="L222" s="293"/>
      <c r="M222" s="293"/>
      <c r="N222" s="293"/>
      <c r="O222" s="293"/>
      <c r="P222" s="293"/>
      <c r="Q222" s="293"/>
      <c r="R222" s="293"/>
      <c r="S222" s="293"/>
      <c r="T222" s="293"/>
      <c r="U222" s="293"/>
      <c r="V222" s="144">
        <f t="shared" si="245"/>
        <v>0.20912476722532589</v>
      </c>
      <c r="W222" s="144">
        <f t="shared" si="245"/>
        <v>0.13862539524047263</v>
      </c>
      <c r="X222" s="144">
        <f t="shared" si="245"/>
        <v>0.14724480578139115</v>
      </c>
      <c r="Y222" s="144">
        <f t="shared" si="245"/>
        <v>0.3494498166055352</v>
      </c>
      <c r="Z222" s="144">
        <f t="shared" si="245"/>
        <v>0.29270334928229663</v>
      </c>
      <c r="AA222" s="144">
        <f t="shared" si="245"/>
        <v>0.880041061739258</v>
      </c>
      <c r="AB222" s="144">
        <f t="shared" si="245"/>
        <v>0.88</v>
      </c>
      <c r="AC222" s="293"/>
      <c r="AD222" s="293"/>
      <c r="AE222" s="293"/>
      <c r="AF222" s="293"/>
      <c r="AG222" s="293"/>
      <c r="AH222" s="293"/>
      <c r="AI222" s="293"/>
      <c r="AJ222" s="293"/>
      <c r="AK222" s="293"/>
      <c r="AL222" s="293"/>
      <c r="AM222" s="293"/>
      <c r="AN222" s="293"/>
      <c r="AO222" s="293"/>
      <c r="AP222" s="293"/>
      <c r="AQ222" s="293"/>
      <c r="AR222" s="293"/>
      <c r="AS222" s="293"/>
    </row>
    <row r="223" spans="1:45" ht="15" customHeight="1" x14ac:dyDescent="0.3">
      <c r="A223" s="168"/>
      <c r="B223" s="374"/>
      <c r="C223" s="375"/>
      <c r="D223" s="376"/>
      <c r="E223" s="293" t="str">
        <f>E215 &amp; " ratio future"</f>
        <v>Copper oxide concentrates price ratio future</v>
      </c>
      <c r="F223" s="144">
        <f>SUMIF(K$217:AS$217, 1, K215:AS215 ) / SUMIF(K$217:AS$217, 1, K$210:AS$210)</f>
        <v>0.5</v>
      </c>
      <c r="G223" s="293"/>
      <c r="H223" s="293"/>
      <c r="I223" s="293"/>
      <c r="J223" s="293"/>
      <c r="K223" s="293"/>
      <c r="L223" s="293"/>
      <c r="M223" s="293"/>
      <c r="N223" s="293"/>
      <c r="O223" s="293"/>
      <c r="P223" s="293"/>
      <c r="Q223" s="293"/>
      <c r="R223" s="293"/>
      <c r="S223" s="293"/>
      <c r="T223" s="293"/>
      <c r="U223" s="293"/>
      <c r="V223" s="144">
        <f t="shared" si="245"/>
        <v>0.5</v>
      </c>
      <c r="W223" s="144">
        <f t="shared" si="245"/>
        <v>0.50008320852055255</v>
      </c>
      <c r="X223" s="144">
        <f t="shared" si="245"/>
        <v>0.5000903342366757</v>
      </c>
      <c r="Y223" s="144">
        <f t="shared" si="245"/>
        <v>0.5</v>
      </c>
      <c r="Z223" s="144">
        <f t="shared" si="245"/>
        <v>0.5</v>
      </c>
      <c r="AA223" s="144">
        <f t="shared" si="245"/>
        <v>0.49992667546561081</v>
      </c>
      <c r="AB223" s="144">
        <f t="shared" si="245"/>
        <v>0.5</v>
      </c>
      <c r="AC223" s="293"/>
      <c r="AD223" s="293"/>
      <c r="AE223" s="293"/>
      <c r="AF223" s="293"/>
      <c r="AG223" s="293"/>
      <c r="AH223" s="293"/>
      <c r="AI223" s="293"/>
      <c r="AJ223" s="293"/>
      <c r="AK223" s="293"/>
      <c r="AL223" s="293"/>
      <c r="AM223" s="293"/>
      <c r="AN223" s="293"/>
      <c r="AO223" s="293"/>
      <c r="AP223" s="293"/>
      <c r="AQ223" s="293"/>
      <c r="AR223" s="293"/>
      <c r="AS223" s="293"/>
    </row>
    <row r="224" spans="1:45" ht="15" customHeight="1" x14ac:dyDescent="0.3">
      <c r="A224" s="88"/>
      <c r="B224" s="288"/>
      <c r="C224" s="289"/>
      <c r="D224" s="292"/>
      <c r="E224" s="362"/>
      <c r="F224" s="95"/>
      <c r="G224" s="362"/>
      <c r="H224" s="362"/>
      <c r="I224" s="362"/>
      <c r="J224" s="362"/>
      <c r="K224" s="362"/>
      <c r="L224" s="362"/>
      <c r="M224" s="362"/>
      <c r="N224" s="362"/>
      <c r="O224" s="362"/>
      <c r="P224" s="362"/>
      <c r="Q224" s="362"/>
      <c r="R224" s="362"/>
      <c r="S224" s="362"/>
      <c r="T224" s="362"/>
      <c r="U224" s="362"/>
      <c r="V224" s="362"/>
      <c r="W224" s="362"/>
      <c r="X224" s="362"/>
      <c r="Y224" s="362"/>
      <c r="Z224" s="362"/>
      <c r="AA224" s="362"/>
      <c r="AB224" s="362"/>
      <c r="AC224" s="362"/>
      <c r="AD224" s="362"/>
      <c r="AE224" s="362"/>
      <c r="AF224" s="362"/>
      <c r="AG224" s="362"/>
      <c r="AH224" s="362"/>
      <c r="AI224" s="362"/>
      <c r="AJ224" s="362"/>
      <c r="AK224" s="362"/>
      <c r="AL224" s="362"/>
      <c r="AM224" s="362"/>
      <c r="AN224" s="362"/>
      <c r="AO224" s="362"/>
      <c r="AP224" s="362"/>
      <c r="AQ224" s="362"/>
      <c r="AR224" s="362"/>
      <c r="AS224" s="362"/>
    </row>
    <row r="225" spans="1:45" ht="15" customHeight="1" x14ac:dyDescent="0.3">
      <c r="A225" s="88"/>
      <c r="B225" s="288"/>
      <c r="C225" s="289"/>
      <c r="D225" s="292"/>
      <c r="E225" s="362" t="str">
        <f xml:space="preserve"> 'Inputs_ FS'!E$28</f>
        <v>Copper price: FS</v>
      </c>
      <c r="F225" s="362">
        <f xml:space="preserve"> 'Inputs_ FS'!F$28</f>
        <v>0</v>
      </c>
      <c r="G225" s="362" t="str">
        <f xml:space="preserve"> 'Inputs_ FS'!G$28</f>
        <v>$ /tCu</v>
      </c>
      <c r="H225" s="362" t="str">
        <f xml:space="preserve"> 'Inputs_ FS'!H$28</f>
        <v>M</v>
      </c>
      <c r="I225" s="362">
        <f xml:space="preserve"> 'Inputs_ FS'!I$28</f>
        <v>0</v>
      </c>
      <c r="J225" s="362">
        <f xml:space="preserve"> 'Inputs_ FS'!J$28</f>
        <v>0</v>
      </c>
      <c r="K225" s="362">
        <f xml:space="preserve"> 'Inputs_ FS'!K$28</f>
        <v>0</v>
      </c>
      <c r="L225" s="362">
        <f xml:space="preserve"> 'Inputs_ FS'!L$28</f>
        <v>0</v>
      </c>
      <c r="M225" s="362">
        <f xml:space="preserve"> 'Inputs_ FS'!M$28</f>
        <v>0</v>
      </c>
      <c r="N225" s="362">
        <f xml:space="preserve"> 'Inputs_ FS'!N$28</f>
        <v>0</v>
      </c>
      <c r="O225" s="362">
        <f xml:space="preserve"> 'Inputs_ FS'!O$28</f>
        <v>0</v>
      </c>
      <c r="P225" s="362">
        <f xml:space="preserve"> 'Inputs_ FS'!P$28</f>
        <v>0</v>
      </c>
      <c r="Q225" s="362">
        <f xml:space="preserve"> 'Inputs_ FS'!Q$28</f>
        <v>0</v>
      </c>
      <c r="R225" s="362">
        <f xml:space="preserve"> 'Inputs_ FS'!R$28</f>
        <v>0</v>
      </c>
      <c r="S225" s="362">
        <f xml:space="preserve"> 'Inputs_ FS'!S$28</f>
        <v>0</v>
      </c>
      <c r="T225" s="362">
        <f xml:space="preserve"> 'Inputs_ FS'!T$28</f>
        <v>0</v>
      </c>
      <c r="U225" s="362">
        <f xml:space="preserve"> 'Inputs_ FS'!U$28</f>
        <v>0</v>
      </c>
      <c r="V225" s="362">
        <f xml:space="preserve"> 'Inputs_ FS'!V$28</f>
        <v>5370</v>
      </c>
      <c r="W225" s="362">
        <f xml:space="preserve"> 'Inputs_ FS'!W$28</f>
        <v>6009</v>
      </c>
      <c r="X225" s="362">
        <f xml:space="preserve"> 'Inputs_ FS'!X$28</f>
        <v>5535</v>
      </c>
      <c r="Y225" s="362">
        <f xml:space="preserve"> 'Inputs_ FS'!Y$28</f>
        <v>5998</v>
      </c>
      <c r="Z225" s="362">
        <f xml:space="preserve"> 'Inputs_ FS'!Z$28</f>
        <v>8360</v>
      </c>
      <c r="AA225" s="362">
        <f xml:space="preserve"> 'Inputs_ FS'!AA$28</f>
        <v>6819</v>
      </c>
      <c r="AB225" s="362">
        <f xml:space="preserve"> 'Inputs_ FS'!AB$28</f>
        <v>8000</v>
      </c>
      <c r="AC225" s="362">
        <f xml:space="preserve"> 'Inputs_ FS'!AC$28</f>
        <v>8000</v>
      </c>
      <c r="AD225" s="362">
        <f xml:space="preserve"> 'Inputs_ FS'!AD$28</f>
        <v>8000</v>
      </c>
      <c r="AE225" s="362">
        <f xml:space="preserve"> 'Inputs_ FS'!AE$28</f>
        <v>8000</v>
      </c>
      <c r="AF225" s="362">
        <f xml:space="preserve"> 'Inputs_ FS'!AF$28</f>
        <v>8000</v>
      </c>
      <c r="AG225" s="362">
        <f xml:space="preserve"> 'Inputs_ FS'!AG$28</f>
        <v>8000</v>
      </c>
      <c r="AH225" s="362">
        <f xml:space="preserve"> 'Inputs_ FS'!AH$28</f>
        <v>8000</v>
      </c>
      <c r="AI225" s="362">
        <f xml:space="preserve"> 'Inputs_ FS'!AI$28</f>
        <v>8000</v>
      </c>
      <c r="AJ225" s="362">
        <f xml:space="preserve"> 'Inputs_ FS'!AJ$28</f>
        <v>8000</v>
      </c>
      <c r="AK225" s="362">
        <f xml:space="preserve"> 'Inputs_ FS'!AK$28</f>
        <v>8000</v>
      </c>
      <c r="AL225" s="362">
        <f xml:space="preserve"> 'Inputs_ FS'!AL$28</f>
        <v>0</v>
      </c>
      <c r="AM225" s="362">
        <f xml:space="preserve"> 'Inputs_ FS'!AM$28</f>
        <v>0</v>
      </c>
      <c r="AN225" s="362">
        <f xml:space="preserve"> 'Inputs_ FS'!AN$28</f>
        <v>0</v>
      </c>
      <c r="AO225" s="362">
        <f xml:space="preserve"> 'Inputs_ FS'!AO$28</f>
        <v>0</v>
      </c>
      <c r="AP225" s="362">
        <f xml:space="preserve"> 'Inputs_ FS'!AP$28</f>
        <v>0</v>
      </c>
      <c r="AQ225" s="362">
        <f xml:space="preserve"> 'Inputs_ FS'!AQ$28</f>
        <v>0</v>
      </c>
      <c r="AR225" s="362">
        <f xml:space="preserve"> 'Inputs_ FS'!AO$28</f>
        <v>0</v>
      </c>
      <c r="AS225" s="362">
        <f xml:space="preserve"> 'Inputs_ FS'!AP$28</f>
        <v>0</v>
      </c>
    </row>
    <row r="226" spans="1:45" ht="15" customHeight="1" x14ac:dyDescent="0.3">
      <c r="A226" s="524"/>
      <c r="B226" s="524"/>
      <c r="C226" s="525"/>
      <c r="D226" s="243"/>
      <c r="E226" s="184" t="str">
        <f xml:space="preserve"> COMMUS_Model!E$138</f>
        <v>Copper actual &amp; forecast price: IMF_WEO</v>
      </c>
      <c r="F226" s="243"/>
      <c r="G226" s="243" t="str">
        <f xml:space="preserve"> COMMUS_Model!G$138</f>
        <v>$ / tonne</v>
      </c>
      <c r="H226" s="243"/>
      <c r="I226" s="243"/>
      <c r="J226" s="243">
        <f xml:space="preserve"> COMMUS_Model!J$138</f>
        <v>0</v>
      </c>
      <c r="K226" s="243">
        <f xml:space="preserve"> COMMUS_Model!K$138</f>
        <v>6731.3519999999999</v>
      </c>
      <c r="L226" s="243">
        <f xml:space="preserve"> COMMUS_Model!L$138</f>
        <v>7131.63</v>
      </c>
      <c r="M226" s="243">
        <f xml:space="preserve"> COMMUS_Model!M$138</f>
        <v>6963.482</v>
      </c>
      <c r="N226" s="243">
        <f xml:space="preserve"> COMMUS_Model!N$138</f>
        <v>5164.1589999999997</v>
      </c>
      <c r="O226" s="243">
        <f xml:space="preserve"> COMMUS_Model!O$138</f>
        <v>7538.3620000000001</v>
      </c>
      <c r="P226" s="243">
        <f xml:space="preserve"> COMMUS_Model!P$138</f>
        <v>8823.4539999999997</v>
      </c>
      <c r="Q226" s="243">
        <f xml:space="preserve"> COMMUS_Model!Q$138</f>
        <v>7958.9250000000002</v>
      </c>
      <c r="R226" s="243">
        <f xml:space="preserve"> COMMUS_Model!R$138</f>
        <v>7331.491</v>
      </c>
      <c r="S226" s="243">
        <f xml:space="preserve"> COMMUS_Model!S$138</f>
        <v>6863.3969999999999</v>
      </c>
      <c r="T226" s="243">
        <f xml:space="preserve"> COMMUS_Model!T$138</f>
        <v>5510.4570000000003</v>
      </c>
      <c r="U226" s="243">
        <f xml:space="preserve"> COMMUS_Model!U$138</f>
        <v>4867.8969999999999</v>
      </c>
      <c r="V226" s="243">
        <f xml:space="preserve"> COMMUS_Model!V$138</f>
        <v>6169.94</v>
      </c>
      <c r="W226" s="243">
        <f xml:space="preserve"> COMMUS_Model!W$138</f>
        <v>6529.7979999999998</v>
      </c>
      <c r="X226" s="243">
        <f xml:space="preserve"> COMMUS_Model!X$138</f>
        <v>6010.1450000000004</v>
      </c>
      <c r="Y226" s="243">
        <f xml:space="preserve"> COMMUS_Model!Y$138</f>
        <v>6174.558</v>
      </c>
      <c r="Z226" s="243">
        <f xml:space="preserve"> COMMUS_Model!Z$138</f>
        <v>9317.4089999999997</v>
      </c>
      <c r="AA226" s="243">
        <f xml:space="preserve"> COMMUS_Model!AA$138</f>
        <v>8828.9169999999995</v>
      </c>
      <c r="AB226" s="243">
        <f xml:space="preserve"> COMMUS_Model!AB$138</f>
        <v>8490.7620000000006</v>
      </c>
      <c r="AC226" s="243">
        <f xml:space="preserve"> COMMUS_Model!AC$138</f>
        <v>8550.723</v>
      </c>
      <c r="AD226" s="243">
        <f xml:space="preserve"> COMMUS_Model!AD$138</f>
        <v>8661.2289999999994</v>
      </c>
      <c r="AE226" s="243">
        <f xml:space="preserve"> COMMUS_Model!AE$138</f>
        <v>8676.2919999999995</v>
      </c>
      <c r="AF226" s="243">
        <f xml:space="preserve"> COMMUS_Model!AF$138</f>
        <v>8667.75</v>
      </c>
      <c r="AG226" s="243">
        <f xml:space="preserve"> COMMUS_Model!AG$138</f>
        <v>8655.625</v>
      </c>
      <c r="AH226" s="243">
        <f xml:space="preserve"> COMMUS_Model!AH$138</f>
        <v>8668.5</v>
      </c>
      <c r="AI226" s="243">
        <f xml:space="preserve"> COMMUS_Model!AI$138</f>
        <v>8857.0316499289966</v>
      </c>
      <c r="AJ226" s="243">
        <f xml:space="preserve"> COMMUS_Model!AJ$138</f>
        <v>9034.1722829275768</v>
      </c>
      <c r="AK226" s="243">
        <f xml:space="preserve"> COMMUS_Model!AK$138</f>
        <v>9214.855728586128</v>
      </c>
      <c r="AL226" s="243">
        <f xml:space="preserve"> COMMUS_Model!AL$138</f>
        <v>9399.1528431578517</v>
      </c>
      <c r="AM226" s="243">
        <f xml:space="preserve"> COMMUS_Model!AM$138</f>
        <v>9587.1359000210068</v>
      </c>
      <c r="AN226" s="243">
        <f xml:space="preserve"> COMMUS_Model!AN$138</f>
        <v>9778.8786180214283</v>
      </c>
      <c r="AO226" s="243">
        <f xml:space="preserve"> COMMUS_Model!AO$138</f>
        <v>9974.4561903818576</v>
      </c>
      <c r="AP226" s="243">
        <f xml:space="preserve"> COMMUS_Model!AP$138</f>
        <v>10173.945314189496</v>
      </c>
      <c r="AQ226" s="243">
        <f xml:space="preserve"> COMMUS_Model!AQ$138</f>
        <v>10377.424220473287</v>
      </c>
      <c r="AR226" s="243">
        <f xml:space="preserve"> COMMUS_Model!AR$138</f>
        <v>10584.972704882754</v>
      </c>
      <c r="AS226" s="243">
        <f xml:space="preserve"> COMMUS_Model!AS$138</f>
        <v>10796.672158980407</v>
      </c>
    </row>
    <row r="227" spans="1:45" ht="15" customHeight="1" x14ac:dyDescent="0.3">
      <c r="A227" s="524"/>
      <c r="B227" s="524"/>
      <c r="C227" s="525"/>
      <c r="D227" s="243"/>
      <c r="E227" s="184" t="s">
        <v>547</v>
      </c>
      <c r="F227" s="243"/>
      <c r="G227" s="243"/>
      <c r="H227" s="243"/>
      <c r="I227" s="243"/>
      <c r="J227" s="243"/>
      <c r="K227" s="469">
        <f t="shared" ref="K227:O227" si="247">IFERROR(K225 / K226, 0)</f>
        <v>0</v>
      </c>
      <c r="L227" s="469">
        <f t="shared" si="247"/>
        <v>0</v>
      </c>
      <c r="M227" s="469">
        <f t="shared" si="247"/>
        <v>0</v>
      </c>
      <c r="N227" s="469">
        <f t="shared" si="247"/>
        <v>0</v>
      </c>
      <c r="O227" s="469">
        <f t="shared" si="247"/>
        <v>0</v>
      </c>
      <c r="P227" s="469">
        <f>IFERROR(P225 / P226, 0)</f>
        <v>0</v>
      </c>
      <c r="Q227" s="469">
        <f t="shared" ref="Q227:AS227" si="248">IFERROR(Q225 / Q226, 0)</f>
        <v>0</v>
      </c>
      <c r="R227" s="469">
        <f t="shared" si="248"/>
        <v>0</v>
      </c>
      <c r="S227" s="469">
        <f t="shared" si="248"/>
        <v>0</v>
      </c>
      <c r="T227" s="469">
        <f t="shared" si="248"/>
        <v>0</v>
      </c>
      <c r="U227" s="469">
        <f t="shared" si="248"/>
        <v>0</v>
      </c>
      <c r="V227" s="469">
        <f t="shared" si="248"/>
        <v>0.87034882024784688</v>
      </c>
      <c r="W227" s="469">
        <f t="shared" si="248"/>
        <v>0.92024286203034156</v>
      </c>
      <c r="X227" s="469">
        <f t="shared" si="248"/>
        <v>0.92094283914947139</v>
      </c>
      <c r="Y227" s="469">
        <f t="shared" si="248"/>
        <v>0.97140556457644422</v>
      </c>
      <c r="Z227" s="469">
        <f t="shared" si="248"/>
        <v>0.89724514615597539</v>
      </c>
      <c r="AA227" s="469">
        <f t="shared" si="248"/>
        <v>0.77234840921032566</v>
      </c>
      <c r="AB227" s="469">
        <f t="shared" si="248"/>
        <v>0.94220047623523062</v>
      </c>
      <c r="AC227" s="469">
        <f t="shared" si="248"/>
        <v>0.9355933995289053</v>
      </c>
      <c r="AD227" s="469">
        <f t="shared" si="248"/>
        <v>0.92365644644657252</v>
      </c>
      <c r="AE227" s="469">
        <f t="shared" si="248"/>
        <v>0.92205287696633542</v>
      </c>
      <c r="AF227" s="469">
        <f t="shared" si="248"/>
        <v>0.92296155288281267</v>
      </c>
      <c r="AG227" s="469">
        <f t="shared" si="248"/>
        <v>0.9242544588056899</v>
      </c>
      <c r="AH227" s="469">
        <f t="shared" si="248"/>
        <v>0.92288169810232445</v>
      </c>
      <c r="AI227" s="469">
        <f t="shared" si="248"/>
        <v>0.9032371471839703</v>
      </c>
      <c r="AJ227" s="469">
        <f t="shared" si="248"/>
        <v>0.88552661488624529</v>
      </c>
      <c r="AK227" s="469">
        <f t="shared" si="248"/>
        <v>0.86816334792769156</v>
      </c>
      <c r="AL227" s="469">
        <f t="shared" si="248"/>
        <v>0</v>
      </c>
      <c r="AM227" s="469">
        <f t="shared" si="248"/>
        <v>0</v>
      </c>
      <c r="AN227" s="469">
        <f t="shared" si="248"/>
        <v>0</v>
      </c>
      <c r="AO227" s="469">
        <f t="shared" ref="AO227" si="249">IFERROR(AO225 / AO226, 0)</f>
        <v>0</v>
      </c>
      <c r="AP227" s="469">
        <f t="shared" ref="AP227" si="250">IFERROR(AP225 / AP226, 0)</f>
        <v>0</v>
      </c>
      <c r="AQ227" s="469">
        <f t="shared" ref="AQ227" si="251">IFERROR(AQ225 / AQ226, 0)</f>
        <v>0</v>
      </c>
      <c r="AR227" s="469">
        <f t="shared" si="248"/>
        <v>0</v>
      </c>
      <c r="AS227" s="469">
        <f t="shared" si="248"/>
        <v>0</v>
      </c>
    </row>
    <row r="228" spans="1:45" s="89" customFormat="1" ht="15" customHeight="1" x14ac:dyDescent="0.3">
      <c r="A228" s="524"/>
      <c r="B228" s="524"/>
      <c r="C228" s="525"/>
      <c r="D228" s="243"/>
      <c r="E228" s="184" t="s">
        <v>549</v>
      </c>
      <c r="F228" s="243"/>
      <c r="G228" s="243" t="s">
        <v>160</v>
      </c>
      <c r="H228" s="243"/>
      <c r="I228" s="243"/>
      <c r="J228" s="243"/>
      <c r="K228" s="465">
        <f t="shared" ref="K228:AS228" si="252">IF(AND(K2 &gt; 2016, K2 &lt; 2022), 1,0)</f>
        <v>0</v>
      </c>
      <c r="L228" s="465">
        <f t="shared" si="252"/>
        <v>0</v>
      </c>
      <c r="M228" s="465">
        <f t="shared" si="252"/>
        <v>0</v>
      </c>
      <c r="N228" s="465">
        <f t="shared" si="252"/>
        <v>0</v>
      </c>
      <c r="O228" s="465">
        <f t="shared" si="252"/>
        <v>0</v>
      </c>
      <c r="P228" s="465">
        <f t="shared" si="252"/>
        <v>0</v>
      </c>
      <c r="Q228" s="465">
        <f t="shared" si="252"/>
        <v>0</v>
      </c>
      <c r="R228" s="465">
        <f t="shared" si="252"/>
        <v>0</v>
      </c>
      <c r="S228" s="465">
        <f t="shared" si="252"/>
        <v>0</v>
      </c>
      <c r="T228" s="465">
        <f t="shared" si="252"/>
        <v>0</v>
      </c>
      <c r="U228" s="465">
        <f t="shared" si="252"/>
        <v>0</v>
      </c>
      <c r="V228" s="465">
        <f t="shared" si="252"/>
        <v>1</v>
      </c>
      <c r="W228" s="465">
        <f t="shared" si="252"/>
        <v>1</v>
      </c>
      <c r="X228" s="465">
        <f t="shared" si="252"/>
        <v>1</v>
      </c>
      <c r="Y228" s="465">
        <f t="shared" si="252"/>
        <v>1</v>
      </c>
      <c r="Z228" s="465">
        <f t="shared" si="252"/>
        <v>1</v>
      </c>
      <c r="AA228" s="465">
        <f t="shared" si="252"/>
        <v>0</v>
      </c>
      <c r="AB228" s="465">
        <f t="shared" si="252"/>
        <v>0</v>
      </c>
      <c r="AC228" s="465">
        <f t="shared" si="252"/>
        <v>0</v>
      </c>
      <c r="AD228" s="465">
        <f t="shared" si="252"/>
        <v>0</v>
      </c>
      <c r="AE228" s="465">
        <f t="shared" si="252"/>
        <v>0</v>
      </c>
      <c r="AF228" s="465">
        <f t="shared" si="252"/>
        <v>0</v>
      </c>
      <c r="AG228" s="465">
        <f t="shared" si="252"/>
        <v>0</v>
      </c>
      <c r="AH228" s="465">
        <f t="shared" si="252"/>
        <v>0</v>
      </c>
      <c r="AI228" s="465">
        <f t="shared" si="252"/>
        <v>0</v>
      </c>
      <c r="AJ228" s="465">
        <f t="shared" si="252"/>
        <v>0</v>
      </c>
      <c r="AK228" s="465">
        <f t="shared" si="252"/>
        <v>0</v>
      </c>
      <c r="AL228" s="465">
        <f t="shared" si="252"/>
        <v>0</v>
      </c>
      <c r="AM228" s="465">
        <f t="shared" si="252"/>
        <v>0</v>
      </c>
      <c r="AN228" s="465">
        <f t="shared" si="252"/>
        <v>0</v>
      </c>
      <c r="AO228" s="465">
        <f t="shared" si="252"/>
        <v>0</v>
      </c>
      <c r="AP228" s="465">
        <f t="shared" si="252"/>
        <v>0</v>
      </c>
      <c r="AQ228" s="465">
        <f t="shared" si="252"/>
        <v>0</v>
      </c>
      <c r="AR228" s="465">
        <f t="shared" si="252"/>
        <v>0</v>
      </c>
      <c r="AS228" s="465">
        <f t="shared" si="252"/>
        <v>0</v>
      </c>
    </row>
    <row r="229" spans="1:45" ht="15" customHeight="1" x14ac:dyDescent="0.3">
      <c r="A229" s="524"/>
      <c r="B229" s="524"/>
      <c r="C229" s="525"/>
      <c r="D229" s="243"/>
      <c r="E229" s="184" t="s">
        <v>548</v>
      </c>
      <c r="F229" s="469">
        <f>SUMPRODUCT(K227:AS227, K228:AS228) / SUM(S228:AS228)</f>
        <v>0.91603704643201578</v>
      </c>
      <c r="G229" s="243"/>
      <c r="H229" s="243"/>
      <c r="I229" s="243"/>
      <c r="J229" s="243"/>
      <c r="K229" s="469"/>
      <c r="L229" s="469"/>
      <c r="M229" s="469"/>
      <c r="N229" s="469"/>
      <c r="O229" s="469"/>
      <c r="P229" s="469"/>
      <c r="Q229" s="469"/>
      <c r="R229" s="469"/>
      <c r="S229" s="469"/>
      <c r="T229" s="469"/>
      <c r="U229" s="469"/>
      <c r="V229" s="469"/>
      <c r="W229" s="469"/>
      <c r="X229" s="469"/>
      <c r="Y229" s="469"/>
      <c r="Z229" s="469"/>
      <c r="AA229" s="469"/>
      <c r="AB229" s="469"/>
      <c r="AC229" s="469"/>
      <c r="AD229" s="469"/>
      <c r="AE229" s="469"/>
      <c r="AF229" s="469"/>
      <c r="AG229" s="469"/>
      <c r="AH229" s="469"/>
      <c r="AI229" s="469"/>
      <c r="AJ229" s="469"/>
      <c r="AK229" s="469"/>
      <c r="AL229" s="469"/>
      <c r="AM229" s="469"/>
      <c r="AN229" s="469"/>
      <c r="AO229" s="469"/>
      <c r="AP229" s="469"/>
      <c r="AQ229" s="469"/>
      <c r="AR229" s="469"/>
      <c r="AS229" s="469"/>
    </row>
    <row r="230" spans="1:45" ht="15" customHeight="1" x14ac:dyDescent="0.3">
      <c r="A230" s="524"/>
      <c r="B230" s="524"/>
      <c r="C230" s="525"/>
      <c r="D230" s="243"/>
      <c r="E230" s="184"/>
      <c r="F230" s="243"/>
      <c r="G230" s="243"/>
      <c r="H230" s="243"/>
      <c r="I230" s="243"/>
      <c r="J230" s="243"/>
      <c r="K230" s="469"/>
      <c r="L230" s="469"/>
      <c r="M230" s="469"/>
      <c r="N230" s="469"/>
      <c r="O230" s="469"/>
      <c r="P230" s="469"/>
      <c r="Q230" s="469"/>
      <c r="R230" s="469"/>
      <c r="S230" s="469"/>
      <c r="T230" s="469"/>
      <c r="U230" s="469"/>
      <c r="V230" s="469"/>
      <c r="W230" s="469"/>
      <c r="X230" s="469"/>
      <c r="Y230" s="469"/>
      <c r="Z230" s="469"/>
      <c r="AA230" s="469"/>
      <c r="AB230" s="469"/>
      <c r="AC230" s="469"/>
      <c r="AD230" s="469"/>
      <c r="AE230" s="469"/>
      <c r="AF230" s="469"/>
      <c r="AG230" s="469"/>
      <c r="AH230" s="469"/>
      <c r="AI230" s="469"/>
      <c r="AJ230" s="469"/>
      <c r="AK230" s="469"/>
      <c r="AL230" s="469"/>
      <c r="AM230" s="469"/>
      <c r="AN230" s="469"/>
      <c r="AO230" s="469"/>
      <c r="AP230" s="469"/>
      <c r="AQ230" s="469"/>
      <c r="AR230" s="469"/>
      <c r="AS230" s="469"/>
    </row>
    <row r="231" spans="1:45" ht="15" customHeight="1" x14ac:dyDescent="0.3">
      <c r="A231" s="88"/>
      <c r="B231" s="288"/>
      <c r="C231" s="289"/>
      <c r="D231" s="292"/>
      <c r="E231" s="362" t="str">
        <f xml:space="preserve"> 'Inputs_ FS'!E$28</f>
        <v>Copper price: FS</v>
      </c>
      <c r="F231" s="362">
        <f xml:space="preserve"> 'Inputs_ FS'!F$28</f>
        <v>0</v>
      </c>
      <c r="G231" s="362" t="str">
        <f xml:space="preserve"> 'Inputs_ FS'!G$28</f>
        <v>$ /tCu</v>
      </c>
      <c r="H231" s="362" t="str">
        <f xml:space="preserve"> 'Inputs_ FS'!H$28</f>
        <v>M</v>
      </c>
      <c r="I231" s="362">
        <f xml:space="preserve"> 'Inputs_ FS'!I$28</f>
        <v>0</v>
      </c>
      <c r="J231" s="362">
        <f xml:space="preserve"> 'Inputs_ FS'!J$28</f>
        <v>0</v>
      </c>
      <c r="K231" s="362">
        <f xml:space="preserve"> 'Inputs_ FS'!K$28</f>
        <v>0</v>
      </c>
      <c r="L231" s="362">
        <f xml:space="preserve"> 'Inputs_ FS'!L$28</f>
        <v>0</v>
      </c>
      <c r="M231" s="362">
        <f xml:space="preserve"> 'Inputs_ FS'!M$28</f>
        <v>0</v>
      </c>
      <c r="N231" s="362">
        <f xml:space="preserve"> 'Inputs_ FS'!N$28</f>
        <v>0</v>
      </c>
      <c r="O231" s="362">
        <f xml:space="preserve"> 'Inputs_ FS'!O$28</f>
        <v>0</v>
      </c>
      <c r="P231" s="362">
        <f xml:space="preserve"> 'Inputs_ FS'!P$28</f>
        <v>0</v>
      </c>
      <c r="Q231" s="362">
        <f xml:space="preserve"> 'Inputs_ FS'!Q$28</f>
        <v>0</v>
      </c>
      <c r="R231" s="362">
        <f xml:space="preserve"> 'Inputs_ FS'!R$28</f>
        <v>0</v>
      </c>
      <c r="S231" s="362">
        <f xml:space="preserve"> 'Inputs_ FS'!S$28</f>
        <v>0</v>
      </c>
      <c r="T231" s="362">
        <f xml:space="preserve"> 'Inputs_ FS'!T$28</f>
        <v>0</v>
      </c>
      <c r="U231" s="362">
        <f xml:space="preserve"> 'Inputs_ FS'!U$28</f>
        <v>0</v>
      </c>
      <c r="V231" s="362">
        <f xml:space="preserve"> 'Inputs_ FS'!V$28</f>
        <v>5370</v>
      </c>
      <c r="W231" s="362">
        <f xml:space="preserve"> 'Inputs_ FS'!W$28</f>
        <v>6009</v>
      </c>
      <c r="X231" s="362">
        <f xml:space="preserve"> 'Inputs_ FS'!X$28</f>
        <v>5535</v>
      </c>
      <c r="Y231" s="362">
        <f xml:space="preserve"> 'Inputs_ FS'!Y$28</f>
        <v>5998</v>
      </c>
      <c r="Z231" s="362">
        <f xml:space="preserve"> 'Inputs_ FS'!Z$28</f>
        <v>8360</v>
      </c>
      <c r="AA231" s="362">
        <f xml:space="preserve"> 'Inputs_ FS'!AA$28</f>
        <v>6819</v>
      </c>
      <c r="AB231" s="362">
        <f xml:space="preserve"> 'Inputs_ FS'!AB$28</f>
        <v>8000</v>
      </c>
      <c r="AC231" s="362">
        <f xml:space="preserve"> 'Inputs_ FS'!AC$28</f>
        <v>8000</v>
      </c>
      <c r="AD231" s="362">
        <f xml:space="preserve"> 'Inputs_ FS'!AD$28</f>
        <v>8000</v>
      </c>
      <c r="AE231" s="362">
        <f xml:space="preserve"> 'Inputs_ FS'!AE$28</f>
        <v>8000</v>
      </c>
      <c r="AF231" s="362">
        <f xml:space="preserve"> 'Inputs_ FS'!AF$28</f>
        <v>8000</v>
      </c>
      <c r="AG231" s="362">
        <f xml:space="preserve"> 'Inputs_ FS'!AG$28</f>
        <v>8000</v>
      </c>
      <c r="AH231" s="362">
        <f xml:space="preserve"> 'Inputs_ FS'!AH$28</f>
        <v>8000</v>
      </c>
      <c r="AI231" s="362">
        <f xml:space="preserve"> 'Inputs_ FS'!AI$28</f>
        <v>8000</v>
      </c>
      <c r="AJ231" s="362">
        <f xml:space="preserve"> 'Inputs_ FS'!AJ$28</f>
        <v>8000</v>
      </c>
      <c r="AK231" s="362">
        <f xml:space="preserve"> 'Inputs_ FS'!AK$28</f>
        <v>8000</v>
      </c>
      <c r="AL231" s="362">
        <f xml:space="preserve"> 'Inputs_ FS'!AL$28</f>
        <v>0</v>
      </c>
      <c r="AM231" s="362">
        <f xml:space="preserve"> 'Inputs_ FS'!AM$28</f>
        <v>0</v>
      </c>
      <c r="AN231" s="362">
        <f xml:space="preserve"> 'Inputs_ FS'!AN$28</f>
        <v>0</v>
      </c>
      <c r="AO231" s="362">
        <f xml:space="preserve"> 'Inputs_ FS'!AO$28</f>
        <v>0</v>
      </c>
      <c r="AP231" s="362">
        <f xml:space="preserve"> 'Inputs_ FS'!AP$28</f>
        <v>0</v>
      </c>
      <c r="AQ231" s="362">
        <f xml:space="preserve"> 'Inputs_ FS'!AQ$28</f>
        <v>0</v>
      </c>
      <c r="AR231" s="362">
        <f xml:space="preserve"> 'Inputs_ FS'!AO$28</f>
        <v>0</v>
      </c>
      <c r="AS231" s="362">
        <f xml:space="preserve"> 'Inputs_ FS'!AP$28</f>
        <v>0</v>
      </c>
    </row>
    <row r="232" spans="1:45" ht="15" customHeight="1" x14ac:dyDescent="0.3">
      <c r="A232" s="524"/>
      <c r="B232" s="524"/>
      <c r="C232" s="525"/>
      <c r="D232" s="243"/>
      <c r="E232" s="127" t="str">
        <f xml:space="preserve"> E$186</f>
        <v>Copper realized price: SOM_Contract</v>
      </c>
      <c r="F232" s="127" t="str">
        <f t="shared" ref="F232:O232" si="253" xml:space="preserve"> F$186</f>
        <v>SOM_Contract</v>
      </c>
      <c r="G232" s="127" t="str">
        <f t="shared" si="253"/>
        <v>$ / tonne</v>
      </c>
      <c r="H232" s="127">
        <f t="shared" si="253"/>
        <v>0</v>
      </c>
      <c r="I232" s="127">
        <f t="shared" si="253"/>
        <v>0</v>
      </c>
      <c r="J232" s="127">
        <f t="shared" si="253"/>
        <v>0</v>
      </c>
      <c r="K232" s="127">
        <f t="shared" si="253"/>
        <v>6387.4265919999998</v>
      </c>
      <c r="L232" s="127">
        <f t="shared" si="253"/>
        <v>6786.1034799999998</v>
      </c>
      <c r="M232" s="127">
        <f t="shared" si="253"/>
        <v>6618.6280719999995</v>
      </c>
      <c r="N232" s="127">
        <f t="shared" si="253"/>
        <v>4826.5023639999999</v>
      </c>
      <c r="O232" s="127">
        <f t="shared" si="253"/>
        <v>7191.2085520000001</v>
      </c>
      <c r="P232" s="127">
        <f t="shared" ref="P232:AS232" si="254" xml:space="preserve"> P$186</f>
        <v>8471.1601840000003</v>
      </c>
      <c r="Q232" s="127">
        <f t="shared" si="254"/>
        <v>7610.0893000000005</v>
      </c>
      <c r="R232" s="127">
        <f t="shared" si="254"/>
        <v>6985.1650360000003</v>
      </c>
      <c r="S232" s="127">
        <f t="shared" si="254"/>
        <v>6518.9434119999996</v>
      </c>
      <c r="T232" s="127">
        <f t="shared" si="254"/>
        <v>5171.415172</v>
      </c>
      <c r="U232" s="127">
        <f t="shared" si="254"/>
        <v>4531.4254119999996</v>
      </c>
      <c r="V232" s="127">
        <f t="shared" si="254"/>
        <v>5828.2602399999996</v>
      </c>
      <c r="W232" s="127">
        <f t="shared" si="254"/>
        <v>6186.6788079999997</v>
      </c>
      <c r="X232" s="127">
        <f t="shared" si="254"/>
        <v>5669.1044200000006</v>
      </c>
      <c r="Y232" s="127">
        <f t="shared" si="254"/>
        <v>5832.8597680000003</v>
      </c>
      <c r="Z232" s="127">
        <f t="shared" si="254"/>
        <v>8963.1393639999987</v>
      </c>
      <c r="AA232" s="127">
        <f t="shared" si="254"/>
        <v>8476.6013320000002</v>
      </c>
      <c r="AB232" s="127">
        <f t="shared" si="254"/>
        <v>8139.798952000001</v>
      </c>
      <c r="AC232" s="127">
        <f t="shared" si="254"/>
        <v>8199.5201080000006</v>
      </c>
      <c r="AD232" s="127">
        <f t="shared" si="254"/>
        <v>8309.5840840000001</v>
      </c>
      <c r="AE232" s="127">
        <f t="shared" si="254"/>
        <v>8324.586831999999</v>
      </c>
      <c r="AF232" s="127">
        <f t="shared" si="254"/>
        <v>8316.0789999999997</v>
      </c>
      <c r="AG232" s="127">
        <f t="shared" si="254"/>
        <v>8304.0025000000005</v>
      </c>
      <c r="AH232" s="127">
        <f t="shared" si="254"/>
        <v>8316.8259999999991</v>
      </c>
      <c r="AI232" s="127">
        <f t="shared" si="254"/>
        <v>8504.6035233292805</v>
      </c>
      <c r="AJ232" s="127">
        <f t="shared" si="254"/>
        <v>8681.0355937958666</v>
      </c>
      <c r="AK232" s="127">
        <f t="shared" si="254"/>
        <v>8860.9963056717843</v>
      </c>
      <c r="AL232" s="127">
        <f t="shared" si="254"/>
        <v>9044.55623178522</v>
      </c>
      <c r="AM232" s="127">
        <f t="shared" si="254"/>
        <v>9231.7873564209222</v>
      </c>
      <c r="AN232" s="127">
        <f t="shared" si="254"/>
        <v>9422.7631035493432</v>
      </c>
      <c r="AO232" s="127">
        <f t="shared" si="254"/>
        <v>9617.5583656203307</v>
      </c>
      <c r="AP232" s="127">
        <f t="shared" si="254"/>
        <v>9816.2495329327376</v>
      </c>
      <c r="AQ232" s="127">
        <f t="shared" si="254"/>
        <v>10018.914523591395</v>
      </c>
      <c r="AR232" s="127">
        <f t="shared" si="254"/>
        <v>10225.632814063223</v>
      </c>
      <c r="AS232" s="127">
        <f t="shared" si="254"/>
        <v>10436.485470344485</v>
      </c>
    </row>
    <row r="233" spans="1:45" ht="15" customHeight="1" x14ac:dyDescent="0.3">
      <c r="A233" s="88"/>
      <c r="B233" s="288"/>
      <c r="C233" s="289"/>
      <c r="D233" s="292"/>
      <c r="E233" s="362"/>
      <c r="F233" s="362"/>
      <c r="G233" s="362"/>
      <c r="H233" s="362"/>
      <c r="I233" s="362"/>
      <c r="J233" s="362"/>
      <c r="K233" s="362"/>
      <c r="L233" s="362"/>
      <c r="M233" s="362"/>
      <c r="N233" s="362"/>
      <c r="O233" s="362"/>
      <c r="P233" s="362"/>
      <c r="Q233" s="362"/>
      <c r="R233" s="362"/>
      <c r="S233" s="362"/>
      <c r="T233" s="362"/>
      <c r="U233" s="362"/>
      <c r="V233" s="362"/>
      <c r="W233" s="362"/>
      <c r="X233" s="362"/>
      <c r="Y233" s="362"/>
      <c r="Z233" s="362"/>
      <c r="AA233" s="362"/>
      <c r="AB233" s="362"/>
      <c r="AC233" s="362"/>
      <c r="AD233" s="362"/>
      <c r="AE233" s="362"/>
      <c r="AF233" s="362"/>
      <c r="AG233" s="362"/>
      <c r="AH233" s="362"/>
      <c r="AI233" s="362"/>
      <c r="AJ233" s="362"/>
      <c r="AK233" s="362"/>
      <c r="AL233" s="362"/>
      <c r="AM233" s="362"/>
      <c r="AN233" s="362"/>
      <c r="AO233" s="362"/>
      <c r="AP233" s="362"/>
      <c r="AQ233" s="362"/>
      <c r="AR233" s="362"/>
      <c r="AS233" s="362"/>
    </row>
    <row r="234" spans="1:45" ht="15" customHeight="1" x14ac:dyDescent="0.3">
      <c r="A234" s="168"/>
      <c r="B234" s="374"/>
      <c r="C234" s="375"/>
      <c r="D234" s="376"/>
      <c r="E234" s="293" t="s">
        <v>1041</v>
      </c>
      <c r="F234" s="293"/>
      <c r="G234" s="293" t="s">
        <v>160</v>
      </c>
      <c r="H234" s="293"/>
      <c r="I234" s="293"/>
      <c r="J234" s="293"/>
      <c r="K234" s="293">
        <f t="shared" ref="K234:AS234" si="255">(K2 &lt; 2023) * 1</f>
        <v>1</v>
      </c>
      <c r="L234" s="293">
        <f t="shared" si="255"/>
        <v>1</v>
      </c>
      <c r="M234" s="293">
        <f t="shared" si="255"/>
        <v>1</v>
      </c>
      <c r="N234" s="293">
        <f t="shared" si="255"/>
        <v>1</v>
      </c>
      <c r="O234" s="293">
        <f t="shared" si="255"/>
        <v>1</v>
      </c>
      <c r="P234" s="293">
        <f t="shared" si="255"/>
        <v>1</v>
      </c>
      <c r="Q234" s="293">
        <f t="shared" si="255"/>
        <v>1</v>
      </c>
      <c r="R234" s="293">
        <f t="shared" si="255"/>
        <v>1</v>
      </c>
      <c r="S234" s="293">
        <f t="shared" si="255"/>
        <v>1</v>
      </c>
      <c r="T234" s="293">
        <f t="shared" si="255"/>
        <v>1</v>
      </c>
      <c r="U234" s="293">
        <f t="shared" si="255"/>
        <v>1</v>
      </c>
      <c r="V234" s="293">
        <f t="shared" si="255"/>
        <v>1</v>
      </c>
      <c r="W234" s="293">
        <f t="shared" si="255"/>
        <v>1</v>
      </c>
      <c r="X234" s="293">
        <f t="shared" si="255"/>
        <v>1</v>
      </c>
      <c r="Y234" s="293">
        <f t="shared" si="255"/>
        <v>1</v>
      </c>
      <c r="Z234" s="293">
        <f t="shared" si="255"/>
        <v>1</v>
      </c>
      <c r="AA234" s="293">
        <f t="shared" si="255"/>
        <v>1</v>
      </c>
      <c r="AB234" s="293">
        <f t="shared" si="255"/>
        <v>0</v>
      </c>
      <c r="AC234" s="293">
        <f t="shared" si="255"/>
        <v>0</v>
      </c>
      <c r="AD234" s="293">
        <f t="shared" si="255"/>
        <v>0</v>
      </c>
      <c r="AE234" s="293">
        <f t="shared" si="255"/>
        <v>0</v>
      </c>
      <c r="AF234" s="293">
        <f t="shared" si="255"/>
        <v>0</v>
      </c>
      <c r="AG234" s="293">
        <f t="shared" si="255"/>
        <v>0</v>
      </c>
      <c r="AH234" s="293">
        <f t="shared" si="255"/>
        <v>0</v>
      </c>
      <c r="AI234" s="293">
        <f t="shared" si="255"/>
        <v>0</v>
      </c>
      <c r="AJ234" s="293">
        <f t="shared" si="255"/>
        <v>0</v>
      </c>
      <c r="AK234" s="293">
        <f t="shared" si="255"/>
        <v>0</v>
      </c>
      <c r="AL234" s="293">
        <f t="shared" si="255"/>
        <v>0</v>
      </c>
      <c r="AM234" s="293">
        <f t="shared" si="255"/>
        <v>0</v>
      </c>
      <c r="AN234" s="293">
        <f t="shared" si="255"/>
        <v>0</v>
      </c>
      <c r="AO234" s="293">
        <f t="shared" si="255"/>
        <v>0</v>
      </c>
      <c r="AP234" s="293">
        <f t="shared" si="255"/>
        <v>0</v>
      </c>
      <c r="AQ234" s="293">
        <f t="shared" si="255"/>
        <v>0</v>
      </c>
      <c r="AR234" s="293">
        <f t="shared" si="255"/>
        <v>0</v>
      </c>
      <c r="AS234" s="293">
        <f t="shared" si="255"/>
        <v>0</v>
      </c>
    </row>
    <row r="235" spans="1:45" ht="15" customHeight="1" x14ac:dyDescent="0.3">
      <c r="A235" s="88"/>
      <c r="B235" s="288"/>
      <c r="C235" s="289"/>
      <c r="D235" s="292"/>
      <c r="E235" s="362"/>
      <c r="F235" s="362"/>
      <c r="G235" s="362"/>
      <c r="H235" s="362"/>
      <c r="I235" s="362"/>
      <c r="J235" s="362"/>
      <c r="K235" s="362"/>
      <c r="L235" s="362"/>
      <c r="M235" s="362"/>
      <c r="N235" s="362"/>
      <c r="O235" s="362"/>
      <c r="P235" s="362"/>
      <c r="Q235" s="362"/>
      <c r="R235" s="362"/>
      <c r="S235" s="362"/>
      <c r="T235" s="362"/>
      <c r="U235" s="362"/>
      <c r="V235" s="362"/>
      <c r="W235" s="362"/>
      <c r="X235" s="362"/>
      <c r="Y235" s="362"/>
      <c r="Z235" s="362"/>
      <c r="AA235" s="362"/>
      <c r="AB235" s="362"/>
      <c r="AC235" s="362"/>
      <c r="AD235" s="362"/>
      <c r="AE235" s="362"/>
      <c r="AF235" s="362"/>
      <c r="AG235" s="362"/>
      <c r="AH235" s="362"/>
      <c r="AI235" s="362"/>
      <c r="AJ235" s="362"/>
      <c r="AK235" s="362"/>
      <c r="AL235" s="362"/>
      <c r="AM235" s="362"/>
      <c r="AN235" s="362"/>
      <c r="AO235" s="362"/>
      <c r="AP235" s="362"/>
      <c r="AQ235" s="362"/>
      <c r="AR235" s="362"/>
      <c r="AS235" s="362"/>
    </row>
    <row r="236" spans="1:45" ht="15" customHeight="1" x14ac:dyDescent="0.3">
      <c r="A236" s="88"/>
      <c r="B236" s="288"/>
      <c r="C236" s="289"/>
      <c r="D236" s="292"/>
      <c r="E236" s="184" t="str">
        <f>E211</f>
        <v>Copper cathode price</v>
      </c>
      <c r="F236" s="362"/>
      <c r="G236" s="243" t="s">
        <v>321</v>
      </c>
      <c r="H236" s="362"/>
      <c r="I236" s="362"/>
      <c r="J236" s="362"/>
      <c r="K236" s="362">
        <f t="shared" ref="K236:AS236" si="256">IF($F$207 = "Original", 0, IF(K$234 = 1, K211, K$232 * $F219))</f>
        <v>0</v>
      </c>
      <c r="L236" s="362">
        <f t="shared" si="256"/>
        <v>0</v>
      </c>
      <c r="M236" s="362">
        <f t="shared" si="256"/>
        <v>0</v>
      </c>
      <c r="N236" s="362">
        <f t="shared" si="256"/>
        <v>0</v>
      </c>
      <c r="O236" s="362">
        <f t="shared" si="256"/>
        <v>0</v>
      </c>
      <c r="P236" s="362">
        <f t="shared" si="256"/>
        <v>0</v>
      </c>
      <c r="Q236" s="362">
        <f t="shared" si="256"/>
        <v>0</v>
      </c>
      <c r="R236" s="362">
        <f t="shared" si="256"/>
        <v>0</v>
      </c>
      <c r="S236" s="362">
        <f t="shared" si="256"/>
        <v>0</v>
      </c>
      <c r="T236" s="362">
        <f t="shared" si="256"/>
        <v>0</v>
      </c>
      <c r="U236" s="362">
        <f t="shared" si="256"/>
        <v>0</v>
      </c>
      <c r="V236" s="362">
        <f t="shared" si="256"/>
        <v>0</v>
      </c>
      <c r="W236" s="362">
        <f t="shared" si="256"/>
        <v>0</v>
      </c>
      <c r="X236" s="362">
        <f t="shared" si="256"/>
        <v>5535</v>
      </c>
      <c r="Y236" s="362">
        <f t="shared" si="256"/>
        <v>5998</v>
      </c>
      <c r="Z236" s="362">
        <f t="shared" si="256"/>
        <v>8360</v>
      </c>
      <c r="AA236" s="362">
        <f t="shared" si="256"/>
        <v>6819</v>
      </c>
      <c r="AB236" s="362">
        <f t="shared" si="256"/>
        <v>8139.798952000001</v>
      </c>
      <c r="AC236" s="362">
        <f t="shared" si="256"/>
        <v>8199.5201080000006</v>
      </c>
      <c r="AD236" s="362">
        <f t="shared" si="256"/>
        <v>8309.5840840000001</v>
      </c>
      <c r="AE236" s="362">
        <f t="shared" si="256"/>
        <v>8324.586831999999</v>
      </c>
      <c r="AF236" s="362">
        <f t="shared" si="256"/>
        <v>8316.0789999999997</v>
      </c>
      <c r="AG236" s="362">
        <f t="shared" si="256"/>
        <v>8304.0025000000005</v>
      </c>
      <c r="AH236" s="362">
        <f t="shared" si="256"/>
        <v>8316.8259999999991</v>
      </c>
      <c r="AI236" s="362">
        <f t="shared" si="256"/>
        <v>8504.6035233292805</v>
      </c>
      <c r="AJ236" s="362">
        <f t="shared" si="256"/>
        <v>8681.0355937958666</v>
      </c>
      <c r="AK236" s="362">
        <f t="shared" si="256"/>
        <v>8860.9963056717843</v>
      </c>
      <c r="AL236" s="362">
        <f t="shared" si="256"/>
        <v>9044.55623178522</v>
      </c>
      <c r="AM236" s="362">
        <f t="shared" si="256"/>
        <v>9231.7873564209222</v>
      </c>
      <c r="AN236" s="362">
        <f t="shared" si="256"/>
        <v>9422.7631035493432</v>
      </c>
      <c r="AO236" s="362">
        <f t="shared" si="256"/>
        <v>9617.5583656203307</v>
      </c>
      <c r="AP236" s="362">
        <f t="shared" si="256"/>
        <v>9816.2495329327376</v>
      </c>
      <c r="AQ236" s="362">
        <f t="shared" si="256"/>
        <v>10018.914523591395</v>
      </c>
      <c r="AR236" s="362">
        <f t="shared" si="256"/>
        <v>10225.632814063223</v>
      </c>
      <c r="AS236" s="362">
        <f t="shared" si="256"/>
        <v>10436.485470344485</v>
      </c>
    </row>
    <row r="237" spans="1:45" ht="15" customHeight="1" x14ac:dyDescent="0.3">
      <c r="A237" s="88"/>
      <c r="B237" s="288"/>
      <c r="C237" s="289"/>
      <c r="D237" s="292"/>
      <c r="E237" s="184" t="str">
        <f>E212</f>
        <v>Blister copper price</v>
      </c>
      <c r="F237" s="362"/>
      <c r="G237" s="243" t="s">
        <v>321</v>
      </c>
      <c r="H237" s="362"/>
      <c r="I237" s="362"/>
      <c r="J237" s="362"/>
      <c r="K237" s="362">
        <f t="shared" ref="K237:AS237" si="257">IF($F$207 = "Original", 0, IF(K$234 = 1, K212, K$232 * $F220))</f>
        <v>0</v>
      </c>
      <c r="L237" s="362">
        <f t="shared" si="257"/>
        <v>0</v>
      </c>
      <c r="M237" s="362">
        <f t="shared" si="257"/>
        <v>0</v>
      </c>
      <c r="N237" s="362">
        <f t="shared" si="257"/>
        <v>0</v>
      </c>
      <c r="O237" s="362">
        <f t="shared" si="257"/>
        <v>0</v>
      </c>
      <c r="P237" s="362">
        <f t="shared" si="257"/>
        <v>0</v>
      </c>
      <c r="Q237" s="362">
        <f t="shared" si="257"/>
        <v>0</v>
      </c>
      <c r="R237" s="362">
        <f t="shared" si="257"/>
        <v>0</v>
      </c>
      <c r="S237" s="362">
        <f t="shared" si="257"/>
        <v>0</v>
      </c>
      <c r="T237" s="362">
        <f t="shared" si="257"/>
        <v>0</v>
      </c>
      <c r="U237" s="362">
        <f t="shared" si="257"/>
        <v>0</v>
      </c>
      <c r="V237" s="362">
        <f t="shared" si="257"/>
        <v>5354</v>
      </c>
      <c r="W237" s="362">
        <f t="shared" si="257"/>
        <v>5991</v>
      </c>
      <c r="X237" s="362">
        <f t="shared" si="257"/>
        <v>5519</v>
      </c>
      <c r="Y237" s="362">
        <f t="shared" si="257"/>
        <v>5980</v>
      </c>
      <c r="Z237" s="362">
        <f t="shared" si="257"/>
        <v>8335</v>
      </c>
      <c r="AA237" s="362">
        <f t="shared" si="257"/>
        <v>6798</v>
      </c>
      <c r="AB237" s="362">
        <f t="shared" si="257"/>
        <v>8115.3795551440007</v>
      </c>
      <c r="AC237" s="362">
        <f t="shared" si="257"/>
        <v>8174.921547676001</v>
      </c>
      <c r="AD237" s="362">
        <f t="shared" si="257"/>
        <v>8284.6553317479993</v>
      </c>
      <c r="AE237" s="362">
        <f t="shared" si="257"/>
        <v>8299.6130715039999</v>
      </c>
      <c r="AF237" s="362">
        <f t="shared" si="257"/>
        <v>8291.1307629999992</v>
      </c>
      <c r="AG237" s="362">
        <f t="shared" si="257"/>
        <v>8279.0904925000013</v>
      </c>
      <c r="AH237" s="362">
        <f t="shared" si="257"/>
        <v>8291.8755219999985</v>
      </c>
      <c r="AI237" s="362">
        <f t="shared" si="257"/>
        <v>8479.0897127592925</v>
      </c>
      <c r="AJ237" s="362">
        <f t="shared" si="257"/>
        <v>8654.9924870144787</v>
      </c>
      <c r="AK237" s="362">
        <f t="shared" si="257"/>
        <v>8834.4133167547698</v>
      </c>
      <c r="AL237" s="362">
        <f t="shared" si="257"/>
        <v>9017.4225630898636</v>
      </c>
      <c r="AM237" s="362">
        <f t="shared" si="257"/>
        <v>9204.0919943516601</v>
      </c>
      <c r="AN237" s="362">
        <f t="shared" si="257"/>
        <v>9394.4948142386947</v>
      </c>
      <c r="AO237" s="362">
        <f t="shared" si="257"/>
        <v>9588.7056905234695</v>
      </c>
      <c r="AP237" s="362">
        <f t="shared" si="257"/>
        <v>9786.8007843339401</v>
      </c>
      <c r="AQ237" s="362">
        <f t="shared" si="257"/>
        <v>9988.8577800206203</v>
      </c>
      <c r="AR237" s="362">
        <f t="shared" si="257"/>
        <v>10194.955915621033</v>
      </c>
      <c r="AS237" s="362">
        <f t="shared" si="257"/>
        <v>10405.176013933451</v>
      </c>
    </row>
    <row r="238" spans="1:45" ht="15" customHeight="1" x14ac:dyDescent="0.3">
      <c r="A238" s="88"/>
      <c r="B238" s="288"/>
      <c r="C238" s="289"/>
      <c r="D238" s="292"/>
      <c r="E238" s="184" t="str">
        <f>E213</f>
        <v>Copper matt price</v>
      </c>
      <c r="F238" s="362"/>
      <c r="G238" s="243" t="s">
        <v>321</v>
      </c>
      <c r="H238" s="362"/>
      <c r="I238" s="362"/>
      <c r="J238" s="362"/>
      <c r="K238" s="362">
        <f t="shared" ref="K238:AS238" si="258">IF($F$207 = "Original", 0, IF(K$234 = 1, K213, K$232 * $F221))</f>
        <v>0</v>
      </c>
      <c r="L238" s="362">
        <f t="shared" si="258"/>
        <v>0</v>
      </c>
      <c r="M238" s="362">
        <f t="shared" si="258"/>
        <v>0</v>
      </c>
      <c r="N238" s="362">
        <f t="shared" si="258"/>
        <v>0</v>
      </c>
      <c r="O238" s="362">
        <f t="shared" si="258"/>
        <v>0</v>
      </c>
      <c r="P238" s="362">
        <f t="shared" si="258"/>
        <v>0</v>
      </c>
      <c r="Q238" s="362">
        <f t="shared" si="258"/>
        <v>0</v>
      </c>
      <c r="R238" s="362">
        <f t="shared" si="258"/>
        <v>0</v>
      </c>
      <c r="S238" s="362">
        <f t="shared" si="258"/>
        <v>0</v>
      </c>
      <c r="T238" s="362">
        <f t="shared" si="258"/>
        <v>0</v>
      </c>
      <c r="U238" s="362">
        <f t="shared" si="258"/>
        <v>0</v>
      </c>
      <c r="V238" s="362">
        <f t="shared" si="258"/>
        <v>4296</v>
      </c>
      <c r="W238" s="362">
        <f t="shared" si="258"/>
        <v>4807</v>
      </c>
      <c r="X238" s="362">
        <f t="shared" si="258"/>
        <v>4428</v>
      </c>
      <c r="Y238" s="362">
        <f t="shared" si="258"/>
        <v>4799</v>
      </c>
      <c r="Z238" s="362">
        <f t="shared" si="258"/>
        <v>6688</v>
      </c>
      <c r="AA238" s="362">
        <f t="shared" si="258"/>
        <v>5455</v>
      </c>
      <c r="AB238" s="362">
        <f t="shared" si="258"/>
        <v>6511.8391616000008</v>
      </c>
      <c r="AC238" s="362">
        <f t="shared" si="258"/>
        <v>6559.6160864000012</v>
      </c>
      <c r="AD238" s="362">
        <f t="shared" si="258"/>
        <v>6647.6672672000004</v>
      </c>
      <c r="AE238" s="362">
        <f t="shared" si="258"/>
        <v>6659.6694656</v>
      </c>
      <c r="AF238" s="362">
        <f t="shared" si="258"/>
        <v>6652.8631999999998</v>
      </c>
      <c r="AG238" s="362">
        <f t="shared" si="258"/>
        <v>6643.2020000000011</v>
      </c>
      <c r="AH238" s="362">
        <f t="shared" si="258"/>
        <v>6653.4607999999998</v>
      </c>
      <c r="AI238" s="362">
        <f t="shared" si="258"/>
        <v>6803.6828186634248</v>
      </c>
      <c r="AJ238" s="362">
        <f t="shared" si="258"/>
        <v>6944.8284750366938</v>
      </c>
      <c r="AK238" s="362">
        <f t="shared" si="258"/>
        <v>7088.7970445374276</v>
      </c>
      <c r="AL238" s="362">
        <f t="shared" si="258"/>
        <v>7235.6449854281764</v>
      </c>
      <c r="AM238" s="362">
        <f t="shared" si="258"/>
        <v>7385.4298851367384</v>
      </c>
      <c r="AN238" s="362">
        <f t="shared" si="258"/>
        <v>7538.2104828394749</v>
      </c>
      <c r="AO238" s="362">
        <f t="shared" si="258"/>
        <v>7694.0466924962648</v>
      </c>
      <c r="AP238" s="362">
        <f t="shared" si="258"/>
        <v>7852.9996263461908</v>
      </c>
      <c r="AQ238" s="362">
        <f t="shared" si="258"/>
        <v>8015.1316188731162</v>
      </c>
      <c r="AR238" s="362">
        <f t="shared" si="258"/>
        <v>8180.5062512505792</v>
      </c>
      <c r="AS238" s="362">
        <f t="shared" si="258"/>
        <v>8349.1883762755879</v>
      </c>
    </row>
    <row r="239" spans="1:45" ht="15" customHeight="1" x14ac:dyDescent="0.3">
      <c r="A239" s="88"/>
      <c r="B239" s="288"/>
      <c r="C239" s="289"/>
      <c r="D239" s="292"/>
      <c r="E239" s="184" t="str">
        <f>E214</f>
        <v>Copper sulfide concentrates price</v>
      </c>
      <c r="F239" s="362"/>
      <c r="G239" s="243" t="s">
        <v>321</v>
      </c>
      <c r="H239" s="362"/>
      <c r="I239" s="362"/>
      <c r="J239" s="362"/>
      <c r="K239" s="362">
        <f t="shared" ref="K239:AS239" si="259">IF($F$207 = "Original", 0, IF(K$234 = 1, K214, K$232 * $F222))</f>
        <v>0</v>
      </c>
      <c r="L239" s="362">
        <f t="shared" si="259"/>
        <v>0</v>
      </c>
      <c r="M239" s="362">
        <f t="shared" si="259"/>
        <v>0</v>
      </c>
      <c r="N239" s="362">
        <f t="shared" si="259"/>
        <v>0</v>
      </c>
      <c r="O239" s="362">
        <f t="shared" si="259"/>
        <v>0</v>
      </c>
      <c r="P239" s="362">
        <f t="shared" si="259"/>
        <v>0</v>
      </c>
      <c r="Q239" s="362">
        <f t="shared" si="259"/>
        <v>0</v>
      </c>
      <c r="R239" s="362">
        <f t="shared" si="259"/>
        <v>0</v>
      </c>
      <c r="S239" s="362">
        <f t="shared" si="259"/>
        <v>0</v>
      </c>
      <c r="T239" s="362">
        <f t="shared" si="259"/>
        <v>0</v>
      </c>
      <c r="U239" s="362">
        <f t="shared" si="259"/>
        <v>0</v>
      </c>
      <c r="V239" s="362">
        <f t="shared" si="259"/>
        <v>1123</v>
      </c>
      <c r="W239" s="362">
        <f t="shared" si="259"/>
        <v>833</v>
      </c>
      <c r="X239" s="362">
        <f t="shared" si="259"/>
        <v>815</v>
      </c>
      <c r="Y239" s="362">
        <f t="shared" si="259"/>
        <v>2096</v>
      </c>
      <c r="Z239" s="362">
        <f t="shared" si="259"/>
        <v>2447</v>
      </c>
      <c r="AA239" s="362">
        <f t="shared" si="259"/>
        <v>6001</v>
      </c>
      <c r="AB239" s="362">
        <f t="shared" si="259"/>
        <v>7163.0230777600009</v>
      </c>
      <c r="AC239" s="362">
        <f t="shared" si="259"/>
        <v>7215.5776950400004</v>
      </c>
      <c r="AD239" s="362">
        <f t="shared" si="259"/>
        <v>7312.4339939199999</v>
      </c>
      <c r="AE239" s="362">
        <f t="shared" si="259"/>
        <v>7325.6364121599991</v>
      </c>
      <c r="AF239" s="362">
        <f t="shared" si="259"/>
        <v>7318.1495199999999</v>
      </c>
      <c r="AG239" s="362">
        <f t="shared" si="259"/>
        <v>7307.5222000000003</v>
      </c>
      <c r="AH239" s="362">
        <f t="shared" si="259"/>
        <v>7318.8068799999992</v>
      </c>
      <c r="AI239" s="362">
        <f t="shared" si="259"/>
        <v>7484.0511005297667</v>
      </c>
      <c r="AJ239" s="362">
        <f t="shared" si="259"/>
        <v>7639.3113225403622</v>
      </c>
      <c r="AK239" s="362">
        <f t="shared" si="259"/>
        <v>7797.6767489911699</v>
      </c>
      <c r="AL239" s="362">
        <f t="shared" si="259"/>
        <v>7959.2094839709935</v>
      </c>
      <c r="AM239" s="362">
        <f t="shared" si="259"/>
        <v>8123.9728736504112</v>
      </c>
      <c r="AN239" s="362">
        <f t="shared" si="259"/>
        <v>8292.0315311234226</v>
      </c>
      <c r="AO239" s="362">
        <f t="shared" si="259"/>
        <v>8463.4513617458906</v>
      </c>
      <c r="AP239" s="362">
        <f t="shared" si="259"/>
        <v>8638.2995889808099</v>
      </c>
      <c r="AQ239" s="362">
        <f t="shared" si="259"/>
        <v>8816.6447807604272</v>
      </c>
      <c r="AR239" s="362">
        <f t="shared" si="259"/>
        <v>8998.5568763756364</v>
      </c>
      <c r="AS239" s="362">
        <f t="shared" si="259"/>
        <v>9184.1072139031476</v>
      </c>
    </row>
    <row r="240" spans="1:45" ht="15" customHeight="1" x14ac:dyDescent="0.3">
      <c r="A240" s="88"/>
      <c r="B240" s="288"/>
      <c r="C240" s="289"/>
      <c r="D240" s="292"/>
      <c r="E240" s="184" t="str">
        <f>E215</f>
        <v>Copper oxide concentrates price</v>
      </c>
      <c r="F240" s="362"/>
      <c r="G240" s="243" t="s">
        <v>321</v>
      </c>
      <c r="H240" s="362"/>
      <c r="I240" s="362"/>
      <c r="J240" s="362"/>
      <c r="K240" s="362">
        <f t="shared" ref="K240:AS240" si="260">IF($F$207 = "Original", 0, IF(K$234 = 1, K215, K$232 * $F223))</f>
        <v>0</v>
      </c>
      <c r="L240" s="362">
        <f t="shared" si="260"/>
        <v>0</v>
      </c>
      <c r="M240" s="362">
        <f t="shared" si="260"/>
        <v>0</v>
      </c>
      <c r="N240" s="362">
        <f t="shared" si="260"/>
        <v>0</v>
      </c>
      <c r="O240" s="362">
        <f t="shared" si="260"/>
        <v>0</v>
      </c>
      <c r="P240" s="362">
        <f t="shared" si="260"/>
        <v>0</v>
      </c>
      <c r="Q240" s="362">
        <f t="shared" si="260"/>
        <v>0</v>
      </c>
      <c r="R240" s="362">
        <f t="shared" si="260"/>
        <v>0</v>
      </c>
      <c r="S240" s="362">
        <f t="shared" si="260"/>
        <v>0</v>
      </c>
      <c r="T240" s="362">
        <f t="shared" si="260"/>
        <v>0</v>
      </c>
      <c r="U240" s="362">
        <f t="shared" si="260"/>
        <v>0</v>
      </c>
      <c r="V240" s="362">
        <f t="shared" si="260"/>
        <v>2685</v>
      </c>
      <c r="W240" s="362">
        <f t="shared" si="260"/>
        <v>3005</v>
      </c>
      <c r="X240" s="362">
        <f t="shared" si="260"/>
        <v>2768</v>
      </c>
      <c r="Y240" s="362">
        <f t="shared" si="260"/>
        <v>2999</v>
      </c>
      <c r="Z240" s="362">
        <f t="shared" si="260"/>
        <v>4180</v>
      </c>
      <c r="AA240" s="362">
        <f t="shared" si="260"/>
        <v>3409</v>
      </c>
      <c r="AB240" s="362">
        <f t="shared" si="260"/>
        <v>4069.8994760000005</v>
      </c>
      <c r="AC240" s="362">
        <f t="shared" si="260"/>
        <v>4099.7600540000003</v>
      </c>
      <c r="AD240" s="362">
        <f t="shared" si="260"/>
        <v>4154.792042</v>
      </c>
      <c r="AE240" s="362">
        <f t="shared" si="260"/>
        <v>4162.2934159999995</v>
      </c>
      <c r="AF240" s="362">
        <f t="shared" si="260"/>
        <v>4158.0394999999999</v>
      </c>
      <c r="AG240" s="362">
        <f t="shared" si="260"/>
        <v>4152.0012500000003</v>
      </c>
      <c r="AH240" s="362">
        <f t="shared" si="260"/>
        <v>4158.4129999999996</v>
      </c>
      <c r="AI240" s="362">
        <f t="shared" si="260"/>
        <v>4252.3017616646403</v>
      </c>
      <c r="AJ240" s="362">
        <f t="shared" si="260"/>
        <v>4340.5177968979333</v>
      </c>
      <c r="AK240" s="362">
        <f t="shared" si="260"/>
        <v>4430.4981528358921</v>
      </c>
      <c r="AL240" s="362">
        <f t="shared" si="260"/>
        <v>4522.27811589261</v>
      </c>
      <c r="AM240" s="362">
        <f t="shared" si="260"/>
        <v>4615.8936782104611</v>
      </c>
      <c r="AN240" s="362">
        <f t="shared" si="260"/>
        <v>4711.3815517746716</v>
      </c>
      <c r="AO240" s="362">
        <f t="shared" si="260"/>
        <v>4808.7791828101654</v>
      </c>
      <c r="AP240" s="362">
        <f t="shared" si="260"/>
        <v>4908.1247664663688</v>
      </c>
      <c r="AQ240" s="362">
        <f t="shared" si="260"/>
        <v>5009.4572617956974</v>
      </c>
      <c r="AR240" s="362">
        <f t="shared" si="260"/>
        <v>5112.8164070316116</v>
      </c>
      <c r="AS240" s="362">
        <f t="shared" si="260"/>
        <v>5218.2427351722426</v>
      </c>
    </row>
    <row r="241" spans="1:45" ht="15" customHeight="1" x14ac:dyDescent="0.3">
      <c r="A241" s="88"/>
      <c r="B241" s="288"/>
      <c r="C241" s="289"/>
      <c r="D241" s="292"/>
      <c r="E241" s="184"/>
      <c r="F241" s="362"/>
      <c r="G241" s="362"/>
      <c r="H241" s="362"/>
      <c r="I241" s="362"/>
      <c r="J241" s="362"/>
      <c r="K241" s="362"/>
      <c r="L241" s="362"/>
      <c r="M241" s="362"/>
      <c r="N241" s="362"/>
      <c r="O241" s="362"/>
      <c r="P241" s="362"/>
      <c r="Q241" s="362"/>
      <c r="R241" s="362"/>
      <c r="S241" s="362"/>
      <c r="T241" s="362"/>
      <c r="U241" s="362"/>
      <c r="V241" s="362"/>
      <c r="W241" s="362"/>
      <c r="X241" s="362"/>
      <c r="Y241" s="362"/>
      <c r="Z241" s="362"/>
      <c r="AA241" s="362"/>
      <c r="AB241" s="362"/>
      <c r="AC241" s="362"/>
      <c r="AD241" s="362"/>
      <c r="AE241" s="362"/>
      <c r="AF241" s="362"/>
      <c r="AG241" s="362"/>
      <c r="AH241" s="362"/>
      <c r="AI241" s="362"/>
      <c r="AJ241" s="362"/>
      <c r="AK241" s="362"/>
      <c r="AL241" s="362"/>
      <c r="AM241" s="362"/>
      <c r="AN241" s="362"/>
      <c r="AO241" s="362"/>
      <c r="AP241" s="362"/>
      <c r="AQ241" s="362"/>
      <c r="AR241" s="362"/>
      <c r="AS241" s="362"/>
    </row>
    <row r="242" spans="1:45" ht="15" customHeight="1" collapsed="1" x14ac:dyDescent="0.3">
      <c r="A242" s="15" t="s">
        <v>298</v>
      </c>
      <c r="B242" s="119"/>
      <c r="C242" s="120"/>
      <c r="D242" s="121"/>
      <c r="E242" s="119"/>
      <c r="F242" s="119"/>
      <c r="G242" s="119"/>
      <c r="H242" s="119"/>
      <c r="I242" s="119"/>
      <c r="J242" s="16"/>
      <c r="K242" s="16"/>
      <c r="L242" s="16"/>
      <c r="M242" s="16"/>
      <c r="N242" s="16"/>
      <c r="O242" s="16"/>
      <c r="P242" s="16"/>
      <c r="Q242" s="16"/>
      <c r="R242" s="16"/>
      <c r="S242" s="16"/>
      <c r="T242" s="16"/>
      <c r="U242" s="16"/>
      <c r="V242" s="16"/>
      <c r="W242" s="16"/>
      <c r="X242" s="16"/>
      <c r="Y242" s="16"/>
      <c r="Z242" s="16"/>
      <c r="AA242" s="16"/>
      <c r="AB242" s="16"/>
      <c r="AC242" s="16"/>
      <c r="AD242" s="16"/>
      <c r="AE242" s="16"/>
      <c r="AF242" s="16"/>
      <c r="AG242" s="16"/>
      <c r="AH242" s="16"/>
      <c r="AI242" s="16"/>
      <c r="AJ242" s="16"/>
      <c r="AK242" s="16"/>
      <c r="AL242" s="16"/>
      <c r="AM242" s="16"/>
      <c r="AN242" s="16"/>
      <c r="AO242" s="16"/>
      <c r="AP242" s="16"/>
      <c r="AQ242" s="16"/>
      <c r="AR242" s="16"/>
      <c r="AS242" s="16"/>
    </row>
    <row r="243" spans="1:45" ht="15" customHeight="1" x14ac:dyDescent="0.3">
      <c r="A243" s="129"/>
      <c r="B243" s="129"/>
      <c r="C243" s="130"/>
      <c r="D243" s="106"/>
      <c r="E243" s="106"/>
      <c r="F243" s="106"/>
      <c r="G243" s="106"/>
      <c r="H243" s="131"/>
      <c r="I243" s="131"/>
      <c r="J243" s="128"/>
      <c r="K243" s="110"/>
      <c r="L243" s="110"/>
      <c r="M243" s="110"/>
      <c r="N243" s="110"/>
      <c r="O243" s="110"/>
      <c r="P243" s="110"/>
      <c r="Q243" s="110"/>
      <c r="R243" s="110"/>
      <c r="S243" s="110"/>
      <c r="T243" s="110"/>
      <c r="U243" s="110"/>
      <c r="V243" s="110"/>
      <c r="W243" s="110"/>
      <c r="X243" s="110"/>
      <c r="Y243" s="110"/>
      <c r="Z243" s="110"/>
      <c r="AA243" s="110"/>
      <c r="AB243" s="110"/>
      <c r="AC243" s="110"/>
      <c r="AD243" s="110"/>
      <c r="AE243" s="110"/>
      <c r="AF243" s="110"/>
      <c r="AG243" s="110"/>
      <c r="AH243" s="110"/>
      <c r="AI243" s="110"/>
      <c r="AJ243" s="110"/>
      <c r="AK243" s="110"/>
      <c r="AL243" s="110"/>
      <c r="AM243" s="110"/>
      <c r="AN243" s="110"/>
      <c r="AO243" s="110"/>
      <c r="AP243" s="110"/>
      <c r="AQ243" s="110"/>
      <c r="AR243" s="110"/>
      <c r="AS243" s="110"/>
    </row>
    <row r="244" spans="1:45" ht="15" customHeight="1" x14ac:dyDescent="0.3">
      <c r="A244" s="129"/>
      <c r="B244" s="129" t="s">
        <v>634</v>
      </c>
      <c r="C244" s="130"/>
      <c r="D244" s="106"/>
      <c r="E244" s="106"/>
      <c r="F244" s="659"/>
      <c r="G244" s="674"/>
      <c r="H244" s="131"/>
      <c r="I244" s="131"/>
      <c r="J244" s="128"/>
      <c r="K244" s="110"/>
      <c r="L244" s="110"/>
      <c r="M244" s="110"/>
      <c r="N244" s="110"/>
      <c r="O244" s="110"/>
      <c r="P244" s="110"/>
      <c r="Q244" s="110"/>
      <c r="R244" s="110"/>
      <c r="S244" s="110"/>
      <c r="T244" s="110"/>
      <c r="U244" s="110"/>
      <c r="V244" s="110"/>
      <c r="W244" s="110"/>
      <c r="X244" s="110"/>
      <c r="Y244" s="110"/>
      <c r="Z244" s="110"/>
      <c r="AA244" s="110"/>
      <c r="AB244" s="110"/>
      <c r="AC244" s="110"/>
      <c r="AD244" s="110"/>
      <c r="AE244" s="110"/>
      <c r="AF244" s="110"/>
      <c r="AG244" s="110"/>
      <c r="AH244" s="110"/>
      <c r="AI244" s="110"/>
      <c r="AJ244" s="110"/>
      <c r="AK244" s="110"/>
      <c r="AL244" s="110"/>
      <c r="AM244" s="110"/>
      <c r="AN244" s="110"/>
      <c r="AO244" s="110"/>
      <c r="AP244" s="110"/>
      <c r="AQ244" s="110"/>
      <c r="AR244" s="110"/>
      <c r="AS244" s="110"/>
    </row>
    <row r="245" spans="1:45" ht="15" customHeight="1" x14ac:dyDescent="0.3">
      <c r="A245" s="129"/>
      <c r="B245" s="129"/>
      <c r="C245" s="532" t="s">
        <v>635</v>
      </c>
      <c r="D245" s="106"/>
      <c r="E245" s="106"/>
      <c r="F245" s="659"/>
      <c r="G245" s="674"/>
      <c r="H245" s="131"/>
      <c r="I245" s="131"/>
      <c r="J245" s="128"/>
      <c r="K245" s="110"/>
      <c r="L245" s="110"/>
      <c r="M245" s="110"/>
      <c r="N245" s="110"/>
      <c r="O245" s="110"/>
      <c r="P245" s="110"/>
      <c r="Q245" s="110"/>
      <c r="R245" s="110"/>
      <c r="S245" s="110"/>
      <c r="T245" s="110"/>
      <c r="U245" s="110"/>
      <c r="V245" s="110"/>
      <c r="W245" s="110"/>
      <c r="X245" s="110"/>
      <c r="Y245" s="110"/>
      <c r="Z245" s="110"/>
      <c r="AA245" s="110"/>
      <c r="AB245" s="110"/>
      <c r="AC245" s="110"/>
      <c r="AD245" s="110"/>
      <c r="AE245" s="110"/>
      <c r="AF245" s="110"/>
      <c r="AG245" s="110"/>
      <c r="AH245" s="110"/>
      <c r="AI245" s="110"/>
      <c r="AJ245" s="110"/>
      <c r="AK245" s="110"/>
      <c r="AL245" s="110"/>
      <c r="AM245" s="110"/>
      <c r="AN245" s="110"/>
      <c r="AO245" s="110"/>
      <c r="AP245" s="110"/>
      <c r="AQ245" s="110"/>
      <c r="AR245" s="110"/>
      <c r="AS245" s="110"/>
    </row>
    <row r="246" spans="1:45" ht="15" customHeight="1" x14ac:dyDescent="0.3">
      <c r="A246" s="129"/>
      <c r="B246" s="129"/>
      <c r="C246" s="130"/>
      <c r="D246" s="106"/>
      <c r="E246" s="145" t="str">
        <f xml:space="preserve"> Inputs_TS!E$217</f>
        <v>IMF Cobalt Spot Price (PCOBA)</v>
      </c>
      <c r="F246" s="147">
        <f xml:space="preserve"> Inputs_TS!F$217</f>
        <v>0</v>
      </c>
      <c r="G246" s="147" t="str">
        <f xml:space="preserve"> Inputs_TS!G$217</f>
        <v>$ / tonne</v>
      </c>
      <c r="H246" s="84" t="str">
        <f xml:space="preserve"> Inputs_TS!H$217</f>
        <v>XXIV</v>
      </c>
      <c r="I246" s="84">
        <f xml:space="preserve"> Inputs_TS!I$217</f>
        <v>0</v>
      </c>
      <c r="J246" s="148">
        <f xml:space="preserve"> Inputs_TS!J$217</f>
        <v>0</v>
      </c>
      <c r="K246" s="147">
        <f xml:space="preserve"> Inputs_TS!K$217</f>
        <v>31172.303428077401</v>
      </c>
      <c r="L246" s="147">
        <f xml:space="preserve"> Inputs_TS!L$217</f>
        <v>54341.499809881199</v>
      </c>
      <c r="M246" s="147">
        <f xml:space="preserve"> Inputs_TS!M$217</f>
        <v>70839.254468594096</v>
      </c>
      <c r="N246" s="147">
        <f xml:space="preserve"> Inputs_TS!N$217</f>
        <v>32088.124664743598</v>
      </c>
      <c r="O246" s="147">
        <f xml:space="preserve"> Inputs_TS!O$217</f>
        <v>39368.276123773197</v>
      </c>
      <c r="P246" s="147">
        <f xml:space="preserve"> Inputs_TS!P$217</f>
        <v>35344.638635317999</v>
      </c>
      <c r="Q246" s="147">
        <f xml:space="preserve"> Inputs_TS!Q$217</f>
        <v>28930.686530122199</v>
      </c>
      <c r="R246" s="147">
        <f xml:space="preserve"> Inputs_TS!R$217</f>
        <v>27090.822506313099</v>
      </c>
      <c r="S246" s="147">
        <f xml:space="preserve"> Inputs_TS!S$217</f>
        <v>30780.7319565531</v>
      </c>
      <c r="T246" s="147">
        <f xml:space="preserve"> Inputs_TS!T$217</f>
        <v>28451.660698559601</v>
      </c>
      <c r="U246" s="147">
        <f xml:space="preserve"> Inputs_TS!U$217</f>
        <v>25463.3685425685</v>
      </c>
      <c r="V246" s="147">
        <f xml:space="preserve"> Inputs_TS!V$217</f>
        <v>55832.1709807429</v>
      </c>
      <c r="W246" s="147">
        <f xml:space="preserve"> Inputs_TS!W$217</f>
        <v>72911.236898013303</v>
      </c>
      <c r="X246" s="147">
        <f xml:space="preserve"> Inputs_TS!X$217</f>
        <v>33177.6323053909</v>
      </c>
      <c r="Y246" s="147">
        <f xml:space="preserve"> Inputs_TS!Y$217</f>
        <v>31444.926902256499</v>
      </c>
      <c r="Z246" s="147">
        <f xml:space="preserve"> Inputs_TS!Z$217</f>
        <v>51235.518379838803</v>
      </c>
      <c r="AA246" s="147">
        <f xml:space="preserve"> Inputs_TS!AA$217</f>
        <v>63764.719304065497</v>
      </c>
      <c r="AB246" s="147">
        <f xml:space="preserve"> Inputs_TS!AB$217</f>
        <v>34275.041504525099</v>
      </c>
      <c r="AC246" s="147">
        <f xml:space="preserve"> Inputs_TS!AC$217</f>
        <v>26326.827560543301</v>
      </c>
      <c r="AD246" s="147">
        <f xml:space="preserve"> Inputs_TS!AD$217</f>
        <v>0</v>
      </c>
      <c r="AE246" s="147">
        <f xml:space="preserve"> Inputs_TS!AE$217</f>
        <v>0</v>
      </c>
      <c r="AF246" s="147">
        <f xml:space="preserve"> Inputs_TS!AF$217</f>
        <v>0</v>
      </c>
      <c r="AG246" s="147">
        <f xml:space="preserve"> Inputs_TS!AG$217</f>
        <v>0</v>
      </c>
      <c r="AH246" s="147">
        <f xml:space="preserve"> Inputs_TS!AH$217</f>
        <v>0</v>
      </c>
      <c r="AI246" s="147">
        <f xml:space="preserve"> Inputs_TS!AI$217</f>
        <v>0</v>
      </c>
      <c r="AJ246" s="147">
        <f xml:space="preserve"> Inputs_TS!AJ$217</f>
        <v>0</v>
      </c>
      <c r="AK246" s="147">
        <f xml:space="preserve"> Inputs_TS!AK$217</f>
        <v>0</v>
      </c>
      <c r="AL246" s="147">
        <f xml:space="preserve"> Inputs_TS!AL$217</f>
        <v>0</v>
      </c>
      <c r="AM246" s="147">
        <f xml:space="preserve"> Inputs_TS!AM$217</f>
        <v>0</v>
      </c>
      <c r="AN246" s="147">
        <f xml:space="preserve"> Inputs_TS!AN$217</f>
        <v>0</v>
      </c>
      <c r="AO246" s="147">
        <f xml:space="preserve"> Inputs_TS!AO$217</f>
        <v>0</v>
      </c>
      <c r="AP246" s="147">
        <f xml:space="preserve"> Inputs_TS!AP$217</f>
        <v>0</v>
      </c>
      <c r="AQ246" s="147">
        <f xml:space="preserve"> Inputs_TS!AQ$217</f>
        <v>0</v>
      </c>
      <c r="AR246" s="147">
        <f xml:space="preserve"> Inputs_TS!AR$217</f>
        <v>0</v>
      </c>
      <c r="AS246" s="147">
        <f xml:space="preserve"> Inputs_TS!AS$217</f>
        <v>0</v>
      </c>
    </row>
    <row r="247" spans="1:45" ht="15" customHeight="1" x14ac:dyDescent="0.3">
      <c r="A247" s="129"/>
      <c r="B247" s="129"/>
      <c r="C247" s="130"/>
      <c r="D247" s="106"/>
      <c r="E247" s="145"/>
      <c r="F247" s="147"/>
      <c r="G247" s="147"/>
      <c r="H247" s="84"/>
      <c r="I247" s="84"/>
      <c r="J247" s="148"/>
      <c r="K247" s="147"/>
      <c r="L247" s="147"/>
      <c r="M247" s="147"/>
      <c r="N247" s="147"/>
      <c r="O247" s="147"/>
      <c r="P247" s="147"/>
      <c r="Q247" s="147"/>
      <c r="R247" s="147"/>
      <c r="S247" s="147"/>
      <c r="T247" s="147"/>
      <c r="U247" s="147"/>
      <c r="V247" s="147"/>
      <c r="W247" s="147"/>
      <c r="X247" s="147"/>
      <c r="Y247" s="147"/>
      <c r="Z247" s="147"/>
      <c r="AA247" s="147"/>
      <c r="AB247" s="147"/>
      <c r="AC247" s="147"/>
      <c r="AD247" s="147"/>
      <c r="AE247" s="147"/>
      <c r="AF247" s="147"/>
      <c r="AG247" s="147"/>
      <c r="AH247" s="147"/>
      <c r="AI247" s="147"/>
      <c r="AJ247" s="147"/>
      <c r="AK247" s="147"/>
      <c r="AL247" s="147"/>
      <c r="AM247" s="147"/>
      <c r="AN247" s="147"/>
      <c r="AO247" s="147"/>
      <c r="AP247" s="147"/>
      <c r="AQ247" s="147"/>
      <c r="AR247" s="147"/>
      <c r="AS247" s="147"/>
    </row>
    <row r="248" spans="1:45" ht="15" customHeight="1" x14ac:dyDescent="0.3">
      <c r="A248" s="129"/>
      <c r="B248" s="129"/>
      <c r="C248" s="532" t="s">
        <v>636</v>
      </c>
      <c r="D248" s="106"/>
      <c r="E248" s="145"/>
      <c r="F248" s="147"/>
      <c r="G248" s="147"/>
      <c r="H248" s="84"/>
      <c r="I248" s="84"/>
      <c r="J248" s="148"/>
      <c r="K248" s="147"/>
      <c r="L248" s="147"/>
      <c r="M248" s="147"/>
      <c r="N248" s="147"/>
      <c r="O248" s="147"/>
      <c r="P248" s="147"/>
      <c r="Q248" s="147"/>
      <c r="R248" s="147"/>
      <c r="S248" s="147"/>
      <c r="T248" s="147"/>
      <c r="U248" s="147"/>
      <c r="V248" s="147"/>
      <c r="W248" s="147"/>
      <c r="X248" s="147"/>
      <c r="Y248" s="147"/>
      <c r="Z248" s="147"/>
      <c r="AA248" s="147"/>
      <c r="AB248" s="147"/>
      <c r="AC248" s="147"/>
      <c r="AD248" s="147"/>
      <c r="AE248" s="147"/>
      <c r="AF248" s="147"/>
      <c r="AG248" s="147"/>
      <c r="AH248" s="147"/>
      <c r="AI248" s="147"/>
      <c r="AJ248" s="147"/>
      <c r="AK248" s="147"/>
      <c r="AL248" s="147"/>
      <c r="AM248" s="147"/>
      <c r="AN248" s="147"/>
      <c r="AO248" s="147"/>
      <c r="AP248" s="147"/>
      <c r="AQ248" s="147"/>
      <c r="AR248" s="147"/>
      <c r="AS248" s="147"/>
    </row>
    <row r="249" spans="1:45" ht="15" customHeight="1" x14ac:dyDescent="0.3">
      <c r="A249" s="129"/>
      <c r="B249" s="129"/>
      <c r="C249" s="532"/>
      <c r="D249" s="106"/>
      <c r="E249" s="517" t="str">
        <f xml:space="preserve"> Inputs_Con!E$41</f>
        <v>Cobalt forecast price</v>
      </c>
      <c r="F249" s="517" t="str">
        <f xml:space="preserve"> Inputs_Con!F$41</f>
        <v>IMF_WEO</v>
      </c>
      <c r="G249" s="517" t="str">
        <f xml:space="preserve"> Inputs_Con!G$41</f>
        <v>option selected</v>
      </c>
      <c r="H249" s="84"/>
      <c r="I249" s="84"/>
      <c r="J249" s="148"/>
      <c r="K249" s="147"/>
      <c r="L249" s="147"/>
      <c r="M249" s="147"/>
      <c r="N249" s="147"/>
      <c r="O249" s="147"/>
      <c r="P249" s="147"/>
      <c r="Q249" s="147"/>
      <c r="R249" s="147"/>
      <c r="S249" s="147"/>
      <c r="T249" s="147"/>
      <c r="U249" s="147"/>
      <c r="V249" s="147"/>
      <c r="W249" s="147"/>
      <c r="X249" s="147"/>
      <c r="Y249" s="147"/>
      <c r="Z249" s="147"/>
      <c r="AA249" s="147"/>
      <c r="AB249" s="147"/>
      <c r="AC249" s="147"/>
      <c r="AD249" s="147"/>
      <c r="AE249" s="147"/>
      <c r="AF249" s="147"/>
      <c r="AG249" s="147"/>
      <c r="AH249" s="147"/>
      <c r="AI249" s="147"/>
      <c r="AJ249" s="147"/>
      <c r="AK249" s="147"/>
      <c r="AL249" s="147"/>
      <c r="AM249" s="147"/>
      <c r="AN249" s="147"/>
      <c r="AO249" s="147"/>
      <c r="AP249" s="147"/>
      <c r="AQ249" s="147"/>
      <c r="AR249" s="147"/>
      <c r="AS249" s="147"/>
    </row>
    <row r="250" spans="1:45" ht="15" customHeight="1" x14ac:dyDescent="0.3">
      <c r="A250" s="129"/>
      <c r="B250" s="129"/>
      <c r="C250" s="532"/>
      <c r="D250" s="106"/>
      <c r="E250" s="256" t="str">
        <f xml:space="preserve"> Inputs_TS!E$262</f>
        <v>Co forecast: IMF_WEO</v>
      </c>
      <c r="F250" s="256" t="str">
        <f xml:space="preserve"> Inputs_TS!F$262</f>
        <v>IMF_WEO</v>
      </c>
      <c r="G250" s="256" t="str">
        <f xml:space="preserve"> Inputs_TS!G$262</f>
        <v>$ / tonne</v>
      </c>
      <c r="H250" s="256">
        <f xml:space="preserve"> Inputs_TS!H$262</f>
        <v>0</v>
      </c>
      <c r="I250" s="256">
        <f xml:space="preserve"> Inputs_TS!I$262</f>
        <v>0</v>
      </c>
      <c r="J250" s="256">
        <f xml:space="preserve"> Inputs_TS!J$262</f>
        <v>0</v>
      </c>
      <c r="K250" s="256">
        <f xml:space="preserve"> Inputs_TS!K$262</f>
        <v>0</v>
      </c>
      <c r="L250" s="256">
        <f xml:space="preserve"> Inputs_TS!L$262</f>
        <v>0</v>
      </c>
      <c r="M250" s="256">
        <f xml:space="preserve"> Inputs_TS!M$262</f>
        <v>0</v>
      </c>
      <c r="N250" s="256">
        <f xml:space="preserve"> Inputs_TS!N$262</f>
        <v>0</v>
      </c>
      <c r="O250" s="256">
        <f xml:space="preserve"> Inputs_TS!O$262</f>
        <v>0</v>
      </c>
      <c r="P250" s="256">
        <f xml:space="preserve"> Inputs_TS!P$262</f>
        <v>0</v>
      </c>
      <c r="Q250" s="256">
        <f xml:space="preserve"> Inputs_TS!Q$262</f>
        <v>0</v>
      </c>
      <c r="R250" s="256">
        <f xml:space="preserve"> Inputs_TS!R$262</f>
        <v>0</v>
      </c>
      <c r="S250" s="256">
        <f xml:space="preserve"> Inputs_TS!S$262</f>
        <v>0</v>
      </c>
      <c r="T250" s="256">
        <f xml:space="preserve"> Inputs_TS!T$262</f>
        <v>0</v>
      </c>
      <c r="U250" s="256">
        <f xml:space="preserve"> Inputs_TS!U$262</f>
        <v>0</v>
      </c>
      <c r="V250" s="256">
        <f xml:space="preserve"> Inputs_TS!V$262</f>
        <v>0</v>
      </c>
      <c r="W250" s="256">
        <f xml:space="preserve"> Inputs_TS!W$262</f>
        <v>0</v>
      </c>
      <c r="X250" s="256">
        <f xml:space="preserve"> Inputs_TS!X$262</f>
        <v>0</v>
      </c>
      <c r="Y250" s="256">
        <f xml:space="preserve"> Inputs_TS!Y$262</f>
        <v>0</v>
      </c>
      <c r="Z250" s="256">
        <f xml:space="preserve"> Inputs_TS!Z$262</f>
        <v>0</v>
      </c>
      <c r="AA250" s="256">
        <f xml:space="preserve"> Inputs_TS!AA$262</f>
        <v>0</v>
      </c>
      <c r="AB250" s="256">
        <f xml:space="preserve"> Inputs_TS!AB$262</f>
        <v>0</v>
      </c>
      <c r="AC250" s="256">
        <f xml:space="preserve"> Inputs_TS!AC$262</f>
        <v>0</v>
      </c>
      <c r="AD250" s="256">
        <f xml:space="preserve"> Inputs_TS!AD$262</f>
        <v>40000</v>
      </c>
      <c r="AE250" s="256">
        <f xml:space="preserve"> Inputs_TS!AE$262</f>
        <v>40000</v>
      </c>
      <c r="AF250" s="256">
        <f xml:space="preserve"> Inputs_TS!AF$262</f>
        <v>40000</v>
      </c>
      <c r="AG250" s="256">
        <f xml:space="preserve"> Inputs_TS!AG$262</f>
        <v>40000</v>
      </c>
      <c r="AH250" s="256">
        <f xml:space="preserve"> Inputs_TS!AH$262</f>
        <v>40000</v>
      </c>
      <c r="AI250" s="256">
        <f xml:space="preserve"> Inputs_TS!AI$262</f>
        <v>40869.962046162531</v>
      </c>
      <c r="AJ250" s="256">
        <f xml:space="preserve"> Inputs_TS!AJ$262</f>
        <v>41687.361287085783</v>
      </c>
      <c r="AK250" s="256">
        <f xml:space="preserve"> Inputs_TS!AK$262</f>
        <v>42521.108512827494</v>
      </c>
      <c r="AL250" s="256">
        <f xml:space="preserve"> Inputs_TS!AL$262</f>
        <v>43371.530683084049</v>
      </c>
      <c r="AM250" s="256">
        <f xml:space="preserve"> Inputs_TS!AM$262</f>
        <v>44238.961296745721</v>
      </c>
      <c r="AN250" s="256">
        <f xml:space="preserve"> Inputs_TS!AN$262</f>
        <v>45123.740522680637</v>
      </c>
      <c r="AO250" s="256">
        <f xml:space="preserve"> Inputs_TS!AO$262</f>
        <v>46026.215333134256</v>
      </c>
      <c r="AP250" s="256">
        <f xml:space="preserve"> Inputs_TS!AP$262</f>
        <v>46946.739639796942</v>
      </c>
      <c r="AQ250" s="256">
        <f xml:space="preserve"> Inputs_TS!AQ$262</f>
        <v>47885.674432592888</v>
      </c>
      <c r="AR250" s="256">
        <f xml:space="preserve"> Inputs_TS!AR$262</f>
        <v>48843.38792124475</v>
      </c>
      <c r="AS250" s="256">
        <f xml:space="preserve"> Inputs_TS!AS$262</f>
        <v>49820.255679669637</v>
      </c>
    </row>
    <row r="251" spans="1:45" ht="15" customHeight="1" x14ac:dyDescent="0.3">
      <c r="A251" s="129"/>
      <c r="B251" s="129"/>
      <c r="C251" s="532"/>
      <c r="D251" s="106"/>
      <c r="E251" s="145"/>
      <c r="F251" s="147"/>
      <c r="G251" s="147"/>
      <c r="H251" s="84"/>
      <c r="I251" s="84"/>
      <c r="J251" s="148"/>
      <c r="K251" s="147"/>
      <c r="L251" s="147"/>
      <c r="M251" s="147"/>
      <c r="N251" s="147"/>
      <c r="O251" s="147"/>
      <c r="P251" s="147"/>
      <c r="Q251" s="147"/>
      <c r="R251" s="147"/>
      <c r="S251" s="147"/>
      <c r="T251" s="147"/>
      <c r="U251" s="147"/>
      <c r="V251" s="147"/>
      <c r="W251" s="147"/>
      <c r="X251" s="147"/>
      <c r="Y251" s="147"/>
      <c r="Z251" s="147"/>
      <c r="AA251" s="147"/>
      <c r="AB251" s="147"/>
      <c r="AC251" s="147"/>
      <c r="AD251" s="147"/>
      <c r="AE251" s="147"/>
      <c r="AF251" s="147"/>
      <c r="AG251" s="147"/>
      <c r="AH251" s="147"/>
      <c r="AI251" s="147"/>
      <c r="AJ251" s="147"/>
      <c r="AK251" s="147"/>
      <c r="AL251" s="147"/>
      <c r="AM251" s="147"/>
      <c r="AN251" s="147"/>
      <c r="AO251" s="147"/>
      <c r="AP251" s="147"/>
      <c r="AQ251" s="147"/>
      <c r="AR251" s="147"/>
      <c r="AS251" s="147"/>
    </row>
    <row r="252" spans="1:45" ht="15" customHeight="1" x14ac:dyDescent="0.3">
      <c r="A252" s="619"/>
      <c r="B252" s="503"/>
      <c r="C252" s="504"/>
      <c r="D252" s="439"/>
      <c r="E252" s="439" t="str">
        <f>"Cobalt LME actual &amp; forecast price: " &amp; $F249</f>
        <v>Cobalt LME actual &amp; forecast price: IMF_WEO</v>
      </c>
      <c r="F252" s="439"/>
      <c r="G252" s="439" t="s">
        <v>321</v>
      </c>
      <c r="H252" s="439"/>
      <c r="I252" s="439"/>
      <c r="J252" s="439"/>
      <c r="K252" s="439">
        <f t="shared" ref="K252:O252" si="261">IF(K246 &gt; 0, K246, K250 )</f>
        <v>31172.303428077401</v>
      </c>
      <c r="L252" s="439">
        <f t="shared" si="261"/>
        <v>54341.499809881199</v>
      </c>
      <c r="M252" s="439">
        <f t="shared" si="261"/>
        <v>70839.254468594096</v>
      </c>
      <c r="N252" s="439">
        <f t="shared" si="261"/>
        <v>32088.124664743598</v>
      </c>
      <c r="O252" s="439">
        <f t="shared" si="261"/>
        <v>39368.276123773197</v>
      </c>
      <c r="P252" s="439">
        <f t="shared" ref="P252:S252" si="262">IF(P246 &gt; 0, P246, P250 )</f>
        <v>35344.638635317999</v>
      </c>
      <c r="Q252" s="439">
        <f t="shared" si="262"/>
        <v>28930.686530122199</v>
      </c>
      <c r="R252" s="439">
        <f t="shared" si="262"/>
        <v>27090.822506313099</v>
      </c>
      <c r="S252" s="439">
        <f t="shared" si="262"/>
        <v>30780.7319565531</v>
      </c>
      <c r="T252" s="439">
        <f t="shared" ref="T252:AQ252" si="263">IF(T246 &gt; 0, T246, T250 )</f>
        <v>28451.660698559601</v>
      </c>
      <c r="U252" s="439">
        <f t="shared" si="263"/>
        <v>25463.3685425685</v>
      </c>
      <c r="V252" s="439">
        <f t="shared" si="263"/>
        <v>55832.1709807429</v>
      </c>
      <c r="W252" s="439">
        <f t="shared" si="263"/>
        <v>72911.236898013303</v>
      </c>
      <c r="X252" s="439">
        <f t="shared" si="263"/>
        <v>33177.6323053909</v>
      </c>
      <c r="Y252" s="439">
        <f t="shared" si="263"/>
        <v>31444.926902256499</v>
      </c>
      <c r="Z252" s="439">
        <f t="shared" si="263"/>
        <v>51235.518379838803</v>
      </c>
      <c r="AA252" s="439">
        <f t="shared" si="263"/>
        <v>63764.719304065497</v>
      </c>
      <c r="AB252" s="439">
        <f t="shared" si="263"/>
        <v>34275.041504525099</v>
      </c>
      <c r="AC252" s="439">
        <f t="shared" si="263"/>
        <v>26326.827560543301</v>
      </c>
      <c r="AD252" s="439">
        <f t="shared" si="263"/>
        <v>40000</v>
      </c>
      <c r="AE252" s="439">
        <f t="shared" si="263"/>
        <v>40000</v>
      </c>
      <c r="AF252" s="439">
        <f t="shared" si="263"/>
        <v>40000</v>
      </c>
      <c r="AG252" s="439">
        <f t="shared" si="263"/>
        <v>40000</v>
      </c>
      <c r="AH252" s="439">
        <f t="shared" si="263"/>
        <v>40000</v>
      </c>
      <c r="AI252" s="439">
        <f t="shared" si="263"/>
        <v>40869.962046162531</v>
      </c>
      <c r="AJ252" s="439">
        <f t="shared" si="263"/>
        <v>41687.361287085783</v>
      </c>
      <c r="AK252" s="439">
        <f t="shared" si="263"/>
        <v>42521.108512827494</v>
      </c>
      <c r="AL252" s="439">
        <f t="shared" si="263"/>
        <v>43371.530683084049</v>
      </c>
      <c r="AM252" s="439">
        <f t="shared" si="263"/>
        <v>44238.961296745721</v>
      </c>
      <c r="AN252" s="439">
        <f t="shared" si="263"/>
        <v>45123.740522680637</v>
      </c>
      <c r="AO252" s="439">
        <f t="shared" si="263"/>
        <v>46026.215333134256</v>
      </c>
      <c r="AP252" s="439">
        <f t="shared" si="263"/>
        <v>46946.739639796942</v>
      </c>
      <c r="AQ252" s="439">
        <f t="shared" si="263"/>
        <v>47885.674432592888</v>
      </c>
      <c r="AR252" s="439">
        <f t="shared" ref="AR252:AS252" si="264">IF(AR246 &gt; 0, AR246, AR250 )</f>
        <v>48843.38792124475</v>
      </c>
      <c r="AS252" s="439">
        <f t="shared" si="264"/>
        <v>49820.255679669637</v>
      </c>
    </row>
    <row r="253" spans="1:45" ht="15" customHeight="1" x14ac:dyDescent="0.3">
      <c r="A253" s="129"/>
      <c r="B253" s="129"/>
      <c r="C253" s="532"/>
      <c r="D253" s="106"/>
      <c r="E253" s="145"/>
      <c r="F253" s="147"/>
      <c r="G253" s="147"/>
      <c r="H253" s="84"/>
      <c r="I253" s="84"/>
      <c r="J253" s="148"/>
      <c r="K253" s="147"/>
      <c r="L253" s="147"/>
      <c r="M253" s="147"/>
      <c r="N253" s="147"/>
      <c r="O253" s="147"/>
      <c r="P253" s="147"/>
      <c r="Q253" s="147"/>
      <c r="R253" s="147"/>
      <c r="S253" s="147"/>
      <c r="T253" s="147"/>
      <c r="U253" s="147"/>
      <c r="V253" s="147"/>
      <c r="W253" s="147"/>
      <c r="X253" s="147"/>
      <c r="Y253" s="147"/>
      <c r="Z253" s="147"/>
      <c r="AA253" s="147"/>
      <c r="AB253" s="147"/>
      <c r="AC253" s="147"/>
      <c r="AD253" s="147"/>
      <c r="AE253" s="147"/>
      <c r="AF253" s="147"/>
      <c r="AG253" s="147"/>
      <c r="AH253" s="147"/>
      <c r="AI253" s="147"/>
      <c r="AJ253" s="147"/>
      <c r="AK253" s="147"/>
      <c r="AL253" s="147"/>
      <c r="AM253" s="147"/>
      <c r="AN253" s="147"/>
      <c r="AO253" s="147"/>
      <c r="AP253" s="147"/>
      <c r="AQ253" s="147"/>
      <c r="AR253" s="147"/>
      <c r="AS253" s="147"/>
    </row>
    <row r="254" spans="1:45" ht="15" customHeight="1" x14ac:dyDescent="0.3">
      <c r="A254" s="129"/>
      <c r="B254" s="658" t="s">
        <v>648</v>
      </c>
      <c r="C254" s="532"/>
      <c r="D254" s="106"/>
      <c r="E254" s="145"/>
      <c r="F254" s="147"/>
      <c r="G254" s="147"/>
      <c r="H254" s="84"/>
      <c r="I254" s="84"/>
      <c r="J254" s="148"/>
      <c r="K254" s="147"/>
      <c r="L254" s="147"/>
      <c r="M254" s="147"/>
      <c r="N254" s="147"/>
      <c r="O254" s="147"/>
      <c r="P254" s="147"/>
      <c r="Q254" s="147"/>
      <c r="R254" s="147"/>
      <c r="S254" s="147"/>
      <c r="T254" s="147"/>
      <c r="U254" s="147"/>
      <c r="V254" s="147"/>
      <c r="W254" s="147"/>
      <c r="X254" s="147"/>
      <c r="Y254" s="147"/>
      <c r="Z254" s="147"/>
      <c r="AA254" s="147"/>
      <c r="AB254" s="147"/>
      <c r="AC254" s="147"/>
      <c r="AD254" s="147"/>
      <c r="AE254" s="147"/>
      <c r="AF254" s="147"/>
      <c r="AG254" s="147"/>
      <c r="AH254" s="147"/>
      <c r="AI254" s="147"/>
      <c r="AJ254" s="147"/>
      <c r="AK254" s="147"/>
      <c r="AL254" s="147"/>
      <c r="AM254" s="147"/>
      <c r="AN254" s="147"/>
      <c r="AO254" s="147"/>
      <c r="AP254" s="147"/>
      <c r="AQ254" s="147"/>
      <c r="AR254" s="147"/>
      <c r="AS254" s="147"/>
    </row>
    <row r="255" spans="1:45" ht="15" customHeight="1" x14ac:dyDescent="0.3">
      <c r="A255" s="686"/>
      <c r="B255" s="687"/>
      <c r="C255" s="688"/>
      <c r="D255" s="686"/>
      <c r="E255" s="686" t="str">
        <f xml:space="preserve"> Inputs_TS!E$212</f>
        <v>Cobalt realized price</v>
      </c>
      <c r="F255" s="686">
        <f xml:space="preserve"> Inputs_TS!F$212</f>
        <v>0</v>
      </c>
      <c r="G255" s="686" t="str">
        <f xml:space="preserve"> Inputs_TS!G$212</f>
        <v>$ / tonne</v>
      </c>
      <c r="H255" s="686" t="str">
        <f xml:space="preserve"> Inputs_TS!H$212</f>
        <v>XIV</v>
      </c>
      <c r="I255" s="686">
        <f xml:space="preserve"> Inputs_TS!I$212</f>
        <v>0</v>
      </c>
      <c r="J255" s="686">
        <f xml:space="preserve"> Inputs_TS!J$212</f>
        <v>0</v>
      </c>
      <c r="K255" s="686">
        <f xml:space="preserve"> Inputs_TS!K$212</f>
        <v>0</v>
      </c>
      <c r="L255" s="686">
        <f xml:space="preserve"> Inputs_TS!L$212</f>
        <v>0</v>
      </c>
      <c r="M255" s="686">
        <f xml:space="preserve"> Inputs_TS!M$212</f>
        <v>0</v>
      </c>
      <c r="N255" s="686">
        <f xml:space="preserve"> Inputs_TS!N$212</f>
        <v>0</v>
      </c>
      <c r="O255" s="686">
        <f xml:space="preserve"> Inputs_TS!O$212</f>
        <v>0</v>
      </c>
      <c r="P255" s="686">
        <f xml:space="preserve"> Inputs_TS!P$212</f>
        <v>0</v>
      </c>
      <c r="Q255" s="686">
        <f xml:space="preserve"> Inputs_TS!Q$212</f>
        <v>0</v>
      </c>
      <c r="R255" s="686">
        <f xml:space="preserve"> Inputs_TS!R$212</f>
        <v>0</v>
      </c>
      <c r="S255" s="686">
        <f xml:space="preserve"> Inputs_TS!S$212</f>
        <v>0</v>
      </c>
      <c r="T255" s="686">
        <f xml:space="preserve"> Inputs_TS!T$212</f>
        <v>0</v>
      </c>
      <c r="U255" s="686">
        <f xml:space="preserve"> Inputs_TS!U$212</f>
        <v>0</v>
      </c>
      <c r="V255" s="686">
        <f xml:space="preserve"> Inputs_TS!V$212</f>
        <v>0</v>
      </c>
      <c r="W255" s="686">
        <f xml:space="preserve"> Inputs_TS!W$212</f>
        <v>0</v>
      </c>
      <c r="X255" s="686">
        <f xml:space="preserve"> Inputs_TS!X$212</f>
        <v>25905.325710687153</v>
      </c>
      <c r="Y255" s="686">
        <f xml:space="preserve"> Inputs_TS!Y$212</f>
        <v>27272.799560808089</v>
      </c>
      <c r="Z255" s="686">
        <f xml:space="preserve"> Inputs_TS!Z$212</f>
        <v>0</v>
      </c>
      <c r="AA255" s="686">
        <f xml:space="preserve"> Inputs_TS!AA$212</f>
        <v>0</v>
      </c>
      <c r="AB255" s="686">
        <f xml:space="preserve"> Inputs_TS!AB$212</f>
        <v>0</v>
      </c>
      <c r="AC255" s="686">
        <f xml:space="preserve"> Inputs_TS!AC$212</f>
        <v>0</v>
      </c>
      <c r="AD255" s="686">
        <f xml:space="preserve"> Inputs_TS!AD$212</f>
        <v>0</v>
      </c>
      <c r="AE255" s="686">
        <f xml:space="preserve"> Inputs_TS!AE$212</f>
        <v>0</v>
      </c>
      <c r="AF255" s="686">
        <f xml:space="preserve"> Inputs_TS!AF$212</f>
        <v>0</v>
      </c>
      <c r="AG255" s="686">
        <f xml:space="preserve"> Inputs_TS!AG$212</f>
        <v>0</v>
      </c>
      <c r="AH255" s="686">
        <f xml:space="preserve"> Inputs_TS!AH$212</f>
        <v>0</v>
      </c>
      <c r="AI255" s="686">
        <f xml:space="preserve"> Inputs_TS!AI$212</f>
        <v>0</v>
      </c>
      <c r="AJ255" s="686">
        <f xml:space="preserve"> Inputs_TS!AJ$212</f>
        <v>0</v>
      </c>
      <c r="AK255" s="686">
        <f xml:space="preserve"> Inputs_TS!AK$212</f>
        <v>0</v>
      </c>
      <c r="AL255" s="686">
        <f xml:space="preserve"> Inputs_TS!AL$212</f>
        <v>0</v>
      </c>
      <c r="AM255" s="686">
        <f xml:space="preserve"> Inputs_TS!AM$212</f>
        <v>0</v>
      </c>
      <c r="AN255" s="686">
        <f xml:space="preserve"> Inputs_TS!AN$212</f>
        <v>0</v>
      </c>
      <c r="AO255" s="686">
        <f xml:space="preserve"> Inputs_TS!AO$212</f>
        <v>0</v>
      </c>
      <c r="AP255" s="686">
        <f xml:space="preserve"> Inputs_TS!AP$212</f>
        <v>0</v>
      </c>
      <c r="AQ255" s="686">
        <f xml:space="preserve"> Inputs_TS!AQ$212</f>
        <v>0</v>
      </c>
      <c r="AR255" s="686">
        <f xml:space="preserve"> Inputs_TS!AR$212</f>
        <v>0</v>
      </c>
      <c r="AS255" s="686">
        <f xml:space="preserve"> Inputs_TS!AS$212</f>
        <v>0</v>
      </c>
    </row>
    <row r="256" spans="1:45" ht="15" customHeight="1" x14ac:dyDescent="0.3">
      <c r="A256" s="530"/>
      <c r="B256" s="531"/>
      <c r="C256" s="532"/>
      <c r="D256" s="257"/>
      <c r="E256" s="426" t="str">
        <f t="shared" ref="E256:O256" si="265" xml:space="preserve"> E$319</f>
        <v>Cobalt realized price: FS</v>
      </c>
      <c r="F256" s="662" t="str">
        <f t="shared" si="265"/>
        <v>FS</v>
      </c>
      <c r="G256" s="438">
        <f t="shared" si="265"/>
        <v>0</v>
      </c>
      <c r="H256" s="662">
        <f t="shared" si="265"/>
        <v>0</v>
      </c>
      <c r="I256" s="662">
        <f t="shared" si="265"/>
        <v>0</v>
      </c>
      <c r="J256" s="662">
        <f t="shared" si="265"/>
        <v>0</v>
      </c>
      <c r="K256" s="662">
        <f t="shared" si="265"/>
        <v>0</v>
      </c>
      <c r="L256" s="662">
        <f t="shared" si="265"/>
        <v>0</v>
      </c>
      <c r="M256" s="662">
        <f t="shared" si="265"/>
        <v>0</v>
      </c>
      <c r="N256" s="662">
        <f t="shared" si="265"/>
        <v>0</v>
      </c>
      <c r="O256" s="662">
        <f t="shared" si="265"/>
        <v>0</v>
      </c>
      <c r="P256" s="662">
        <f t="shared" ref="P256:AS256" si="266" xml:space="preserve"> P$319</f>
        <v>0</v>
      </c>
      <c r="Q256" s="662">
        <f t="shared" si="266"/>
        <v>0</v>
      </c>
      <c r="R256" s="662">
        <f t="shared" si="266"/>
        <v>0</v>
      </c>
      <c r="S256" s="662">
        <f t="shared" si="266"/>
        <v>0</v>
      </c>
      <c r="T256" s="339">
        <f t="shared" si="266"/>
        <v>0</v>
      </c>
      <c r="U256" s="339">
        <f t="shared" si="266"/>
        <v>0</v>
      </c>
      <c r="V256" s="339">
        <f t="shared" si="266"/>
        <v>27778.212</v>
      </c>
      <c r="W256" s="339">
        <f t="shared" si="266"/>
        <v>27778.212</v>
      </c>
      <c r="X256" s="339">
        <f t="shared" si="266"/>
        <v>24691.743999999999</v>
      </c>
      <c r="Y256" s="339">
        <f t="shared" si="266"/>
        <v>23148.51</v>
      </c>
      <c r="Z256" s="339">
        <f t="shared" si="266"/>
        <v>37037.615999999995</v>
      </c>
      <c r="AA256" s="339">
        <f t="shared" si="266"/>
        <v>41667.317999999992</v>
      </c>
      <c r="AB256" s="339">
        <f t="shared" si="266"/>
        <v>0</v>
      </c>
      <c r="AC256" s="339">
        <f t="shared" si="266"/>
        <v>0</v>
      </c>
      <c r="AD256" s="339">
        <f t="shared" si="266"/>
        <v>0</v>
      </c>
      <c r="AE256" s="339">
        <f t="shared" si="266"/>
        <v>0</v>
      </c>
      <c r="AF256" s="339">
        <f t="shared" si="266"/>
        <v>0</v>
      </c>
      <c r="AG256" s="339">
        <f t="shared" si="266"/>
        <v>0</v>
      </c>
      <c r="AH256" s="339">
        <f t="shared" si="266"/>
        <v>0</v>
      </c>
      <c r="AI256" s="339">
        <f t="shared" si="266"/>
        <v>0</v>
      </c>
      <c r="AJ256" s="339">
        <f t="shared" si="266"/>
        <v>0</v>
      </c>
      <c r="AK256" s="339">
        <f t="shared" si="266"/>
        <v>0</v>
      </c>
      <c r="AL256" s="339">
        <f t="shared" si="266"/>
        <v>0</v>
      </c>
      <c r="AM256" s="339">
        <f t="shared" si="266"/>
        <v>0</v>
      </c>
      <c r="AN256" s="339">
        <f t="shared" si="266"/>
        <v>0</v>
      </c>
      <c r="AO256" s="339">
        <f t="shared" si="266"/>
        <v>0</v>
      </c>
      <c r="AP256" s="339">
        <f t="shared" si="266"/>
        <v>0</v>
      </c>
      <c r="AQ256" s="339">
        <f t="shared" si="266"/>
        <v>0</v>
      </c>
      <c r="AR256" s="339">
        <f t="shared" si="266"/>
        <v>0</v>
      </c>
      <c r="AS256" s="339">
        <f t="shared" si="266"/>
        <v>0</v>
      </c>
    </row>
    <row r="257" spans="1:45" ht="15" customHeight="1" x14ac:dyDescent="0.3">
      <c r="A257" s="530"/>
      <c r="B257" s="531"/>
      <c r="C257" s="532"/>
      <c r="D257" s="257"/>
      <c r="E257" s="426" t="s">
        <v>622</v>
      </c>
      <c r="F257" s="662"/>
      <c r="G257" s="438" t="s">
        <v>321</v>
      </c>
      <c r="H257" s="662"/>
      <c r="I257" s="662"/>
      <c r="J257" s="662"/>
      <c r="K257" s="662"/>
      <c r="L257" s="662"/>
      <c r="M257" s="662"/>
      <c r="N257" s="662"/>
      <c r="O257" s="662"/>
      <c r="P257" s="662"/>
      <c r="Q257" s="662"/>
      <c r="R257" s="662"/>
      <c r="S257" s="662"/>
      <c r="T257" s="339">
        <f t="shared" ref="T257:AQ257" si="267" xml:space="preserve"> IF(T255 &lt;&gt; 0, T255, T256)</f>
        <v>0</v>
      </c>
      <c r="U257" s="339">
        <f t="shared" si="267"/>
        <v>0</v>
      </c>
      <c r="V257" s="339">
        <f t="shared" si="267"/>
        <v>27778.212</v>
      </c>
      <c r="W257" s="339">
        <f t="shared" si="267"/>
        <v>27778.212</v>
      </c>
      <c r="X257" s="339">
        <f t="shared" si="267"/>
        <v>25905.325710687153</v>
      </c>
      <c r="Y257" s="339">
        <f t="shared" si="267"/>
        <v>27272.799560808089</v>
      </c>
      <c r="Z257" s="339">
        <f t="shared" si="267"/>
        <v>37037.615999999995</v>
      </c>
      <c r="AA257" s="339">
        <f t="shared" si="267"/>
        <v>41667.317999999992</v>
      </c>
      <c r="AB257" s="339">
        <f t="shared" si="267"/>
        <v>0</v>
      </c>
      <c r="AC257" s="339">
        <f t="shared" si="267"/>
        <v>0</v>
      </c>
      <c r="AD257" s="339">
        <f t="shared" si="267"/>
        <v>0</v>
      </c>
      <c r="AE257" s="339">
        <f t="shared" si="267"/>
        <v>0</v>
      </c>
      <c r="AF257" s="339">
        <f t="shared" si="267"/>
        <v>0</v>
      </c>
      <c r="AG257" s="339">
        <f t="shared" si="267"/>
        <v>0</v>
      </c>
      <c r="AH257" s="339">
        <f t="shared" si="267"/>
        <v>0</v>
      </c>
      <c r="AI257" s="339">
        <f t="shared" si="267"/>
        <v>0</v>
      </c>
      <c r="AJ257" s="339">
        <f t="shared" si="267"/>
        <v>0</v>
      </c>
      <c r="AK257" s="339">
        <f t="shared" si="267"/>
        <v>0</v>
      </c>
      <c r="AL257" s="339">
        <f t="shared" si="267"/>
        <v>0</v>
      </c>
      <c r="AM257" s="339">
        <f t="shared" si="267"/>
        <v>0</v>
      </c>
      <c r="AN257" s="339">
        <f t="shared" si="267"/>
        <v>0</v>
      </c>
      <c r="AO257" s="339">
        <f t="shared" si="267"/>
        <v>0</v>
      </c>
      <c r="AP257" s="339">
        <f t="shared" si="267"/>
        <v>0</v>
      </c>
      <c r="AQ257" s="339">
        <f t="shared" si="267"/>
        <v>0</v>
      </c>
      <c r="AR257" s="339">
        <f t="shared" ref="AR257:AS257" si="268" xml:space="preserve"> IF(AR255 &lt;&gt; 0, AR255, AR256)</f>
        <v>0</v>
      </c>
      <c r="AS257" s="339">
        <f t="shared" si="268"/>
        <v>0</v>
      </c>
    </row>
    <row r="258" spans="1:45" ht="15" customHeight="1" x14ac:dyDescent="0.3">
      <c r="A258" s="129"/>
      <c r="B258" s="129"/>
      <c r="C258" s="532"/>
      <c r="D258" s="106"/>
      <c r="E258" s="145"/>
      <c r="F258" s="147"/>
      <c r="G258" s="147"/>
      <c r="H258" s="84"/>
      <c r="I258" s="84"/>
      <c r="J258" s="148"/>
      <c r="K258" s="147"/>
      <c r="L258" s="147"/>
      <c r="M258" s="147"/>
      <c r="N258" s="147"/>
      <c r="O258" s="147"/>
      <c r="P258" s="147"/>
      <c r="Q258" s="147"/>
      <c r="R258" s="147"/>
      <c r="S258" s="147"/>
      <c r="T258" s="147"/>
      <c r="U258" s="147"/>
      <c r="V258" s="147"/>
      <c r="W258" s="147"/>
      <c r="X258" s="147"/>
      <c r="Y258" s="147"/>
      <c r="Z258" s="147"/>
      <c r="AA258" s="147"/>
      <c r="AB258" s="147"/>
      <c r="AC258" s="147"/>
      <c r="AD258" s="147"/>
      <c r="AE258" s="147"/>
      <c r="AF258" s="147"/>
      <c r="AG258" s="147"/>
      <c r="AH258" s="147"/>
      <c r="AI258" s="147"/>
      <c r="AJ258" s="147"/>
      <c r="AK258" s="147"/>
      <c r="AL258" s="147"/>
      <c r="AM258" s="147"/>
      <c r="AN258" s="147"/>
      <c r="AO258" s="147"/>
      <c r="AP258" s="147"/>
      <c r="AQ258" s="147"/>
      <c r="AR258" s="147"/>
      <c r="AS258" s="147"/>
    </row>
    <row r="259" spans="1:45" ht="15" customHeight="1" x14ac:dyDescent="0.3">
      <c r="A259" s="530"/>
      <c r="B259" s="658" t="s">
        <v>649</v>
      </c>
      <c r="C259" s="532"/>
      <c r="D259" s="257"/>
      <c r="E259" s="257"/>
      <c r="F259" s="257"/>
      <c r="G259" s="257"/>
      <c r="H259" s="257"/>
      <c r="I259" s="257"/>
      <c r="J259" s="257"/>
      <c r="K259" s="257"/>
      <c r="L259" s="257"/>
      <c r="M259" s="257"/>
      <c r="N259" s="257"/>
      <c r="O259" s="257"/>
      <c r="P259" s="257"/>
      <c r="Q259" s="257"/>
      <c r="R259" s="257"/>
      <c r="S259" s="257"/>
      <c r="T259" s="257"/>
      <c r="U259" s="257"/>
      <c r="V259" s="257"/>
      <c r="W259" s="257"/>
      <c r="X259" s="257"/>
      <c r="Y259" s="257"/>
      <c r="Z259" s="257"/>
      <c r="AA259" s="257"/>
      <c r="AB259" s="257"/>
      <c r="AC259" s="257"/>
      <c r="AD259" s="257"/>
      <c r="AE259" s="257"/>
      <c r="AF259" s="257"/>
      <c r="AG259" s="257"/>
      <c r="AH259" s="257"/>
      <c r="AI259" s="257"/>
      <c r="AJ259" s="257"/>
      <c r="AK259" s="257"/>
      <c r="AL259" s="257"/>
      <c r="AM259" s="257"/>
      <c r="AN259" s="257"/>
      <c r="AO259" s="257"/>
      <c r="AP259" s="257"/>
      <c r="AQ259" s="257"/>
      <c r="AR259" s="257"/>
      <c r="AS259" s="257"/>
    </row>
    <row r="260" spans="1:45" ht="15" customHeight="1" x14ac:dyDescent="0.3">
      <c r="A260" s="530"/>
      <c r="B260" s="658"/>
      <c r="C260" s="532" t="s">
        <v>650</v>
      </c>
      <c r="D260" s="257"/>
      <c r="E260" s="257"/>
      <c r="F260" s="88"/>
      <c r="G260" s="257"/>
      <c r="H260" s="257"/>
      <c r="I260" s="257"/>
      <c r="J260" s="257"/>
      <c r="K260" s="257"/>
      <c r="L260" s="257"/>
      <c r="M260" s="257"/>
      <c r="N260" s="257"/>
      <c r="O260" s="257"/>
      <c r="P260" s="257"/>
      <c r="Q260" s="257"/>
      <c r="R260" s="257"/>
      <c r="S260" s="257"/>
      <c r="T260" s="257"/>
      <c r="U260" s="257"/>
      <c r="V260" s="257"/>
      <c r="W260" s="257"/>
      <c r="X260" s="257"/>
      <c r="Y260" s="257"/>
      <c r="Z260" s="257"/>
      <c r="AA260" s="257"/>
      <c r="AB260" s="257"/>
      <c r="AC260" s="257"/>
      <c r="AD260" s="257"/>
      <c r="AE260" s="257"/>
      <c r="AF260" s="257"/>
      <c r="AG260" s="257"/>
      <c r="AH260" s="257"/>
      <c r="AI260" s="257"/>
      <c r="AJ260" s="257"/>
      <c r="AK260" s="257"/>
      <c r="AL260" s="257"/>
      <c r="AM260" s="257"/>
      <c r="AN260" s="257"/>
      <c r="AO260" s="257"/>
      <c r="AP260" s="257"/>
      <c r="AQ260" s="257"/>
      <c r="AR260" s="257"/>
      <c r="AS260" s="257"/>
    </row>
    <row r="261" spans="1:45" ht="15" customHeight="1" x14ac:dyDescent="0.3">
      <c r="A261" s="530"/>
      <c r="B261" s="658"/>
      <c r="C261" s="532"/>
      <c r="D261" s="257"/>
      <c r="E261" s="257" t="s">
        <v>651</v>
      </c>
      <c r="F261" s="663" t="s">
        <v>625</v>
      </c>
      <c r="G261" s="257" t="s">
        <v>254</v>
      </c>
      <c r="H261" s="257"/>
      <c r="I261" s="257"/>
      <c r="J261" s="257"/>
      <c r="K261" s="257"/>
      <c r="L261" s="257"/>
      <c r="M261" s="257"/>
      <c r="N261" s="257"/>
      <c r="O261" s="257"/>
      <c r="P261" s="257"/>
      <c r="Q261" s="257"/>
      <c r="R261" s="257"/>
      <c r="S261" s="257"/>
      <c r="T261" s="257"/>
      <c r="U261" s="257"/>
      <c r="V261" s="257"/>
      <c r="W261" s="257"/>
      <c r="X261" s="257"/>
      <c r="Y261" s="257"/>
      <c r="Z261" s="257"/>
      <c r="AA261" s="257"/>
      <c r="AB261" s="257"/>
      <c r="AC261" s="257"/>
      <c r="AD261" s="257"/>
      <c r="AE261" s="257"/>
      <c r="AF261" s="257"/>
      <c r="AG261" s="257"/>
      <c r="AH261" s="257"/>
      <c r="AI261" s="257"/>
      <c r="AJ261" s="257"/>
      <c r="AK261" s="257"/>
      <c r="AL261" s="257"/>
      <c r="AM261" s="257"/>
      <c r="AN261" s="257"/>
      <c r="AO261" s="257"/>
      <c r="AP261" s="257"/>
      <c r="AQ261" s="257"/>
      <c r="AR261" s="257"/>
      <c r="AS261" s="257"/>
    </row>
    <row r="262" spans="1:45" ht="15" customHeight="1" x14ac:dyDescent="0.3">
      <c r="A262" s="129"/>
      <c r="B262" s="129"/>
      <c r="C262" s="130"/>
      <c r="D262" s="106"/>
      <c r="E262" s="701" t="str">
        <f xml:space="preserve"> E$252</f>
        <v>Cobalt LME actual &amp; forecast price: IMF_WEO</v>
      </c>
      <c r="F262" s="701">
        <f t="shared" ref="F262:AS262" si="269" xml:space="preserve"> F$252</f>
        <v>0</v>
      </c>
      <c r="G262" s="701" t="str">
        <f t="shared" si="269"/>
        <v>$ / tonne</v>
      </c>
      <c r="H262" s="701">
        <f t="shared" si="269"/>
        <v>0</v>
      </c>
      <c r="I262" s="701">
        <f t="shared" si="269"/>
        <v>0</v>
      </c>
      <c r="J262" s="701">
        <f t="shared" si="269"/>
        <v>0</v>
      </c>
      <c r="K262" s="701">
        <f t="shared" si="269"/>
        <v>31172.303428077401</v>
      </c>
      <c r="L262" s="701">
        <f t="shared" si="269"/>
        <v>54341.499809881199</v>
      </c>
      <c r="M262" s="701">
        <f t="shared" si="269"/>
        <v>70839.254468594096</v>
      </c>
      <c r="N262" s="701">
        <f t="shared" si="269"/>
        <v>32088.124664743598</v>
      </c>
      <c r="O262" s="701">
        <f t="shared" si="269"/>
        <v>39368.276123773197</v>
      </c>
      <c r="P262" s="701">
        <f t="shared" si="269"/>
        <v>35344.638635317999</v>
      </c>
      <c r="Q262" s="701">
        <f t="shared" si="269"/>
        <v>28930.686530122199</v>
      </c>
      <c r="R262" s="701">
        <f t="shared" si="269"/>
        <v>27090.822506313099</v>
      </c>
      <c r="S262" s="701">
        <f t="shared" si="269"/>
        <v>30780.7319565531</v>
      </c>
      <c r="T262" s="701">
        <f t="shared" si="269"/>
        <v>28451.660698559601</v>
      </c>
      <c r="U262" s="701">
        <f t="shared" si="269"/>
        <v>25463.3685425685</v>
      </c>
      <c r="V262" s="701">
        <f t="shared" si="269"/>
        <v>55832.1709807429</v>
      </c>
      <c r="W262" s="701">
        <f t="shared" si="269"/>
        <v>72911.236898013303</v>
      </c>
      <c r="X262" s="701">
        <f t="shared" si="269"/>
        <v>33177.6323053909</v>
      </c>
      <c r="Y262" s="701">
        <f t="shared" si="269"/>
        <v>31444.926902256499</v>
      </c>
      <c r="Z262" s="701">
        <f t="shared" si="269"/>
        <v>51235.518379838803</v>
      </c>
      <c r="AA262" s="701">
        <f t="shared" si="269"/>
        <v>63764.719304065497</v>
      </c>
      <c r="AB262" s="701">
        <f t="shared" si="269"/>
        <v>34275.041504525099</v>
      </c>
      <c r="AC262" s="701">
        <f t="shared" si="269"/>
        <v>26326.827560543301</v>
      </c>
      <c r="AD262" s="701">
        <f t="shared" si="269"/>
        <v>40000</v>
      </c>
      <c r="AE262" s="701">
        <f t="shared" si="269"/>
        <v>40000</v>
      </c>
      <c r="AF262" s="701">
        <f t="shared" si="269"/>
        <v>40000</v>
      </c>
      <c r="AG262" s="701">
        <f t="shared" si="269"/>
        <v>40000</v>
      </c>
      <c r="AH262" s="701">
        <f t="shared" si="269"/>
        <v>40000</v>
      </c>
      <c r="AI262" s="701">
        <f t="shared" si="269"/>
        <v>40869.962046162531</v>
      </c>
      <c r="AJ262" s="701">
        <f t="shared" si="269"/>
        <v>41687.361287085783</v>
      </c>
      <c r="AK262" s="701">
        <f t="shared" si="269"/>
        <v>42521.108512827494</v>
      </c>
      <c r="AL262" s="701">
        <f t="shared" si="269"/>
        <v>43371.530683084049</v>
      </c>
      <c r="AM262" s="701">
        <f t="shared" si="269"/>
        <v>44238.961296745721</v>
      </c>
      <c r="AN262" s="701">
        <f t="shared" si="269"/>
        <v>45123.740522680637</v>
      </c>
      <c r="AO262" s="701">
        <f t="shared" si="269"/>
        <v>46026.215333134256</v>
      </c>
      <c r="AP262" s="701">
        <f t="shared" si="269"/>
        <v>46946.739639796942</v>
      </c>
      <c r="AQ262" s="701">
        <f t="shared" si="269"/>
        <v>47885.674432592888</v>
      </c>
      <c r="AR262" s="701">
        <f t="shared" si="269"/>
        <v>48843.38792124475</v>
      </c>
      <c r="AS262" s="701">
        <f t="shared" si="269"/>
        <v>49820.255679669637</v>
      </c>
    </row>
    <row r="263" spans="1:45" ht="15" customHeight="1" x14ac:dyDescent="0.3">
      <c r="A263" s="530"/>
      <c r="B263" s="531"/>
      <c r="C263" s="532"/>
      <c r="D263" s="257"/>
      <c r="E263" s="439" t="str">
        <f xml:space="preserve"> E$257</f>
        <v>Combined realized Co prices</v>
      </c>
      <c r="F263" s="439">
        <f t="shared" ref="F263:O263" si="270" xml:space="preserve"> F$257</f>
        <v>0</v>
      </c>
      <c r="G263" s="439" t="str">
        <f t="shared" si="270"/>
        <v>$ / tonne</v>
      </c>
      <c r="H263" s="439">
        <f t="shared" si="270"/>
        <v>0</v>
      </c>
      <c r="I263" s="439">
        <f t="shared" si="270"/>
        <v>0</v>
      </c>
      <c r="J263" s="439">
        <f t="shared" si="270"/>
        <v>0</v>
      </c>
      <c r="K263" s="439">
        <f t="shared" si="270"/>
        <v>0</v>
      </c>
      <c r="L263" s="439">
        <f t="shared" si="270"/>
        <v>0</v>
      </c>
      <c r="M263" s="439">
        <f t="shared" si="270"/>
        <v>0</v>
      </c>
      <c r="N263" s="439">
        <f t="shared" si="270"/>
        <v>0</v>
      </c>
      <c r="O263" s="439">
        <f t="shared" si="270"/>
        <v>0</v>
      </c>
      <c r="P263" s="439">
        <f t="shared" ref="P263:AS263" si="271" xml:space="preserve"> P$257</f>
        <v>0</v>
      </c>
      <c r="Q263" s="439">
        <f t="shared" si="271"/>
        <v>0</v>
      </c>
      <c r="R263" s="439">
        <f t="shared" si="271"/>
        <v>0</v>
      </c>
      <c r="S263" s="439">
        <f t="shared" si="271"/>
        <v>0</v>
      </c>
      <c r="T263" s="439">
        <f t="shared" si="271"/>
        <v>0</v>
      </c>
      <c r="U263" s="439">
        <f t="shared" si="271"/>
        <v>0</v>
      </c>
      <c r="V263" s="439">
        <f t="shared" si="271"/>
        <v>27778.212</v>
      </c>
      <c r="W263" s="439">
        <f t="shared" si="271"/>
        <v>27778.212</v>
      </c>
      <c r="X263" s="439">
        <f t="shared" si="271"/>
        <v>25905.325710687153</v>
      </c>
      <c r="Y263" s="439">
        <f t="shared" si="271"/>
        <v>27272.799560808089</v>
      </c>
      <c r="Z263" s="439">
        <f t="shared" si="271"/>
        <v>37037.615999999995</v>
      </c>
      <c r="AA263" s="439">
        <f t="shared" si="271"/>
        <v>41667.317999999992</v>
      </c>
      <c r="AB263" s="439">
        <f t="shared" si="271"/>
        <v>0</v>
      </c>
      <c r="AC263" s="439">
        <f t="shared" si="271"/>
        <v>0</v>
      </c>
      <c r="AD263" s="439">
        <f t="shared" si="271"/>
        <v>0</v>
      </c>
      <c r="AE263" s="439">
        <f t="shared" si="271"/>
        <v>0</v>
      </c>
      <c r="AF263" s="439">
        <f t="shared" si="271"/>
        <v>0</v>
      </c>
      <c r="AG263" s="439">
        <f t="shared" si="271"/>
        <v>0</v>
      </c>
      <c r="AH263" s="439">
        <f t="shared" si="271"/>
        <v>0</v>
      </c>
      <c r="AI263" s="439">
        <f t="shared" si="271"/>
        <v>0</v>
      </c>
      <c r="AJ263" s="439">
        <f t="shared" si="271"/>
        <v>0</v>
      </c>
      <c r="AK263" s="439">
        <f t="shared" si="271"/>
        <v>0</v>
      </c>
      <c r="AL263" s="439">
        <f t="shared" si="271"/>
        <v>0</v>
      </c>
      <c r="AM263" s="439">
        <f t="shared" si="271"/>
        <v>0</v>
      </c>
      <c r="AN263" s="439">
        <f t="shared" si="271"/>
        <v>0</v>
      </c>
      <c r="AO263" s="439">
        <f t="shared" si="271"/>
        <v>0</v>
      </c>
      <c r="AP263" s="439">
        <f t="shared" si="271"/>
        <v>0</v>
      </c>
      <c r="AQ263" s="439">
        <f t="shared" si="271"/>
        <v>0</v>
      </c>
      <c r="AR263" s="439">
        <f t="shared" si="271"/>
        <v>0</v>
      </c>
      <c r="AS263" s="439">
        <f t="shared" si="271"/>
        <v>0</v>
      </c>
    </row>
    <row r="264" spans="1:45" ht="15" customHeight="1" x14ac:dyDescent="0.3">
      <c r="A264" s="664"/>
      <c r="B264" s="665"/>
      <c r="C264" s="666"/>
      <c r="D264" s="667"/>
      <c r="E264" s="667" t="s">
        <v>652</v>
      </c>
      <c r="F264" s="667"/>
      <c r="G264" s="667" t="s">
        <v>34</v>
      </c>
      <c r="H264" s="667"/>
      <c r="I264" s="667"/>
      <c r="J264" s="667"/>
      <c r="K264" s="667">
        <f t="shared" ref="K264:O264" si="272">IF(AND(K262&gt;0,K263&gt;0),K263/K262-1,0)</f>
        <v>0</v>
      </c>
      <c r="L264" s="667">
        <f t="shared" si="272"/>
        <v>0</v>
      </c>
      <c r="M264" s="667">
        <f t="shared" si="272"/>
        <v>0</v>
      </c>
      <c r="N264" s="667">
        <f t="shared" si="272"/>
        <v>0</v>
      </c>
      <c r="O264" s="667">
        <f t="shared" si="272"/>
        <v>0</v>
      </c>
      <c r="P264" s="667">
        <f t="shared" ref="P264:R264" si="273">IF(AND(P262&gt;0,P263&gt;0),P263/P262-1,0)</f>
        <v>0</v>
      </c>
      <c r="Q264" s="667">
        <f t="shared" si="273"/>
        <v>0</v>
      </c>
      <c r="R264" s="667">
        <f t="shared" si="273"/>
        <v>0</v>
      </c>
      <c r="S264" s="667">
        <f>IF(AND(S262&gt;0,S263&gt;0),S263/S262-1,0)</f>
        <v>0</v>
      </c>
      <c r="T264" s="667">
        <f t="shared" ref="T264:AQ264" si="274" xml:space="preserve"> IFERROR(T263 / T262, 0)</f>
        <v>0</v>
      </c>
      <c r="U264" s="667">
        <f t="shared" si="274"/>
        <v>0</v>
      </c>
      <c r="V264" s="667">
        <f t="shared" si="274"/>
        <v>0.4975305726438794</v>
      </c>
      <c r="W264" s="667">
        <f t="shared" si="274"/>
        <v>0.3809867063269764</v>
      </c>
      <c r="X264" s="667">
        <f t="shared" si="274"/>
        <v>0.78080694463775524</v>
      </c>
      <c r="Y264" s="667">
        <f t="shared" si="274"/>
        <v>0.86731954078261775</v>
      </c>
      <c r="Z264" s="667">
        <f t="shared" si="274"/>
        <v>0.72288945581497843</v>
      </c>
      <c r="AA264" s="667">
        <f t="shared" si="274"/>
        <v>0.65345411153316846</v>
      </c>
      <c r="AB264" s="667">
        <f t="shared" si="274"/>
        <v>0</v>
      </c>
      <c r="AC264" s="667">
        <f t="shared" si="274"/>
        <v>0</v>
      </c>
      <c r="AD264" s="667">
        <f t="shared" si="274"/>
        <v>0</v>
      </c>
      <c r="AE264" s="667">
        <f t="shared" si="274"/>
        <v>0</v>
      </c>
      <c r="AF264" s="667">
        <f t="shared" si="274"/>
        <v>0</v>
      </c>
      <c r="AG264" s="667">
        <f t="shared" si="274"/>
        <v>0</v>
      </c>
      <c r="AH264" s="667">
        <f t="shared" si="274"/>
        <v>0</v>
      </c>
      <c r="AI264" s="667">
        <f t="shared" si="274"/>
        <v>0</v>
      </c>
      <c r="AJ264" s="667">
        <f t="shared" si="274"/>
        <v>0</v>
      </c>
      <c r="AK264" s="667">
        <f t="shared" si="274"/>
        <v>0</v>
      </c>
      <c r="AL264" s="667">
        <f t="shared" si="274"/>
        <v>0</v>
      </c>
      <c r="AM264" s="667">
        <f t="shared" si="274"/>
        <v>0</v>
      </c>
      <c r="AN264" s="667">
        <f t="shared" si="274"/>
        <v>0</v>
      </c>
      <c r="AO264" s="667">
        <f t="shared" si="274"/>
        <v>0</v>
      </c>
      <c r="AP264" s="667">
        <f t="shared" si="274"/>
        <v>0</v>
      </c>
      <c r="AQ264" s="667">
        <f t="shared" si="274"/>
        <v>0</v>
      </c>
      <c r="AR264" s="667">
        <f t="shared" ref="AR264:AS264" si="275" xml:space="preserve"> IFERROR(AR263 / AR262, 0)</f>
        <v>0</v>
      </c>
      <c r="AS264" s="667">
        <f t="shared" si="275"/>
        <v>0</v>
      </c>
    </row>
    <row r="265" spans="1:45" ht="15" customHeight="1" x14ac:dyDescent="0.3">
      <c r="A265" s="530"/>
      <c r="B265" s="531"/>
      <c r="C265" s="532"/>
      <c r="D265" s="257"/>
      <c r="E265" s="257" t="s">
        <v>653</v>
      </c>
      <c r="F265" s="667">
        <f>AVERAGEIF(P264:AV264,"&lt;&gt; 0")</f>
        <v>0.65049788862322921</v>
      </c>
      <c r="G265" s="257" t="s">
        <v>34</v>
      </c>
      <c r="H265" s="257"/>
      <c r="I265" s="257"/>
      <c r="J265" s="257"/>
      <c r="K265" s="257"/>
      <c r="L265" s="257"/>
      <c r="M265" s="257"/>
      <c r="N265" s="257"/>
      <c r="O265" s="257"/>
      <c r="P265" s="257"/>
      <c r="Q265" s="257"/>
      <c r="R265" s="257"/>
      <c r="S265" s="257"/>
      <c r="T265" s="257"/>
      <c r="U265" s="257"/>
      <c r="V265" s="257"/>
      <c r="W265" s="257"/>
      <c r="X265" s="257"/>
      <c r="Y265" s="257"/>
      <c r="Z265" s="257"/>
      <c r="AA265" s="257"/>
      <c r="AB265" s="257"/>
      <c r="AC265" s="257"/>
      <c r="AD265" s="257"/>
      <c r="AE265" s="257"/>
      <c r="AF265" s="257"/>
      <c r="AG265" s="257"/>
      <c r="AH265" s="257"/>
      <c r="AI265" s="257"/>
      <c r="AJ265" s="257"/>
      <c r="AK265" s="257"/>
      <c r="AL265" s="257"/>
      <c r="AM265" s="257"/>
      <c r="AN265" s="257"/>
      <c r="AO265" s="257"/>
      <c r="AP265" s="257"/>
      <c r="AQ265" s="257"/>
      <c r="AR265" s="257"/>
      <c r="AS265" s="257"/>
    </row>
    <row r="266" spans="1:45" ht="15" customHeight="1" x14ac:dyDescent="0.3">
      <c r="A266" s="530"/>
      <c r="B266" s="531"/>
      <c r="C266" s="532"/>
      <c r="D266" s="257"/>
      <c r="E266" s="257"/>
      <c r="F266" s="669"/>
      <c r="G266" s="257"/>
      <c r="H266" s="257"/>
      <c r="I266" s="257"/>
      <c r="J266" s="257"/>
      <c r="K266" s="257"/>
      <c r="L266" s="257"/>
      <c r="M266" s="257"/>
      <c r="N266" s="257"/>
      <c r="O266" s="257"/>
      <c r="P266" s="257"/>
      <c r="Q266" s="257"/>
      <c r="R266" s="257"/>
      <c r="S266" s="257"/>
      <c r="T266" s="257"/>
      <c r="U266" s="257"/>
      <c r="V266" s="257"/>
      <c r="W266" s="257"/>
      <c r="X266" s="257"/>
      <c r="Y266" s="257"/>
      <c r="Z266" s="257"/>
      <c r="AA266" s="257"/>
      <c r="AB266" s="257"/>
      <c r="AC266" s="257"/>
      <c r="AD266" s="257"/>
      <c r="AE266" s="257"/>
      <c r="AF266" s="257"/>
      <c r="AG266" s="257"/>
      <c r="AH266" s="257"/>
      <c r="AI266" s="257"/>
      <c r="AJ266" s="257"/>
      <c r="AK266" s="257"/>
      <c r="AL266" s="257"/>
      <c r="AM266" s="257"/>
      <c r="AN266" s="257"/>
      <c r="AO266" s="257"/>
      <c r="AP266" s="257"/>
      <c r="AQ266" s="257"/>
      <c r="AR266" s="257"/>
      <c r="AS266" s="257"/>
    </row>
    <row r="267" spans="1:45" ht="15" customHeight="1" x14ac:dyDescent="0.3">
      <c r="A267" s="530"/>
      <c r="B267" s="531"/>
      <c r="C267" s="532"/>
      <c r="D267" s="257"/>
      <c r="E267" s="439" t="str">
        <f xml:space="preserve"> E$252</f>
        <v>Cobalt LME actual &amp; forecast price: IMF_WEO</v>
      </c>
      <c r="F267" s="439">
        <f t="shared" ref="F267:O267" si="276" xml:space="preserve"> F$252</f>
        <v>0</v>
      </c>
      <c r="G267" s="439" t="str">
        <f t="shared" si="276"/>
        <v>$ / tonne</v>
      </c>
      <c r="H267" s="439">
        <f t="shared" si="276"/>
        <v>0</v>
      </c>
      <c r="I267" s="439">
        <f t="shared" si="276"/>
        <v>0</v>
      </c>
      <c r="J267" s="439">
        <f t="shared" si="276"/>
        <v>0</v>
      </c>
      <c r="K267" s="439">
        <f t="shared" si="276"/>
        <v>31172.303428077401</v>
      </c>
      <c r="L267" s="439">
        <f t="shared" si="276"/>
        <v>54341.499809881199</v>
      </c>
      <c r="M267" s="439">
        <f t="shared" si="276"/>
        <v>70839.254468594096</v>
      </c>
      <c r="N267" s="439">
        <f t="shared" si="276"/>
        <v>32088.124664743598</v>
      </c>
      <c r="O267" s="439">
        <f t="shared" si="276"/>
        <v>39368.276123773197</v>
      </c>
      <c r="P267" s="439">
        <f t="shared" ref="P267:AS267" si="277" xml:space="preserve"> P$252</f>
        <v>35344.638635317999</v>
      </c>
      <c r="Q267" s="439">
        <f t="shared" si="277"/>
        <v>28930.686530122199</v>
      </c>
      <c r="R267" s="439">
        <f t="shared" si="277"/>
        <v>27090.822506313099</v>
      </c>
      <c r="S267" s="439">
        <f t="shared" si="277"/>
        <v>30780.7319565531</v>
      </c>
      <c r="T267" s="439">
        <f t="shared" si="277"/>
        <v>28451.660698559601</v>
      </c>
      <c r="U267" s="439">
        <f t="shared" si="277"/>
        <v>25463.3685425685</v>
      </c>
      <c r="V267" s="439">
        <f t="shared" si="277"/>
        <v>55832.1709807429</v>
      </c>
      <c r="W267" s="439">
        <f t="shared" si="277"/>
        <v>72911.236898013303</v>
      </c>
      <c r="X267" s="439">
        <f t="shared" si="277"/>
        <v>33177.6323053909</v>
      </c>
      <c r="Y267" s="439">
        <f t="shared" si="277"/>
        <v>31444.926902256499</v>
      </c>
      <c r="Z267" s="439">
        <f t="shared" si="277"/>
        <v>51235.518379838803</v>
      </c>
      <c r="AA267" s="439">
        <f t="shared" si="277"/>
        <v>63764.719304065497</v>
      </c>
      <c r="AB267" s="439">
        <f t="shared" si="277"/>
        <v>34275.041504525099</v>
      </c>
      <c r="AC267" s="439">
        <f t="shared" si="277"/>
        <v>26326.827560543301</v>
      </c>
      <c r="AD267" s="439">
        <f t="shared" si="277"/>
        <v>40000</v>
      </c>
      <c r="AE267" s="439">
        <f t="shared" si="277"/>
        <v>40000</v>
      </c>
      <c r="AF267" s="439">
        <f t="shared" si="277"/>
        <v>40000</v>
      </c>
      <c r="AG267" s="439">
        <f t="shared" si="277"/>
        <v>40000</v>
      </c>
      <c r="AH267" s="439">
        <f t="shared" si="277"/>
        <v>40000</v>
      </c>
      <c r="AI267" s="439">
        <f t="shared" si="277"/>
        <v>40869.962046162531</v>
      </c>
      <c r="AJ267" s="439">
        <f t="shared" si="277"/>
        <v>41687.361287085783</v>
      </c>
      <c r="AK267" s="439">
        <f t="shared" si="277"/>
        <v>42521.108512827494</v>
      </c>
      <c r="AL267" s="439">
        <f t="shared" si="277"/>
        <v>43371.530683084049</v>
      </c>
      <c r="AM267" s="439">
        <f t="shared" si="277"/>
        <v>44238.961296745721</v>
      </c>
      <c r="AN267" s="439">
        <f t="shared" si="277"/>
        <v>45123.740522680637</v>
      </c>
      <c r="AO267" s="439">
        <f t="shared" si="277"/>
        <v>46026.215333134256</v>
      </c>
      <c r="AP267" s="439">
        <f t="shared" si="277"/>
        <v>46946.739639796942</v>
      </c>
      <c r="AQ267" s="439">
        <f t="shared" si="277"/>
        <v>47885.674432592888</v>
      </c>
      <c r="AR267" s="439">
        <f t="shared" si="277"/>
        <v>48843.38792124475</v>
      </c>
      <c r="AS267" s="439">
        <f t="shared" si="277"/>
        <v>49820.255679669637</v>
      </c>
    </row>
    <row r="268" spans="1:45" ht="15" customHeight="1" x14ac:dyDescent="0.3">
      <c r="A268" s="505"/>
      <c r="B268" s="506"/>
      <c r="C268" s="507"/>
      <c r="D268" s="339"/>
      <c r="E268" s="438" t="str">
        <f>"Cobalt realized price: " &amp; F268</f>
        <v>Cobalt realized price: %LME(actual)</v>
      </c>
      <c r="F268" s="689" t="str">
        <f xml:space="preserve"> F261</f>
        <v>%LME(actual)</v>
      </c>
      <c r="G268" s="339" t="s">
        <v>321</v>
      </c>
      <c r="H268" s="439"/>
      <c r="I268" s="439"/>
      <c r="J268" s="339"/>
      <c r="K268" s="339">
        <f xml:space="preserve"> IF( K264 &lt;&gt; 0, K264, $F265) * K267</f>
        <v>20277.517563486999</v>
      </c>
      <c r="L268" s="339">
        <f t="shared" ref="L268:AS268" si="278" xml:space="preserve"> IF( L264 &lt;&gt; 0, L264, $F265) * L267</f>
        <v>35349.030890947331</v>
      </c>
      <c r="M268" s="339">
        <f t="shared" si="278"/>
        <v>46080.785463464112</v>
      </c>
      <c r="N268" s="339">
        <f t="shared" si="278"/>
        <v>20873.257344294674</v>
      </c>
      <c r="O268" s="339">
        <f t="shared" si="278"/>
        <v>25608.980497250752</v>
      </c>
      <c r="P268" s="339">
        <f t="shared" si="278"/>
        <v>22991.612806425372</v>
      </c>
      <c r="Q268" s="339">
        <f t="shared" si="278"/>
        <v>18819.350504264989</v>
      </c>
      <c r="R268" s="339">
        <f t="shared" si="278"/>
        <v>17622.522841423332</v>
      </c>
      <c r="S268" s="339">
        <f t="shared" si="278"/>
        <v>20022.801148015351</v>
      </c>
      <c r="T268" s="339">
        <f t="shared" si="278"/>
        <v>18507.745212237533</v>
      </c>
      <c r="U268" s="339">
        <f t="shared" si="278"/>
        <v>16563.867474175964</v>
      </c>
      <c r="V268" s="339">
        <f t="shared" si="278"/>
        <v>27778.212</v>
      </c>
      <c r="W268" s="339">
        <f t="shared" si="278"/>
        <v>27778.212</v>
      </c>
      <c r="X268" s="339">
        <f t="shared" si="278"/>
        <v>25905.325710687153</v>
      </c>
      <c r="Y268" s="339">
        <f t="shared" si="278"/>
        <v>27272.799560808089</v>
      </c>
      <c r="Z268" s="339">
        <f t="shared" si="278"/>
        <v>37037.615999999995</v>
      </c>
      <c r="AA268" s="339">
        <f t="shared" si="278"/>
        <v>41667.317999999992</v>
      </c>
      <c r="AB268" s="339">
        <f t="shared" si="278"/>
        <v>22295.842131167126</v>
      </c>
      <c r="AC268" s="339">
        <f t="shared" si="278"/>
        <v>17125.545742281258</v>
      </c>
      <c r="AD268" s="339">
        <f t="shared" si="278"/>
        <v>26019.915544929168</v>
      </c>
      <c r="AE268" s="339">
        <f t="shared" si="278"/>
        <v>26019.915544929168</v>
      </c>
      <c r="AF268" s="339">
        <f t="shared" si="278"/>
        <v>26019.915544929168</v>
      </c>
      <c r="AG268" s="339">
        <f t="shared" si="278"/>
        <v>26019.915544929168</v>
      </c>
      <c r="AH268" s="339">
        <f t="shared" si="278"/>
        <v>26019.915544929168</v>
      </c>
      <c r="AI268" s="339">
        <f t="shared" si="278"/>
        <v>26585.82401914024</v>
      </c>
      <c r="AJ268" s="339">
        <f t="shared" si="278"/>
        <v>27117.540499523046</v>
      </c>
      <c r="AK268" s="339">
        <f t="shared" si="278"/>
        <v>27659.891309513503</v>
      </c>
      <c r="AL268" s="339">
        <f t="shared" si="278"/>
        <v>28213.089135703776</v>
      </c>
      <c r="AM268" s="339">
        <f t="shared" si="278"/>
        <v>28777.350918417847</v>
      </c>
      <c r="AN268" s="339">
        <f t="shared" si="278"/>
        <v>29352.897936786205</v>
      </c>
      <c r="AO268" s="339">
        <f t="shared" si="278"/>
        <v>29939.955895521933</v>
      </c>
      <c r="AP268" s="339">
        <f t="shared" si="278"/>
        <v>30538.755013432372</v>
      </c>
      <c r="AQ268" s="339">
        <f t="shared" si="278"/>
        <v>31149.530113701025</v>
      </c>
      <c r="AR268" s="339">
        <f t="shared" si="278"/>
        <v>31772.520715975046</v>
      </c>
      <c r="AS268" s="339">
        <f t="shared" si="278"/>
        <v>32407.971130294543</v>
      </c>
    </row>
    <row r="269" spans="1:45" ht="15" customHeight="1" x14ac:dyDescent="0.3">
      <c r="A269" s="671"/>
      <c r="B269" s="658"/>
      <c r="C269" s="672"/>
      <c r="D269" s="673"/>
      <c r="E269" s="216" t="str">
        <f xml:space="preserve"> E268</f>
        <v>Cobalt realized price: %LME(actual)</v>
      </c>
      <c r="F269" s="662"/>
      <c r="G269" s="662" t="s">
        <v>631</v>
      </c>
      <c r="H269" s="662"/>
      <c r="I269" s="662"/>
      <c r="J269" s="662"/>
      <c r="K269" s="632">
        <f t="shared" ref="K269:O269" si="279">IFERROR(K268 / K267, 0)</f>
        <v>0.65049788862322921</v>
      </c>
      <c r="L269" s="632">
        <f t="shared" si="279"/>
        <v>0.65049788862322921</v>
      </c>
      <c r="M269" s="632">
        <f t="shared" si="279"/>
        <v>0.65049788862322921</v>
      </c>
      <c r="N269" s="632">
        <f t="shared" si="279"/>
        <v>0.65049788862322921</v>
      </c>
      <c r="O269" s="632">
        <f t="shared" si="279"/>
        <v>0.65049788862322921</v>
      </c>
      <c r="P269" s="632">
        <f>IFERROR(P268 / P267, 0)</f>
        <v>0.65049788862322921</v>
      </c>
      <c r="Q269" s="632">
        <f t="shared" ref="Q269:AS269" si="280">IFERROR(Q268 / Q267, 0)</f>
        <v>0.65049788862322921</v>
      </c>
      <c r="R269" s="632">
        <f t="shared" si="280"/>
        <v>0.65049788862322933</v>
      </c>
      <c r="S269" s="632">
        <f t="shared" si="280"/>
        <v>0.65049788862322921</v>
      </c>
      <c r="T269" s="632">
        <f t="shared" si="280"/>
        <v>0.65049788862322921</v>
      </c>
      <c r="U269" s="632">
        <f t="shared" si="280"/>
        <v>0.65049788862322933</v>
      </c>
      <c r="V269" s="632">
        <f t="shared" si="280"/>
        <v>0.4975305726438794</v>
      </c>
      <c r="W269" s="632">
        <f t="shared" si="280"/>
        <v>0.3809867063269764</v>
      </c>
      <c r="X269" s="632">
        <f t="shared" si="280"/>
        <v>0.78080694463775524</v>
      </c>
      <c r="Y269" s="632">
        <f t="shared" si="280"/>
        <v>0.86731954078261775</v>
      </c>
      <c r="Z269" s="632">
        <f t="shared" si="280"/>
        <v>0.72288945581497843</v>
      </c>
      <c r="AA269" s="632">
        <f t="shared" si="280"/>
        <v>0.65345411153316846</v>
      </c>
      <c r="AB269" s="632">
        <f t="shared" si="280"/>
        <v>0.65049788862322921</v>
      </c>
      <c r="AC269" s="632">
        <f t="shared" si="280"/>
        <v>0.65049788862322921</v>
      </c>
      <c r="AD269" s="632">
        <f t="shared" si="280"/>
        <v>0.65049788862322921</v>
      </c>
      <c r="AE269" s="632">
        <f t="shared" si="280"/>
        <v>0.65049788862322921</v>
      </c>
      <c r="AF269" s="632">
        <f t="shared" si="280"/>
        <v>0.65049788862322921</v>
      </c>
      <c r="AG269" s="632">
        <f t="shared" si="280"/>
        <v>0.65049788862322921</v>
      </c>
      <c r="AH269" s="632">
        <f t="shared" si="280"/>
        <v>0.65049788862322921</v>
      </c>
      <c r="AI269" s="632">
        <f t="shared" si="280"/>
        <v>0.65049788862322921</v>
      </c>
      <c r="AJ269" s="632">
        <f t="shared" si="280"/>
        <v>0.65049788862322921</v>
      </c>
      <c r="AK269" s="632">
        <f t="shared" si="280"/>
        <v>0.65049788862322921</v>
      </c>
      <c r="AL269" s="632">
        <f t="shared" si="280"/>
        <v>0.65049788862322921</v>
      </c>
      <c r="AM269" s="632">
        <f t="shared" si="280"/>
        <v>0.65049788862322921</v>
      </c>
      <c r="AN269" s="632">
        <f t="shared" si="280"/>
        <v>0.65049788862322921</v>
      </c>
      <c r="AO269" s="632">
        <f t="shared" si="280"/>
        <v>0.65049788862322921</v>
      </c>
      <c r="AP269" s="632">
        <f t="shared" si="280"/>
        <v>0.65049788862322921</v>
      </c>
      <c r="AQ269" s="632">
        <f t="shared" si="280"/>
        <v>0.65049788862322921</v>
      </c>
      <c r="AR269" s="632">
        <f t="shared" si="280"/>
        <v>0.65049788862322921</v>
      </c>
      <c r="AS269" s="632">
        <f t="shared" si="280"/>
        <v>0.65049788862322921</v>
      </c>
    </row>
    <row r="270" spans="1:45" ht="15" customHeight="1" x14ac:dyDescent="0.3">
      <c r="A270" s="530"/>
      <c r="B270" s="531"/>
      <c r="C270" s="532"/>
      <c r="D270" s="257"/>
      <c r="E270" s="257"/>
      <c r="F270" s="669"/>
      <c r="G270" s="257"/>
      <c r="H270" s="257"/>
      <c r="I270" s="257"/>
      <c r="J270" s="257"/>
      <c r="K270" s="257"/>
      <c r="L270" s="257"/>
      <c r="M270" s="257"/>
      <c r="N270" s="257"/>
      <c r="O270" s="257"/>
      <c r="P270" s="257"/>
      <c r="Q270" s="257"/>
      <c r="R270" s="257"/>
      <c r="S270" s="257"/>
      <c r="T270" s="257"/>
      <c r="U270" s="257"/>
      <c r="V270" s="257"/>
      <c r="W270" s="257"/>
      <c r="X270" s="257"/>
      <c r="Y270" s="257"/>
      <c r="Z270" s="257"/>
      <c r="AA270" s="257"/>
      <c r="AB270" s="257"/>
      <c r="AC270" s="257"/>
      <c r="AD270" s="257"/>
      <c r="AE270" s="257"/>
      <c r="AF270" s="257"/>
      <c r="AG270" s="257"/>
      <c r="AH270" s="257"/>
      <c r="AI270" s="257"/>
      <c r="AJ270" s="257"/>
      <c r="AK270" s="257"/>
      <c r="AL270" s="257"/>
      <c r="AM270" s="257"/>
      <c r="AN270" s="257"/>
      <c r="AO270" s="257"/>
      <c r="AP270" s="257"/>
      <c r="AQ270" s="257"/>
      <c r="AR270" s="257"/>
      <c r="AS270" s="257"/>
    </row>
    <row r="271" spans="1:45" ht="15" customHeight="1" x14ac:dyDescent="0.3">
      <c r="A271" s="530"/>
      <c r="B271" s="658"/>
      <c r="C271" s="532" t="s">
        <v>654</v>
      </c>
      <c r="D271" s="257"/>
      <c r="E271" s="257"/>
      <c r="F271" s="88"/>
      <c r="G271" s="257"/>
      <c r="H271" s="257"/>
      <c r="I271" s="257"/>
      <c r="J271" s="257"/>
      <c r="K271" s="257"/>
      <c r="L271" s="257"/>
      <c r="M271" s="257"/>
      <c r="N271" s="257"/>
      <c r="O271" s="257"/>
      <c r="P271" s="257"/>
      <c r="Q271" s="257"/>
      <c r="R271" s="257"/>
      <c r="S271" s="257"/>
      <c r="T271" s="257"/>
      <c r="U271" s="257"/>
      <c r="V271" s="257"/>
      <c r="W271" s="257"/>
      <c r="X271" s="257"/>
      <c r="Y271" s="257"/>
      <c r="Z271" s="257"/>
      <c r="AA271" s="257"/>
      <c r="AB271" s="257"/>
      <c r="AC271" s="257"/>
      <c r="AD271" s="257"/>
      <c r="AE271" s="257"/>
      <c r="AF271" s="257"/>
      <c r="AG271" s="257"/>
      <c r="AH271" s="257"/>
      <c r="AI271" s="257"/>
      <c r="AJ271" s="257"/>
      <c r="AK271" s="257"/>
      <c r="AL271" s="257"/>
      <c r="AM271" s="257"/>
      <c r="AN271" s="257"/>
      <c r="AO271" s="257"/>
      <c r="AP271" s="257"/>
      <c r="AQ271" s="257"/>
      <c r="AR271" s="257"/>
      <c r="AS271" s="257"/>
    </row>
    <row r="272" spans="1:45" ht="15" customHeight="1" x14ac:dyDescent="0.3">
      <c r="A272" s="530"/>
      <c r="B272" s="658"/>
      <c r="C272" s="532"/>
      <c r="D272" s="257"/>
      <c r="E272" s="257" t="s">
        <v>651</v>
      </c>
      <c r="F272" s="663" t="s">
        <v>630</v>
      </c>
      <c r="G272" s="257" t="s">
        <v>254</v>
      </c>
      <c r="H272" s="257"/>
      <c r="I272" s="257"/>
      <c r="J272" s="257"/>
      <c r="K272" s="257"/>
      <c r="L272" s="257"/>
      <c r="M272" s="257"/>
      <c r="N272" s="257"/>
      <c r="O272" s="257"/>
      <c r="P272" s="257"/>
      <c r="Q272" s="257"/>
      <c r="R272" s="257"/>
      <c r="S272" s="257"/>
      <c r="T272" s="257"/>
      <c r="U272" s="257"/>
      <c r="V272" s="257"/>
      <c r="W272" s="257"/>
      <c r="X272" s="257"/>
      <c r="Y272" s="257"/>
      <c r="Z272" s="257"/>
      <c r="AA272" s="257"/>
      <c r="AB272" s="257"/>
      <c r="AC272" s="257"/>
      <c r="AD272" s="257"/>
      <c r="AE272" s="257"/>
      <c r="AF272" s="257"/>
      <c r="AG272" s="257"/>
      <c r="AH272" s="257"/>
      <c r="AI272" s="257"/>
      <c r="AJ272" s="257"/>
      <c r="AK272" s="257"/>
      <c r="AL272" s="257"/>
      <c r="AM272" s="257"/>
      <c r="AN272" s="257"/>
      <c r="AO272" s="257"/>
      <c r="AP272" s="257"/>
      <c r="AQ272" s="257"/>
      <c r="AR272" s="257"/>
      <c r="AS272" s="257"/>
    </row>
    <row r="273" spans="1:45" ht="15" customHeight="1" x14ac:dyDescent="0.3">
      <c r="A273" s="530"/>
      <c r="B273" s="531"/>
      <c r="C273" s="532"/>
      <c r="D273" s="257"/>
      <c r="E273" s="657" t="str">
        <f xml:space="preserve"> Inputs_Con!E$45</f>
        <v>Cobalt: Realised Price vs LME for "LMEAssumed"</v>
      </c>
      <c r="F273" s="690">
        <f xml:space="preserve"> Inputs_Con!F$45</f>
        <v>0.9</v>
      </c>
      <c r="G273" s="657" t="str">
        <f xml:space="preserve"> Inputs_Con!G$45</f>
        <v>%</v>
      </c>
      <c r="H273" s="257"/>
      <c r="I273" s="257"/>
      <c r="J273" s="257"/>
      <c r="K273" s="257"/>
      <c r="L273" s="257"/>
      <c r="M273" s="257"/>
      <c r="N273" s="257"/>
      <c r="O273" s="257"/>
      <c r="P273" s="257"/>
      <c r="Q273" s="257"/>
      <c r="R273" s="257"/>
      <c r="S273" s="257"/>
      <c r="T273" s="257"/>
      <c r="U273" s="257"/>
      <c r="V273" s="257"/>
      <c r="W273" s="257"/>
      <c r="X273" s="257"/>
      <c r="Y273" s="257"/>
      <c r="Z273" s="257"/>
      <c r="AA273" s="257"/>
      <c r="AB273" s="257"/>
      <c r="AC273" s="257"/>
      <c r="AD273" s="257"/>
      <c r="AE273" s="257"/>
      <c r="AF273" s="257"/>
      <c r="AG273" s="257"/>
      <c r="AH273" s="257"/>
      <c r="AI273" s="257"/>
      <c r="AJ273" s="257"/>
      <c r="AK273" s="257"/>
      <c r="AL273" s="257"/>
      <c r="AM273" s="257"/>
      <c r="AN273" s="257"/>
      <c r="AO273" s="257"/>
      <c r="AP273" s="257"/>
      <c r="AQ273" s="257"/>
      <c r="AR273" s="257"/>
      <c r="AS273" s="257"/>
    </row>
    <row r="274" spans="1:45" ht="15" customHeight="1" x14ac:dyDescent="0.3">
      <c r="A274" s="530"/>
      <c r="B274" s="531"/>
      <c r="C274" s="532"/>
      <c r="D274" s="257"/>
      <c r="E274" s="439" t="str">
        <f xml:space="preserve"> E$252</f>
        <v>Cobalt LME actual &amp; forecast price: IMF_WEO</v>
      </c>
      <c r="F274" s="439">
        <f t="shared" ref="F274:O274" si="281" xml:space="preserve"> F$252</f>
        <v>0</v>
      </c>
      <c r="G274" s="439" t="str">
        <f t="shared" si="281"/>
        <v>$ / tonne</v>
      </c>
      <c r="H274" s="439">
        <f t="shared" si="281"/>
        <v>0</v>
      </c>
      <c r="I274" s="439">
        <f t="shared" si="281"/>
        <v>0</v>
      </c>
      <c r="J274" s="439">
        <f t="shared" si="281"/>
        <v>0</v>
      </c>
      <c r="K274" s="439">
        <f t="shared" si="281"/>
        <v>31172.303428077401</v>
      </c>
      <c r="L274" s="439">
        <f t="shared" si="281"/>
        <v>54341.499809881199</v>
      </c>
      <c r="M274" s="439">
        <f t="shared" si="281"/>
        <v>70839.254468594096</v>
      </c>
      <c r="N274" s="439">
        <f t="shared" si="281"/>
        <v>32088.124664743598</v>
      </c>
      <c r="O274" s="439">
        <f t="shared" si="281"/>
        <v>39368.276123773197</v>
      </c>
      <c r="P274" s="439">
        <f t="shared" ref="P274:AS274" si="282" xml:space="preserve"> P$252</f>
        <v>35344.638635317999</v>
      </c>
      <c r="Q274" s="439">
        <f t="shared" si="282"/>
        <v>28930.686530122199</v>
      </c>
      <c r="R274" s="439">
        <f t="shared" si="282"/>
        <v>27090.822506313099</v>
      </c>
      <c r="S274" s="439">
        <f t="shared" si="282"/>
        <v>30780.7319565531</v>
      </c>
      <c r="T274" s="439">
        <f t="shared" si="282"/>
        <v>28451.660698559601</v>
      </c>
      <c r="U274" s="439">
        <f t="shared" si="282"/>
        <v>25463.3685425685</v>
      </c>
      <c r="V274" s="439">
        <f t="shared" si="282"/>
        <v>55832.1709807429</v>
      </c>
      <c r="W274" s="439">
        <f t="shared" si="282"/>
        <v>72911.236898013303</v>
      </c>
      <c r="X274" s="439">
        <f t="shared" si="282"/>
        <v>33177.6323053909</v>
      </c>
      <c r="Y274" s="439">
        <f t="shared" si="282"/>
        <v>31444.926902256499</v>
      </c>
      <c r="Z274" s="439">
        <f t="shared" si="282"/>
        <v>51235.518379838803</v>
      </c>
      <c r="AA274" s="439">
        <f t="shared" si="282"/>
        <v>63764.719304065497</v>
      </c>
      <c r="AB274" s="439">
        <f t="shared" si="282"/>
        <v>34275.041504525099</v>
      </c>
      <c r="AC274" s="439">
        <f t="shared" si="282"/>
        <v>26326.827560543301</v>
      </c>
      <c r="AD274" s="439">
        <f t="shared" si="282"/>
        <v>40000</v>
      </c>
      <c r="AE274" s="439">
        <f t="shared" si="282"/>
        <v>40000</v>
      </c>
      <c r="AF274" s="439">
        <f t="shared" si="282"/>
        <v>40000</v>
      </c>
      <c r="AG274" s="439">
        <f t="shared" si="282"/>
        <v>40000</v>
      </c>
      <c r="AH274" s="439">
        <f t="shared" si="282"/>
        <v>40000</v>
      </c>
      <c r="AI274" s="439">
        <f t="shared" si="282"/>
        <v>40869.962046162531</v>
      </c>
      <c r="AJ274" s="439">
        <f t="shared" si="282"/>
        <v>41687.361287085783</v>
      </c>
      <c r="AK274" s="439">
        <f t="shared" si="282"/>
        <v>42521.108512827494</v>
      </c>
      <c r="AL274" s="439">
        <f t="shared" si="282"/>
        <v>43371.530683084049</v>
      </c>
      <c r="AM274" s="439">
        <f t="shared" si="282"/>
        <v>44238.961296745721</v>
      </c>
      <c r="AN274" s="439">
        <f t="shared" si="282"/>
        <v>45123.740522680637</v>
      </c>
      <c r="AO274" s="439">
        <f t="shared" si="282"/>
        <v>46026.215333134256</v>
      </c>
      <c r="AP274" s="439">
        <f t="shared" si="282"/>
        <v>46946.739639796942</v>
      </c>
      <c r="AQ274" s="439">
        <f t="shared" si="282"/>
        <v>47885.674432592888</v>
      </c>
      <c r="AR274" s="439">
        <f t="shared" si="282"/>
        <v>48843.38792124475</v>
      </c>
      <c r="AS274" s="439">
        <f t="shared" si="282"/>
        <v>49820.255679669637</v>
      </c>
    </row>
    <row r="275" spans="1:45" ht="15" customHeight="1" x14ac:dyDescent="0.3">
      <c r="A275" s="505"/>
      <c r="B275" s="506"/>
      <c r="C275" s="507"/>
      <c r="D275" s="339"/>
      <c r="E275" s="438" t="str">
        <f>"Cobalt realized price: " &amp; F275</f>
        <v>Cobalt realized price: %LME(assumed)</v>
      </c>
      <c r="F275" s="689" t="str">
        <f xml:space="preserve"> F272</f>
        <v>%LME(assumed)</v>
      </c>
      <c r="G275" s="339" t="s">
        <v>321</v>
      </c>
      <c r="H275" s="439"/>
      <c r="I275" s="439"/>
      <c r="J275" s="339"/>
      <c r="K275" s="339">
        <f t="shared" ref="K275:O275" si="283" xml:space="preserve"> K274 * $F273</f>
        <v>28055.073085269662</v>
      </c>
      <c r="L275" s="339">
        <f t="shared" si="283"/>
        <v>48907.349828893079</v>
      </c>
      <c r="M275" s="339">
        <f t="shared" si="283"/>
        <v>63755.329021734688</v>
      </c>
      <c r="N275" s="339">
        <f t="shared" si="283"/>
        <v>28879.312198269239</v>
      </c>
      <c r="O275" s="339">
        <f t="shared" si="283"/>
        <v>35431.44851139588</v>
      </c>
      <c r="P275" s="339">
        <f t="shared" ref="P275:AS275" si="284" xml:space="preserve"> P274 * $F273</f>
        <v>31810.174771786198</v>
      </c>
      <c r="Q275" s="339">
        <f t="shared" si="284"/>
        <v>26037.61787710998</v>
      </c>
      <c r="R275" s="339">
        <f t="shared" si="284"/>
        <v>24381.740255681791</v>
      </c>
      <c r="S275" s="339">
        <f t="shared" si="284"/>
        <v>27702.65876089779</v>
      </c>
      <c r="T275" s="339">
        <f t="shared" si="284"/>
        <v>25606.49462870364</v>
      </c>
      <c r="U275" s="339">
        <f t="shared" si="284"/>
        <v>22917.03168831165</v>
      </c>
      <c r="V275" s="339">
        <f t="shared" si="284"/>
        <v>50248.953882668611</v>
      </c>
      <c r="W275" s="339">
        <f t="shared" si="284"/>
        <v>65620.113208211973</v>
      </c>
      <c r="X275" s="339">
        <f t="shared" si="284"/>
        <v>29859.869074851809</v>
      </c>
      <c r="Y275" s="339">
        <f t="shared" si="284"/>
        <v>28300.43421203085</v>
      </c>
      <c r="Z275" s="339">
        <f t="shared" si="284"/>
        <v>46111.966541854927</v>
      </c>
      <c r="AA275" s="339">
        <f t="shared" si="284"/>
        <v>57388.247373658945</v>
      </c>
      <c r="AB275" s="339">
        <f t="shared" si="284"/>
        <v>30847.537354072589</v>
      </c>
      <c r="AC275" s="339">
        <f t="shared" si="284"/>
        <v>23694.144804488973</v>
      </c>
      <c r="AD275" s="339">
        <f t="shared" si="284"/>
        <v>36000</v>
      </c>
      <c r="AE275" s="339">
        <f t="shared" si="284"/>
        <v>36000</v>
      </c>
      <c r="AF275" s="339">
        <f t="shared" si="284"/>
        <v>36000</v>
      </c>
      <c r="AG275" s="339">
        <f t="shared" si="284"/>
        <v>36000</v>
      </c>
      <c r="AH275" s="339">
        <f t="shared" si="284"/>
        <v>36000</v>
      </c>
      <c r="AI275" s="339">
        <f t="shared" si="284"/>
        <v>36782.965841546276</v>
      </c>
      <c r="AJ275" s="339">
        <f t="shared" si="284"/>
        <v>37518.625158377203</v>
      </c>
      <c r="AK275" s="339">
        <f t="shared" si="284"/>
        <v>38268.997661544745</v>
      </c>
      <c r="AL275" s="339">
        <f t="shared" si="284"/>
        <v>39034.377614775643</v>
      </c>
      <c r="AM275" s="339">
        <f t="shared" si="284"/>
        <v>39815.065167071152</v>
      </c>
      <c r="AN275" s="339">
        <f t="shared" si="284"/>
        <v>40611.366470412577</v>
      </c>
      <c r="AO275" s="339">
        <f t="shared" si="284"/>
        <v>41423.593799820832</v>
      </c>
      <c r="AP275" s="339">
        <f t="shared" si="284"/>
        <v>42252.065675817248</v>
      </c>
      <c r="AQ275" s="339">
        <f t="shared" si="284"/>
        <v>43097.106989333603</v>
      </c>
      <c r="AR275" s="339">
        <f t="shared" si="284"/>
        <v>43959.049129120278</v>
      </c>
      <c r="AS275" s="339">
        <f t="shared" si="284"/>
        <v>44838.230111702673</v>
      </c>
    </row>
    <row r="276" spans="1:45" ht="15" customHeight="1" x14ac:dyDescent="0.3">
      <c r="A276" s="671"/>
      <c r="B276" s="658"/>
      <c r="C276" s="672"/>
      <c r="D276" s="673"/>
      <c r="E276" s="216" t="str">
        <f xml:space="preserve"> E275</f>
        <v>Cobalt realized price: %LME(assumed)</v>
      </c>
      <c r="F276" s="662"/>
      <c r="G276" s="662" t="s">
        <v>631</v>
      </c>
      <c r="H276" s="662"/>
      <c r="I276" s="662"/>
      <c r="J276" s="662"/>
      <c r="K276" s="632">
        <f t="shared" ref="K276:O276" si="285">IFERROR(K275 / K274, 0)</f>
        <v>0.9</v>
      </c>
      <c r="L276" s="632">
        <f t="shared" si="285"/>
        <v>0.9</v>
      </c>
      <c r="M276" s="632">
        <f t="shared" si="285"/>
        <v>0.9</v>
      </c>
      <c r="N276" s="632">
        <f t="shared" si="285"/>
        <v>0.9</v>
      </c>
      <c r="O276" s="632">
        <f t="shared" si="285"/>
        <v>0.9</v>
      </c>
      <c r="P276" s="632">
        <f>IFERROR(P275 / P274, 0)</f>
        <v>0.9</v>
      </c>
      <c r="Q276" s="632">
        <f>IFERROR(Q275 / Q274, 0)</f>
        <v>0.9</v>
      </c>
      <c r="R276" s="632">
        <f t="shared" ref="R276:AS276" si="286">IFERROR(R275 / R274, 0)</f>
        <v>0.9</v>
      </c>
      <c r="S276" s="632">
        <f t="shared" si="286"/>
        <v>0.9</v>
      </c>
      <c r="T276" s="632">
        <f t="shared" si="286"/>
        <v>0.9</v>
      </c>
      <c r="U276" s="632">
        <f t="shared" si="286"/>
        <v>0.9</v>
      </c>
      <c r="V276" s="632">
        <f t="shared" si="286"/>
        <v>0.9</v>
      </c>
      <c r="W276" s="632">
        <f t="shared" si="286"/>
        <v>0.9</v>
      </c>
      <c r="X276" s="632">
        <f t="shared" si="286"/>
        <v>0.9</v>
      </c>
      <c r="Y276" s="632">
        <f t="shared" si="286"/>
        <v>0.9</v>
      </c>
      <c r="Z276" s="632">
        <f t="shared" si="286"/>
        <v>0.90000000000000013</v>
      </c>
      <c r="AA276" s="632">
        <f t="shared" si="286"/>
        <v>0.9</v>
      </c>
      <c r="AB276" s="632">
        <f t="shared" si="286"/>
        <v>0.9</v>
      </c>
      <c r="AC276" s="632">
        <f t="shared" si="286"/>
        <v>0.90000000000000013</v>
      </c>
      <c r="AD276" s="632">
        <f t="shared" si="286"/>
        <v>0.9</v>
      </c>
      <c r="AE276" s="632">
        <f t="shared" si="286"/>
        <v>0.9</v>
      </c>
      <c r="AF276" s="632">
        <f t="shared" si="286"/>
        <v>0.9</v>
      </c>
      <c r="AG276" s="632">
        <f t="shared" si="286"/>
        <v>0.9</v>
      </c>
      <c r="AH276" s="632">
        <f t="shared" si="286"/>
        <v>0.9</v>
      </c>
      <c r="AI276" s="632">
        <f t="shared" si="286"/>
        <v>0.89999999999999991</v>
      </c>
      <c r="AJ276" s="632">
        <f t="shared" si="286"/>
        <v>0.89999999999999991</v>
      </c>
      <c r="AK276" s="632">
        <f t="shared" si="286"/>
        <v>0.9</v>
      </c>
      <c r="AL276" s="632">
        <f t="shared" si="286"/>
        <v>0.9</v>
      </c>
      <c r="AM276" s="632">
        <f t="shared" si="286"/>
        <v>0.9</v>
      </c>
      <c r="AN276" s="632">
        <f t="shared" si="286"/>
        <v>0.90000000000000013</v>
      </c>
      <c r="AO276" s="632">
        <f t="shared" si="286"/>
        <v>0.9</v>
      </c>
      <c r="AP276" s="632">
        <f t="shared" si="286"/>
        <v>0.9</v>
      </c>
      <c r="AQ276" s="632">
        <f t="shared" si="286"/>
        <v>0.9</v>
      </c>
      <c r="AR276" s="632">
        <f t="shared" si="286"/>
        <v>0.9</v>
      </c>
      <c r="AS276" s="632">
        <f t="shared" si="286"/>
        <v>0.9</v>
      </c>
    </row>
    <row r="277" spans="1:45" ht="15" customHeight="1" x14ac:dyDescent="0.3">
      <c r="A277" s="530"/>
      <c r="B277" s="531"/>
      <c r="C277" s="532"/>
      <c r="D277" s="257"/>
      <c r="E277" s="257"/>
      <c r="F277" s="669"/>
      <c r="G277" s="257"/>
      <c r="H277" s="257"/>
      <c r="I277" s="257"/>
      <c r="J277" s="257"/>
      <c r="K277" s="257"/>
      <c r="L277" s="257"/>
      <c r="M277" s="257"/>
      <c r="N277" s="257"/>
      <c r="O277" s="257"/>
      <c r="P277" s="257"/>
      <c r="Q277" s="257"/>
      <c r="R277" s="257"/>
      <c r="S277" s="257"/>
      <c r="T277" s="257"/>
      <c r="U277" s="257"/>
      <c r="V277" s="257"/>
      <c r="W277" s="257"/>
      <c r="X277" s="257"/>
      <c r="Y277" s="257"/>
      <c r="Z277" s="257"/>
      <c r="AA277" s="257"/>
      <c r="AB277" s="257"/>
      <c r="AC277" s="257"/>
      <c r="AD277" s="257"/>
      <c r="AE277" s="257"/>
      <c r="AF277" s="257"/>
      <c r="AG277" s="257"/>
      <c r="AH277" s="257"/>
      <c r="AI277" s="257"/>
      <c r="AJ277" s="257"/>
      <c r="AK277" s="257"/>
      <c r="AL277" s="257"/>
      <c r="AM277" s="257"/>
      <c r="AN277" s="257"/>
      <c r="AO277" s="257"/>
      <c r="AP277" s="257"/>
      <c r="AQ277" s="257"/>
      <c r="AR277" s="257"/>
      <c r="AS277" s="257"/>
    </row>
    <row r="278" spans="1:45" ht="15" customHeight="1" x14ac:dyDescent="0.3">
      <c r="A278" s="530"/>
      <c r="B278" s="658" t="s">
        <v>655</v>
      </c>
      <c r="C278" s="532"/>
      <c r="D278" s="257"/>
      <c r="E278" s="257"/>
      <c r="F278" s="663" t="s">
        <v>299</v>
      </c>
      <c r="G278" s="257" t="s">
        <v>254</v>
      </c>
      <c r="H278" s="257"/>
      <c r="I278" s="257"/>
      <c r="J278" s="257"/>
      <c r="K278" s="257"/>
      <c r="L278" s="257"/>
      <c r="M278" s="257"/>
      <c r="N278" s="257"/>
      <c r="O278" s="257"/>
      <c r="P278" s="257"/>
      <c r="Q278" s="257"/>
      <c r="R278" s="257"/>
      <c r="S278" s="257"/>
      <c r="T278" s="257"/>
      <c r="U278" s="257"/>
      <c r="V278" s="257"/>
      <c r="W278" s="257"/>
      <c r="X278" s="257"/>
      <c r="Y278" s="257"/>
      <c r="Z278" s="257"/>
      <c r="AA278" s="257"/>
      <c r="AB278" s="257"/>
      <c r="AC278" s="257"/>
      <c r="AD278" s="257"/>
      <c r="AE278" s="257"/>
      <c r="AF278" s="257"/>
      <c r="AG278" s="257"/>
      <c r="AH278" s="257"/>
      <c r="AI278" s="257"/>
      <c r="AJ278" s="257"/>
      <c r="AK278" s="257"/>
      <c r="AL278" s="257"/>
      <c r="AM278" s="257"/>
      <c r="AN278" s="257"/>
      <c r="AO278" s="257"/>
      <c r="AP278" s="257"/>
      <c r="AQ278" s="257"/>
      <c r="AR278" s="257"/>
      <c r="AS278" s="257"/>
    </row>
    <row r="279" spans="1:45" ht="15" customHeight="1" x14ac:dyDescent="0.3">
      <c r="A279" s="530"/>
      <c r="B279" s="658"/>
      <c r="C279" s="532" t="s">
        <v>323</v>
      </c>
      <c r="D279" s="257"/>
      <c r="E279" s="257"/>
      <c r="F279" s="257"/>
      <c r="G279" s="257"/>
      <c r="H279" s="257"/>
      <c r="I279" s="257"/>
      <c r="J279" s="257"/>
      <c r="K279" s="257"/>
      <c r="L279" s="257"/>
      <c r="M279" s="257"/>
      <c r="N279" s="257"/>
      <c r="O279" s="257"/>
      <c r="P279" s="257"/>
      <c r="Q279" s="257"/>
      <c r="R279" s="257"/>
      <c r="S279" s="257"/>
      <c r="T279" s="257"/>
      <c r="U279" s="257"/>
      <c r="V279" s="257"/>
      <c r="W279" s="257"/>
      <c r="X279" s="257"/>
      <c r="Y279" s="257"/>
      <c r="Z279" s="257"/>
      <c r="AA279" s="257"/>
      <c r="AB279" s="257"/>
      <c r="AC279" s="257"/>
      <c r="AD279" s="257"/>
      <c r="AE279" s="257"/>
      <c r="AF279" s="257"/>
      <c r="AG279" s="257"/>
      <c r="AH279" s="257"/>
      <c r="AI279" s="257"/>
      <c r="AJ279" s="257"/>
      <c r="AK279" s="257"/>
      <c r="AL279" s="257"/>
      <c r="AM279" s="257"/>
      <c r="AN279" s="257"/>
      <c r="AO279" s="257"/>
      <c r="AP279" s="257"/>
      <c r="AQ279" s="257"/>
      <c r="AR279" s="257"/>
      <c r="AS279" s="257"/>
    </row>
    <row r="280" spans="1:45" ht="15" customHeight="1" x14ac:dyDescent="0.3">
      <c r="A280" s="530"/>
      <c r="B280" s="531"/>
      <c r="C280" s="532"/>
      <c r="D280" s="257"/>
      <c r="E280" s="439" t="str">
        <f xml:space="preserve"> E$252</f>
        <v>Cobalt LME actual &amp; forecast price: IMF_WEO</v>
      </c>
      <c r="F280" s="439">
        <f t="shared" ref="F280:O280" si="287" xml:space="preserve"> F$252</f>
        <v>0</v>
      </c>
      <c r="G280" s="439" t="str">
        <f t="shared" si="287"/>
        <v>$ / tonne</v>
      </c>
      <c r="H280" s="439">
        <f t="shared" si="287"/>
        <v>0</v>
      </c>
      <c r="I280" s="439">
        <f t="shared" si="287"/>
        <v>0</v>
      </c>
      <c r="J280" s="439">
        <f t="shared" si="287"/>
        <v>0</v>
      </c>
      <c r="K280" s="439">
        <f t="shared" si="287"/>
        <v>31172.303428077401</v>
      </c>
      <c r="L280" s="439">
        <f t="shared" si="287"/>
        <v>54341.499809881199</v>
      </c>
      <c r="M280" s="439">
        <f t="shared" si="287"/>
        <v>70839.254468594096</v>
      </c>
      <c r="N280" s="439">
        <f t="shared" si="287"/>
        <v>32088.124664743598</v>
      </c>
      <c r="O280" s="439">
        <f t="shared" si="287"/>
        <v>39368.276123773197</v>
      </c>
      <c r="P280" s="439">
        <f t="shared" ref="P280:AS280" si="288" xml:space="preserve"> P$252</f>
        <v>35344.638635317999</v>
      </c>
      <c r="Q280" s="439">
        <f t="shared" si="288"/>
        <v>28930.686530122199</v>
      </c>
      <c r="R280" s="439">
        <f t="shared" si="288"/>
        <v>27090.822506313099</v>
      </c>
      <c r="S280" s="439">
        <f t="shared" si="288"/>
        <v>30780.7319565531</v>
      </c>
      <c r="T280" s="439">
        <f t="shared" si="288"/>
        <v>28451.660698559601</v>
      </c>
      <c r="U280" s="439">
        <f t="shared" si="288"/>
        <v>25463.3685425685</v>
      </c>
      <c r="V280" s="439">
        <f t="shared" si="288"/>
        <v>55832.1709807429</v>
      </c>
      <c r="W280" s="439">
        <f t="shared" si="288"/>
        <v>72911.236898013303</v>
      </c>
      <c r="X280" s="439">
        <f t="shared" si="288"/>
        <v>33177.6323053909</v>
      </c>
      <c r="Y280" s="439">
        <f t="shared" si="288"/>
        <v>31444.926902256499</v>
      </c>
      <c r="Z280" s="439">
        <f t="shared" si="288"/>
        <v>51235.518379838803</v>
      </c>
      <c r="AA280" s="439">
        <f t="shared" si="288"/>
        <v>63764.719304065497</v>
      </c>
      <c r="AB280" s="439">
        <f t="shared" si="288"/>
        <v>34275.041504525099</v>
      </c>
      <c r="AC280" s="439">
        <f t="shared" si="288"/>
        <v>26326.827560543301</v>
      </c>
      <c r="AD280" s="439">
        <f t="shared" si="288"/>
        <v>40000</v>
      </c>
      <c r="AE280" s="439">
        <f t="shared" si="288"/>
        <v>40000</v>
      </c>
      <c r="AF280" s="439">
        <f t="shared" si="288"/>
        <v>40000</v>
      </c>
      <c r="AG280" s="439">
        <f t="shared" si="288"/>
        <v>40000</v>
      </c>
      <c r="AH280" s="439">
        <f t="shared" si="288"/>
        <v>40000</v>
      </c>
      <c r="AI280" s="439">
        <f t="shared" si="288"/>
        <v>40869.962046162531</v>
      </c>
      <c r="AJ280" s="439">
        <f t="shared" si="288"/>
        <v>41687.361287085783</v>
      </c>
      <c r="AK280" s="439">
        <f t="shared" si="288"/>
        <v>42521.108512827494</v>
      </c>
      <c r="AL280" s="439">
        <f t="shared" si="288"/>
        <v>43371.530683084049</v>
      </c>
      <c r="AM280" s="439">
        <f t="shared" si="288"/>
        <v>44238.961296745721</v>
      </c>
      <c r="AN280" s="439">
        <f t="shared" si="288"/>
        <v>45123.740522680637</v>
      </c>
      <c r="AO280" s="439">
        <f t="shared" si="288"/>
        <v>46026.215333134256</v>
      </c>
      <c r="AP280" s="439">
        <f t="shared" si="288"/>
        <v>46946.739639796942</v>
      </c>
      <c r="AQ280" s="439">
        <f t="shared" si="288"/>
        <v>47885.674432592888</v>
      </c>
      <c r="AR280" s="439">
        <f t="shared" si="288"/>
        <v>48843.38792124475</v>
      </c>
      <c r="AS280" s="439">
        <f t="shared" si="288"/>
        <v>49820.255679669637</v>
      </c>
    </row>
    <row r="281" spans="1:45" ht="15" customHeight="1" x14ac:dyDescent="0.3">
      <c r="A281" s="129"/>
      <c r="B281" s="129"/>
      <c r="C281" s="130"/>
      <c r="D281" s="106"/>
      <c r="E281" s="517" t="str">
        <f xml:space="preserve"> Inputs_TS!E$122</f>
        <v>Cobalt Payable Rate applied in model</v>
      </c>
      <c r="F281" s="1050">
        <f xml:space="preserve"> Inputs_TS!F$122</f>
        <v>0.7</v>
      </c>
      <c r="G281" s="670" t="str">
        <f xml:space="preserve"> Inputs_TS!G$122</f>
        <v>%</v>
      </c>
      <c r="H281" s="84" t="str">
        <f xml:space="preserve"> Inputs_TS!H$118</f>
        <v>XXVI</v>
      </c>
      <c r="I281" s="84"/>
      <c r="J281" s="128"/>
      <c r="K281" s="110"/>
      <c r="L281" s="110"/>
      <c r="M281" s="110"/>
      <c r="N281" s="110"/>
      <c r="O281" s="110"/>
      <c r="P281" s="110"/>
      <c r="Q281" s="110"/>
      <c r="R281" s="110"/>
      <c r="S281" s="110"/>
      <c r="T281" s="110"/>
      <c r="U281" s="110"/>
      <c r="V281" s="110"/>
      <c r="W281" s="110"/>
      <c r="X281" s="110"/>
      <c r="Y281" s="110"/>
      <c r="Z281" s="110"/>
      <c r="AA281" s="110"/>
      <c r="AB281" s="110"/>
      <c r="AC281" s="110"/>
      <c r="AD281" s="110"/>
      <c r="AE281" s="110"/>
      <c r="AF281" s="110"/>
      <c r="AG281" s="110"/>
      <c r="AH281" s="110"/>
      <c r="AI281" s="110"/>
      <c r="AJ281" s="110"/>
      <c r="AK281" s="110"/>
      <c r="AL281" s="110"/>
      <c r="AM281" s="110"/>
      <c r="AN281" s="110"/>
      <c r="AO281" s="110"/>
      <c r="AP281" s="110"/>
      <c r="AQ281" s="110"/>
      <c r="AR281" s="110"/>
      <c r="AS281" s="110"/>
    </row>
    <row r="282" spans="1:45" ht="15" customHeight="1" x14ac:dyDescent="0.3">
      <c r="A282" s="129"/>
      <c r="B282" s="129"/>
      <c r="C282" s="130"/>
      <c r="D282" s="106"/>
      <c r="E282" s="199" t="s">
        <v>324</v>
      </c>
      <c r="F282" s="146"/>
      <c r="G282" s="264" t="s">
        <v>321</v>
      </c>
      <c r="H282" s="84"/>
      <c r="I282" s="84"/>
      <c r="J282" s="128"/>
      <c r="K282" s="110">
        <f t="shared" ref="K282:O282" si="289">K280 * $F281</f>
        <v>21820.612399654179</v>
      </c>
      <c r="L282" s="110">
        <f t="shared" si="289"/>
        <v>38039.049866916837</v>
      </c>
      <c r="M282" s="110">
        <f t="shared" si="289"/>
        <v>49587.478128015864</v>
      </c>
      <c r="N282" s="110">
        <f t="shared" si="289"/>
        <v>22461.687265320517</v>
      </c>
      <c r="O282" s="110">
        <f t="shared" si="289"/>
        <v>27557.793286641238</v>
      </c>
      <c r="P282" s="110">
        <f t="shared" ref="P282:AS282" si="290">P280 * $F281</f>
        <v>24741.247044722597</v>
      </c>
      <c r="Q282" s="110">
        <f t="shared" si="290"/>
        <v>20251.480571085536</v>
      </c>
      <c r="R282" s="110">
        <f t="shared" si="290"/>
        <v>18963.575754419169</v>
      </c>
      <c r="S282" s="110">
        <f t="shared" si="290"/>
        <v>21546.51236958717</v>
      </c>
      <c r="T282" s="110">
        <f t="shared" si="290"/>
        <v>19916.162488991718</v>
      </c>
      <c r="U282" s="110">
        <f t="shared" si="290"/>
        <v>17824.357979797947</v>
      </c>
      <c r="V282" s="110">
        <f t="shared" si="290"/>
        <v>39082.519686520027</v>
      </c>
      <c r="W282" s="110">
        <f t="shared" si="290"/>
        <v>51037.865828609312</v>
      </c>
      <c r="X282" s="110">
        <f t="shared" si="290"/>
        <v>23224.342613773628</v>
      </c>
      <c r="Y282" s="110">
        <f t="shared" si="290"/>
        <v>22011.448831579546</v>
      </c>
      <c r="Z282" s="110">
        <f t="shared" si="290"/>
        <v>35864.86286588716</v>
      </c>
      <c r="AA282" s="110">
        <f t="shared" si="290"/>
        <v>44635.303512845843</v>
      </c>
      <c r="AB282" s="110">
        <f t="shared" si="290"/>
        <v>23992.529053167567</v>
      </c>
      <c r="AC282" s="110">
        <f t="shared" si="290"/>
        <v>18428.77929238031</v>
      </c>
      <c r="AD282" s="110">
        <f t="shared" si="290"/>
        <v>28000</v>
      </c>
      <c r="AE282" s="110">
        <f t="shared" si="290"/>
        <v>28000</v>
      </c>
      <c r="AF282" s="110">
        <f t="shared" si="290"/>
        <v>28000</v>
      </c>
      <c r="AG282" s="110">
        <f t="shared" si="290"/>
        <v>28000</v>
      </c>
      <c r="AH282" s="110">
        <f t="shared" si="290"/>
        <v>28000</v>
      </c>
      <c r="AI282" s="110">
        <f t="shared" si="290"/>
        <v>28608.973432313771</v>
      </c>
      <c r="AJ282" s="110">
        <f t="shared" si="290"/>
        <v>29181.152900960045</v>
      </c>
      <c r="AK282" s="110">
        <f t="shared" si="290"/>
        <v>29764.775958979244</v>
      </c>
      <c r="AL282" s="110">
        <f t="shared" si="290"/>
        <v>30360.071478158832</v>
      </c>
      <c r="AM282" s="110">
        <f t="shared" si="290"/>
        <v>30967.272907722003</v>
      </c>
      <c r="AN282" s="110">
        <f t="shared" si="290"/>
        <v>31586.618365876442</v>
      </c>
      <c r="AO282" s="110">
        <f t="shared" si="290"/>
        <v>32218.350733193976</v>
      </c>
      <c r="AP282" s="110">
        <f t="shared" si="290"/>
        <v>32862.71774785786</v>
      </c>
      <c r="AQ282" s="110">
        <f t="shared" si="290"/>
        <v>33519.972102815023</v>
      </c>
      <c r="AR282" s="110">
        <f t="shared" si="290"/>
        <v>34190.371544871326</v>
      </c>
      <c r="AS282" s="110">
        <f t="shared" si="290"/>
        <v>34874.178975768744</v>
      </c>
    </row>
    <row r="283" spans="1:45" ht="15" customHeight="1" x14ac:dyDescent="0.3">
      <c r="A283" s="530"/>
      <c r="B283" s="531"/>
      <c r="C283" s="532"/>
      <c r="D283" s="257"/>
      <c r="E283" s="257"/>
      <c r="F283" s="669"/>
      <c r="G283" s="257"/>
      <c r="H283" s="257"/>
      <c r="I283" s="257"/>
      <c r="J283" s="257"/>
      <c r="K283" s="257"/>
      <c r="L283" s="257"/>
      <c r="M283" s="257"/>
      <c r="N283" s="257"/>
      <c r="O283" s="257"/>
      <c r="P283" s="257"/>
      <c r="Q283" s="257"/>
      <c r="R283" s="257"/>
      <c r="S283" s="257"/>
      <c r="T283" s="257"/>
      <c r="U283" s="257"/>
      <c r="V283" s="257"/>
      <c r="W283" s="257"/>
      <c r="X283" s="257"/>
      <c r="Y283" s="257"/>
      <c r="Z283" s="257"/>
      <c r="AA283" s="257"/>
      <c r="AB283" s="257"/>
      <c r="AC283" s="257"/>
      <c r="AD283" s="257"/>
      <c r="AE283" s="257"/>
      <c r="AF283" s="257"/>
      <c r="AG283" s="257"/>
      <c r="AH283" s="257"/>
      <c r="AI283" s="257"/>
      <c r="AJ283" s="257"/>
      <c r="AK283" s="257"/>
      <c r="AL283" s="257"/>
      <c r="AM283" s="257"/>
      <c r="AN283" s="257"/>
      <c r="AO283" s="257"/>
      <c r="AP283" s="257"/>
      <c r="AQ283" s="257"/>
      <c r="AR283" s="257"/>
      <c r="AS283" s="257"/>
    </row>
    <row r="284" spans="1:45" ht="15" customHeight="1" x14ac:dyDescent="0.3">
      <c r="A284" s="129"/>
      <c r="B284" s="129"/>
      <c r="C284" s="130" t="s">
        <v>325</v>
      </c>
      <c r="D284" s="106"/>
      <c r="E284" s="145"/>
      <c r="F284" s="146"/>
      <c r="G284" s="145"/>
      <c r="H284" s="84"/>
      <c r="I284" s="84"/>
      <c r="J284" s="128"/>
      <c r="K284" s="110"/>
      <c r="L284" s="110"/>
      <c r="M284" s="110"/>
      <c r="N284" s="110"/>
      <c r="O284" s="110"/>
      <c r="P284" s="110"/>
      <c r="Q284" s="110"/>
      <c r="R284" s="110"/>
      <c r="S284" s="110"/>
      <c r="T284" s="110"/>
      <c r="U284" s="110"/>
      <c r="V284" s="110"/>
      <c r="W284" s="110"/>
      <c r="X284" s="110"/>
      <c r="Y284" s="110"/>
      <c r="Z284" s="110"/>
      <c r="AA284" s="110"/>
      <c r="AB284" s="110"/>
      <c r="AC284" s="110"/>
      <c r="AD284" s="110"/>
      <c r="AE284" s="110"/>
      <c r="AF284" s="110"/>
      <c r="AG284" s="110"/>
      <c r="AH284" s="110"/>
      <c r="AI284" s="110"/>
      <c r="AJ284" s="110"/>
      <c r="AK284" s="110"/>
      <c r="AL284" s="110"/>
      <c r="AM284" s="110"/>
      <c r="AN284" s="110"/>
      <c r="AO284" s="110"/>
      <c r="AP284" s="110"/>
      <c r="AQ284" s="110"/>
      <c r="AR284" s="110"/>
      <c r="AS284" s="110"/>
    </row>
    <row r="285" spans="1:45" ht="15" customHeight="1" x14ac:dyDescent="0.3">
      <c r="A285" s="129"/>
      <c r="B285" s="129"/>
      <c r="C285" s="130"/>
      <c r="D285" s="106"/>
      <c r="E285" s="145" t="str">
        <f xml:space="preserve"> Inputs_TS!E$117</f>
        <v>Freight Allowance (per wet metric ton)</v>
      </c>
      <c r="F285" s="256">
        <f xml:space="preserve"> Inputs_TS!F$117</f>
        <v>520</v>
      </c>
      <c r="G285" s="145" t="str">
        <f xml:space="preserve"> Inputs_TS!G$117</f>
        <v>$ / tonne</v>
      </c>
      <c r="H285" s="84" t="str">
        <f xml:space="preserve"> Inputs_TS!H$117</f>
        <v>XXVI</v>
      </c>
      <c r="I285" s="84"/>
      <c r="J285" s="128"/>
      <c r="K285" s="110"/>
      <c r="L285" s="110"/>
      <c r="M285" s="110"/>
      <c r="N285" s="110"/>
      <c r="O285" s="110"/>
      <c r="P285" s="110"/>
      <c r="Q285" s="110"/>
      <c r="R285" s="110"/>
      <c r="S285" s="110"/>
      <c r="T285" s="110"/>
      <c r="U285" s="110"/>
      <c r="V285" s="110"/>
      <c r="W285" s="110"/>
      <c r="X285" s="110"/>
      <c r="Y285" s="110"/>
      <c r="Z285" s="110"/>
      <c r="AA285" s="110"/>
      <c r="AB285" s="110"/>
      <c r="AC285" s="110"/>
      <c r="AD285" s="110"/>
      <c r="AE285" s="110"/>
      <c r="AF285" s="110"/>
      <c r="AG285" s="110"/>
      <c r="AH285" s="110"/>
      <c r="AI285" s="110"/>
      <c r="AJ285" s="110"/>
      <c r="AK285" s="110"/>
      <c r="AL285" s="110"/>
      <c r="AM285" s="110"/>
      <c r="AN285" s="110"/>
      <c r="AO285" s="110"/>
      <c r="AP285" s="110"/>
      <c r="AQ285" s="110"/>
      <c r="AR285" s="110"/>
      <c r="AS285" s="110"/>
    </row>
    <row r="286" spans="1:45" ht="15" customHeight="1" x14ac:dyDescent="0.3">
      <c r="A286" s="129"/>
      <c r="B286" s="129"/>
      <c r="C286" s="130"/>
      <c r="D286" s="106"/>
      <c r="E286" s="145" t="str">
        <f xml:space="preserve"> Inputs_TS!E$124</f>
        <v>Cobalt mean grade</v>
      </c>
      <c r="F286" s="146">
        <f xml:space="preserve"> Inputs_TS!F$124</f>
        <v>0.27762162238664501</v>
      </c>
      <c r="G286" s="145" t="str">
        <f xml:space="preserve"> Inputs_TS!G$124</f>
        <v>%</v>
      </c>
      <c r="H286" s="84" t="str">
        <f xml:space="preserve"> Inputs_TS!H$124</f>
        <v>XIV</v>
      </c>
      <c r="I286" s="84"/>
      <c r="J286" s="128"/>
      <c r="K286" s="110"/>
      <c r="L286" s="110"/>
      <c r="M286" s="110"/>
      <c r="N286" s="110"/>
      <c r="O286" s="110"/>
      <c r="P286" s="110"/>
      <c r="Q286" s="110"/>
      <c r="R286" s="110"/>
      <c r="S286" s="110"/>
      <c r="T286" s="110"/>
      <c r="U286" s="110"/>
      <c r="V286" s="110"/>
      <c r="W286" s="110"/>
      <c r="X286" s="110"/>
      <c r="Y286" s="110"/>
      <c r="Z286" s="110"/>
      <c r="AA286" s="110"/>
      <c r="AB286" s="110"/>
      <c r="AC286" s="110"/>
      <c r="AD286" s="110"/>
      <c r="AE286" s="110"/>
      <c r="AF286" s="110"/>
      <c r="AG286" s="110"/>
      <c r="AH286" s="110"/>
      <c r="AI286" s="110"/>
      <c r="AJ286" s="110"/>
      <c r="AK286" s="110"/>
      <c r="AL286" s="110"/>
      <c r="AM286" s="110"/>
      <c r="AN286" s="110"/>
      <c r="AO286" s="110"/>
      <c r="AP286" s="110"/>
      <c r="AQ286" s="110"/>
      <c r="AR286" s="110"/>
      <c r="AS286" s="110"/>
    </row>
    <row r="287" spans="1:45" ht="15" customHeight="1" x14ac:dyDescent="0.3">
      <c r="A287" s="129"/>
      <c r="B287" s="129"/>
      <c r="C287" s="130"/>
      <c r="D287" s="106"/>
      <c r="E287" s="257" t="s">
        <v>327</v>
      </c>
      <c r="F287" s="257">
        <f xml:space="preserve"> F285 / F286</f>
        <v>1873.0529543401105</v>
      </c>
      <c r="G287" s="257" t="s">
        <v>321</v>
      </c>
      <c r="H287" s="84"/>
      <c r="I287" s="84"/>
      <c r="J287" s="128"/>
      <c r="K287" s="110"/>
      <c r="L287" s="110"/>
      <c r="M287" s="110"/>
      <c r="N287" s="110"/>
      <c r="O287" s="110"/>
      <c r="P287" s="110"/>
      <c r="Q287" s="110"/>
      <c r="R287" s="110"/>
      <c r="S287" s="110"/>
      <c r="T287" s="110"/>
      <c r="U287" s="110"/>
      <c r="V287" s="110"/>
      <c r="W287" s="110"/>
      <c r="X287" s="110"/>
      <c r="Y287" s="110"/>
      <c r="Z287" s="110"/>
      <c r="AA287" s="110"/>
      <c r="AB287" s="110"/>
      <c r="AC287" s="110"/>
      <c r="AD287" s="110"/>
      <c r="AE287" s="110"/>
      <c r="AF287" s="110"/>
      <c r="AG287" s="110"/>
      <c r="AH287" s="110"/>
      <c r="AI287" s="110"/>
      <c r="AJ287" s="110"/>
      <c r="AK287" s="110"/>
      <c r="AL287" s="110"/>
      <c r="AM287" s="110"/>
      <c r="AN287" s="110"/>
      <c r="AO287" s="110"/>
      <c r="AP287" s="110"/>
      <c r="AQ287" s="110"/>
      <c r="AR287" s="110"/>
      <c r="AS287" s="110"/>
    </row>
    <row r="288" spans="1:45" ht="15" customHeight="1" x14ac:dyDescent="0.3">
      <c r="A288" s="129"/>
      <c r="B288" s="129"/>
      <c r="C288" s="130"/>
      <c r="D288" s="106"/>
      <c r="E288" s="257" t="s">
        <v>328</v>
      </c>
      <c r="F288" s="257" t="str">
        <f>F278</f>
        <v>SOM_Contract</v>
      </c>
      <c r="G288" s="257"/>
      <c r="H288" s="84"/>
      <c r="I288" s="84"/>
      <c r="J288" s="128"/>
      <c r="K288" s="110">
        <f t="shared" ref="K288:AS288" si="291">IF(K282 &gt; 0, (K282 - $F287), 0)</f>
        <v>19947.559445314069</v>
      </c>
      <c r="L288" s="110">
        <f t="shared" si="291"/>
        <v>36165.996912576724</v>
      </c>
      <c r="M288" s="110">
        <f t="shared" si="291"/>
        <v>47714.425173675751</v>
      </c>
      <c r="N288" s="110">
        <f t="shared" si="291"/>
        <v>20588.634310980407</v>
      </c>
      <c r="O288" s="110">
        <f t="shared" si="291"/>
        <v>25684.740332301128</v>
      </c>
      <c r="P288" s="110">
        <f t="shared" si="291"/>
        <v>22868.194090382487</v>
      </c>
      <c r="Q288" s="110">
        <f t="shared" si="291"/>
        <v>18378.427616745426</v>
      </c>
      <c r="R288" s="110">
        <f t="shared" si="291"/>
        <v>17090.522800079059</v>
      </c>
      <c r="S288" s="110">
        <f t="shared" si="291"/>
        <v>19673.45941524706</v>
      </c>
      <c r="T288" s="110">
        <f t="shared" si="291"/>
        <v>18043.109534651609</v>
      </c>
      <c r="U288" s="110">
        <f t="shared" si="291"/>
        <v>15951.305025457837</v>
      </c>
      <c r="V288" s="110">
        <f t="shared" si="291"/>
        <v>37209.466732179913</v>
      </c>
      <c r="W288" s="110">
        <f t="shared" si="291"/>
        <v>49164.812874269199</v>
      </c>
      <c r="X288" s="110">
        <f t="shared" si="291"/>
        <v>21351.289659433518</v>
      </c>
      <c r="Y288" s="110">
        <f t="shared" si="291"/>
        <v>20138.395877239436</v>
      </c>
      <c r="Z288" s="110">
        <f t="shared" si="291"/>
        <v>33991.809911547047</v>
      </c>
      <c r="AA288" s="110">
        <f t="shared" si="291"/>
        <v>42762.25055850573</v>
      </c>
      <c r="AB288" s="110">
        <f t="shared" si="291"/>
        <v>22119.476098827457</v>
      </c>
      <c r="AC288" s="110">
        <f t="shared" si="291"/>
        <v>16555.7263380402</v>
      </c>
      <c r="AD288" s="110">
        <f t="shared" si="291"/>
        <v>26126.94704565989</v>
      </c>
      <c r="AE288" s="110">
        <f t="shared" si="291"/>
        <v>26126.94704565989</v>
      </c>
      <c r="AF288" s="110">
        <f t="shared" si="291"/>
        <v>26126.94704565989</v>
      </c>
      <c r="AG288" s="110">
        <f t="shared" si="291"/>
        <v>26126.94704565989</v>
      </c>
      <c r="AH288" s="110">
        <f t="shared" si="291"/>
        <v>26126.94704565989</v>
      </c>
      <c r="AI288" s="110">
        <f t="shared" si="291"/>
        <v>26735.920477973661</v>
      </c>
      <c r="AJ288" s="110">
        <f t="shared" si="291"/>
        <v>27308.099946619936</v>
      </c>
      <c r="AK288" s="110">
        <f t="shared" si="291"/>
        <v>27891.723004639134</v>
      </c>
      <c r="AL288" s="110">
        <f t="shared" si="291"/>
        <v>28487.018523818722</v>
      </c>
      <c r="AM288" s="110">
        <f t="shared" si="291"/>
        <v>29094.219953381893</v>
      </c>
      <c r="AN288" s="110">
        <f t="shared" si="291"/>
        <v>29713.565411536332</v>
      </c>
      <c r="AO288" s="110">
        <f t="shared" si="291"/>
        <v>30345.297778853866</v>
      </c>
      <c r="AP288" s="110">
        <f t="shared" si="291"/>
        <v>30989.66479351775</v>
      </c>
      <c r="AQ288" s="110">
        <f t="shared" si="291"/>
        <v>31646.919148474914</v>
      </c>
      <c r="AR288" s="110">
        <f t="shared" si="291"/>
        <v>32317.318590531217</v>
      </c>
      <c r="AS288" s="110">
        <f t="shared" si="291"/>
        <v>33001.12602142863</v>
      </c>
    </row>
    <row r="289" spans="1:45" ht="15" customHeight="1" x14ac:dyDescent="0.3">
      <c r="A289" s="530"/>
      <c r="B289" s="531"/>
      <c r="C289" s="532"/>
      <c r="D289" s="257"/>
      <c r="E289" s="257"/>
      <c r="F289" s="669"/>
      <c r="G289" s="257"/>
      <c r="H289" s="257"/>
      <c r="I289" s="257"/>
      <c r="J289" s="257"/>
      <c r="K289" s="257"/>
      <c r="L289" s="257"/>
      <c r="M289" s="257"/>
      <c r="N289" s="257"/>
      <c r="O289" s="257"/>
      <c r="P289" s="257"/>
      <c r="Q289" s="257"/>
      <c r="R289" s="257"/>
      <c r="S289" s="257"/>
      <c r="T289" s="257"/>
      <c r="U289" s="257"/>
      <c r="V289" s="257"/>
      <c r="W289" s="257"/>
      <c r="X289" s="257"/>
      <c r="Y289" s="257"/>
      <c r="Z289" s="257"/>
      <c r="AA289" s="257"/>
      <c r="AB289" s="257"/>
      <c r="AC289" s="257"/>
      <c r="AD289" s="257"/>
      <c r="AE289" s="257"/>
      <c r="AF289" s="257"/>
      <c r="AG289" s="257"/>
      <c r="AH289" s="257"/>
      <c r="AI289" s="257"/>
      <c r="AJ289" s="257"/>
      <c r="AK289" s="257"/>
      <c r="AL289" s="257"/>
      <c r="AM289" s="257"/>
      <c r="AN289" s="257"/>
      <c r="AO289" s="257"/>
      <c r="AP289" s="257"/>
      <c r="AQ289" s="257"/>
      <c r="AR289" s="257"/>
      <c r="AS289" s="257"/>
    </row>
    <row r="290" spans="1:45" ht="15" customHeight="1" x14ac:dyDescent="0.3">
      <c r="A290" s="129"/>
      <c r="B290" s="129"/>
      <c r="C290" s="130" t="s">
        <v>329</v>
      </c>
      <c r="D290" s="106"/>
      <c r="I290" s="116"/>
      <c r="J290" s="128"/>
      <c r="K290" s="110"/>
      <c r="L290" s="110"/>
      <c r="M290" s="110"/>
      <c r="N290" s="110"/>
      <c r="O290" s="110"/>
      <c r="P290" s="110"/>
      <c r="Q290" s="110"/>
      <c r="R290" s="110"/>
      <c r="S290" s="110"/>
      <c r="T290" s="110"/>
      <c r="U290" s="110"/>
      <c r="V290" s="110"/>
      <c r="W290" s="110"/>
      <c r="X290" s="110"/>
      <c r="Y290" s="110"/>
      <c r="Z290" s="110"/>
      <c r="AA290" s="110"/>
      <c r="AB290" s="110"/>
      <c r="AC290" s="110"/>
      <c r="AD290" s="110"/>
      <c r="AE290" s="110"/>
      <c r="AF290" s="110"/>
      <c r="AG290" s="110"/>
      <c r="AH290" s="110"/>
      <c r="AI290" s="110"/>
      <c r="AJ290" s="110"/>
      <c r="AK290" s="110"/>
      <c r="AL290" s="110"/>
      <c r="AM290" s="110"/>
      <c r="AN290" s="110"/>
      <c r="AO290" s="110"/>
      <c r="AP290" s="110"/>
      <c r="AQ290" s="110"/>
      <c r="AR290" s="110"/>
      <c r="AS290" s="110"/>
    </row>
    <row r="291" spans="1:45" ht="15" customHeight="1" x14ac:dyDescent="0.3">
      <c r="A291" s="129"/>
      <c r="B291" s="129"/>
      <c r="C291" s="130"/>
      <c r="D291" s="106"/>
      <c r="E291" s="145" t="str">
        <f xml:space="preserve"> Inputs_TS!E$119</f>
        <v>Third Party Marketing Charge: Cu &amp; Co</v>
      </c>
      <c r="F291" s="146">
        <f xml:space="preserve"> Inputs_TS!F$119</f>
        <v>8.0000000000000002E-3</v>
      </c>
      <c r="G291" s="145" t="str">
        <f xml:space="preserve"> Inputs_TS!G$119</f>
        <v>%</v>
      </c>
      <c r="H291" s="84" t="str">
        <f xml:space="preserve"> Inputs_TS!H$119</f>
        <v>XXVI</v>
      </c>
      <c r="I291" s="84"/>
      <c r="J291" s="128"/>
      <c r="K291" s="110"/>
      <c r="L291" s="110"/>
      <c r="M291" s="110"/>
      <c r="N291" s="110"/>
      <c r="O291" s="110"/>
      <c r="P291" s="110"/>
      <c r="Q291" s="110"/>
      <c r="R291" s="110"/>
      <c r="S291" s="110"/>
      <c r="T291" s="110"/>
      <c r="U291" s="110"/>
      <c r="V291" s="110"/>
      <c r="W291" s="110"/>
      <c r="X291" s="110"/>
      <c r="Y291" s="110"/>
      <c r="Z291" s="110"/>
      <c r="AA291" s="110"/>
      <c r="AB291" s="110"/>
      <c r="AC291" s="110"/>
      <c r="AD291" s="110"/>
      <c r="AE291" s="110"/>
      <c r="AF291" s="110"/>
      <c r="AG291" s="110"/>
      <c r="AH291" s="110"/>
      <c r="AI291" s="110"/>
      <c r="AJ291" s="110"/>
      <c r="AK291" s="110"/>
      <c r="AL291" s="110"/>
      <c r="AM291" s="110"/>
      <c r="AN291" s="110"/>
      <c r="AO291" s="110"/>
      <c r="AP291" s="110"/>
      <c r="AQ291" s="110"/>
      <c r="AR291" s="110"/>
      <c r="AS291" s="110"/>
    </row>
    <row r="292" spans="1:45" ht="15" customHeight="1" x14ac:dyDescent="0.3">
      <c r="A292" s="129"/>
      <c r="B292" s="129"/>
      <c r="C292" s="130"/>
      <c r="D292" s="106"/>
      <c r="E292" s="145" t="str">
        <f xml:space="preserve"> Inputs_TS!E$121</f>
        <v>Som contract: placeholder assumption of third party sales: Co</v>
      </c>
      <c r="F292" s="146">
        <f xml:space="preserve"> Inputs_TS!F$121</f>
        <v>0.9</v>
      </c>
      <c r="G292" s="145" t="str">
        <f xml:space="preserve"> Inputs_TS!G$121</f>
        <v>%</v>
      </c>
      <c r="H292" s="84" t="str">
        <f xml:space="preserve"> Inputs_TS!H$121</f>
        <v>XXVI</v>
      </c>
      <c r="I292" s="84"/>
      <c r="J292" s="128"/>
      <c r="K292" s="110"/>
      <c r="L292" s="110"/>
      <c r="M292" s="110"/>
      <c r="N292" s="110"/>
      <c r="O292" s="110"/>
      <c r="P292" s="110"/>
      <c r="Q292" s="110"/>
      <c r="R292" s="110"/>
      <c r="S292" s="110"/>
      <c r="T292" s="110"/>
      <c r="U292" s="110"/>
      <c r="V292" s="110"/>
      <c r="W292" s="110"/>
      <c r="X292" s="110"/>
      <c r="Y292" s="110"/>
      <c r="Z292" s="110"/>
      <c r="AA292" s="110"/>
      <c r="AB292" s="110"/>
      <c r="AC292" s="110"/>
      <c r="AD292" s="110"/>
      <c r="AE292" s="110"/>
      <c r="AF292" s="110"/>
      <c r="AG292" s="110"/>
      <c r="AH292" s="110"/>
      <c r="AI292" s="110"/>
      <c r="AJ292" s="110"/>
      <c r="AK292" s="110"/>
      <c r="AL292" s="110"/>
      <c r="AM292" s="110"/>
      <c r="AN292" s="110"/>
      <c r="AO292" s="110"/>
      <c r="AP292" s="110"/>
      <c r="AQ292" s="110"/>
      <c r="AR292" s="110"/>
      <c r="AS292" s="110"/>
    </row>
    <row r="293" spans="1:45" ht="15" customHeight="1" x14ac:dyDescent="0.3">
      <c r="A293" s="129"/>
      <c r="B293" s="129"/>
      <c r="C293" s="130"/>
      <c r="D293" s="106"/>
      <c r="E293" s="42" t="s">
        <v>330</v>
      </c>
      <c r="F293" s="72">
        <f>F291* F292</f>
        <v>7.2000000000000007E-3</v>
      </c>
      <c r="G293" s="42" t="s">
        <v>34</v>
      </c>
      <c r="I293" s="116"/>
      <c r="J293" s="128"/>
      <c r="K293" s="110"/>
      <c r="L293" s="110"/>
      <c r="M293" s="110"/>
      <c r="N293" s="110"/>
      <c r="O293" s="110"/>
      <c r="P293" s="110"/>
      <c r="Q293" s="110"/>
      <c r="R293" s="110"/>
      <c r="S293" s="110"/>
      <c r="T293" s="110"/>
      <c r="U293" s="110"/>
      <c r="V293" s="110"/>
      <c r="W293" s="110"/>
      <c r="X293" s="110"/>
      <c r="Y293" s="110"/>
      <c r="Z293" s="110"/>
      <c r="AA293" s="110"/>
      <c r="AB293" s="110"/>
      <c r="AC293" s="110"/>
      <c r="AD293" s="110"/>
      <c r="AE293" s="110"/>
      <c r="AF293" s="110"/>
      <c r="AG293" s="110"/>
      <c r="AH293" s="110"/>
      <c r="AI293" s="110"/>
      <c r="AJ293" s="110"/>
      <c r="AK293" s="110"/>
      <c r="AL293" s="110"/>
      <c r="AM293" s="110"/>
      <c r="AN293" s="110"/>
      <c r="AO293" s="110"/>
      <c r="AP293" s="110"/>
      <c r="AQ293" s="110"/>
      <c r="AR293" s="110"/>
      <c r="AS293" s="110"/>
    </row>
    <row r="294" spans="1:45" ht="15" customHeight="1" x14ac:dyDescent="0.3">
      <c r="A294" s="129"/>
      <c r="B294" s="129"/>
      <c r="C294" s="130"/>
      <c r="D294" s="106"/>
      <c r="I294" s="116"/>
      <c r="J294" s="128"/>
      <c r="K294" s="110"/>
      <c r="L294" s="110"/>
      <c r="M294" s="110"/>
      <c r="N294" s="110"/>
      <c r="O294" s="110"/>
      <c r="P294" s="110"/>
      <c r="Q294" s="110"/>
      <c r="R294" s="110"/>
      <c r="S294" s="110"/>
      <c r="T294" s="110"/>
      <c r="U294" s="110"/>
      <c r="V294" s="110"/>
      <c r="W294" s="110"/>
      <c r="X294" s="110"/>
      <c r="Y294" s="110"/>
      <c r="Z294" s="110"/>
      <c r="AA294" s="110"/>
      <c r="AB294" s="110"/>
      <c r="AC294" s="110"/>
      <c r="AD294" s="110"/>
      <c r="AE294" s="110"/>
      <c r="AF294" s="110"/>
      <c r="AG294" s="110"/>
      <c r="AH294" s="110"/>
      <c r="AI294" s="110"/>
      <c r="AJ294" s="110"/>
      <c r="AK294" s="110"/>
      <c r="AL294" s="110"/>
      <c r="AM294" s="110"/>
      <c r="AN294" s="110"/>
      <c r="AO294" s="110"/>
      <c r="AP294" s="110"/>
      <c r="AQ294" s="110"/>
      <c r="AR294" s="110"/>
      <c r="AS294" s="110"/>
    </row>
    <row r="295" spans="1:45" ht="15" customHeight="1" x14ac:dyDescent="0.3">
      <c r="A295" s="129"/>
      <c r="B295" s="129"/>
      <c r="C295" s="130"/>
      <c r="D295" s="106"/>
      <c r="E295" s="106" t="str">
        <f>"Cobalt realized price: " &amp; F278</f>
        <v>Cobalt realized price: SOM_Contract</v>
      </c>
      <c r="F295" s="106" t="str">
        <f>F278</f>
        <v>SOM_Contract</v>
      </c>
      <c r="G295" s="257" t="s">
        <v>321</v>
      </c>
      <c r="H295" s="131"/>
      <c r="I295" s="131"/>
      <c r="J295" s="128"/>
      <c r="K295" s="110">
        <f t="shared" ref="K295:O295" si="292">K288 * (1 -$F293)</f>
        <v>19803.93701730781</v>
      </c>
      <c r="L295" s="110">
        <f t="shared" si="292"/>
        <v>35905.601734806172</v>
      </c>
      <c r="M295" s="110">
        <f t="shared" si="292"/>
        <v>47370.881312425285</v>
      </c>
      <c r="N295" s="110">
        <f t="shared" si="292"/>
        <v>20440.396143941351</v>
      </c>
      <c r="O295" s="110">
        <f t="shared" si="292"/>
        <v>25499.81020190856</v>
      </c>
      <c r="P295" s="110">
        <f t="shared" ref="P295:AS295" si="293">P288 * (1 -$F293)</f>
        <v>22703.543092931734</v>
      </c>
      <c r="Q295" s="110">
        <f t="shared" si="293"/>
        <v>18246.10293790486</v>
      </c>
      <c r="R295" s="110">
        <f t="shared" si="293"/>
        <v>16967.47103591849</v>
      </c>
      <c r="S295" s="110">
        <f t="shared" si="293"/>
        <v>19531.810507457281</v>
      </c>
      <c r="T295" s="110">
        <f t="shared" si="293"/>
        <v>17913.199146002116</v>
      </c>
      <c r="U295" s="110">
        <f t="shared" si="293"/>
        <v>15836.455629274542</v>
      </c>
      <c r="V295" s="110">
        <f t="shared" si="293"/>
        <v>36941.558571708221</v>
      </c>
      <c r="W295" s="110">
        <f t="shared" si="293"/>
        <v>48810.826221574462</v>
      </c>
      <c r="X295" s="110">
        <f t="shared" si="293"/>
        <v>21197.560373885597</v>
      </c>
      <c r="Y295" s="110">
        <f t="shared" si="293"/>
        <v>19993.399426923312</v>
      </c>
      <c r="Z295" s="110">
        <f t="shared" si="293"/>
        <v>33747.068880183906</v>
      </c>
      <c r="AA295" s="110">
        <f t="shared" si="293"/>
        <v>42454.362354484489</v>
      </c>
      <c r="AB295" s="110">
        <f t="shared" si="293"/>
        <v>21960.215870915901</v>
      </c>
      <c r="AC295" s="110">
        <f t="shared" si="293"/>
        <v>16436.525108406309</v>
      </c>
      <c r="AD295" s="110">
        <f t="shared" si="293"/>
        <v>25938.833026931141</v>
      </c>
      <c r="AE295" s="110">
        <f t="shared" si="293"/>
        <v>25938.833026931141</v>
      </c>
      <c r="AF295" s="110">
        <f t="shared" si="293"/>
        <v>25938.833026931141</v>
      </c>
      <c r="AG295" s="110">
        <f t="shared" si="293"/>
        <v>25938.833026931141</v>
      </c>
      <c r="AH295" s="110">
        <f t="shared" si="293"/>
        <v>25938.833026931141</v>
      </c>
      <c r="AI295" s="110">
        <f t="shared" si="293"/>
        <v>26543.42185053225</v>
      </c>
      <c r="AJ295" s="110">
        <f t="shared" si="293"/>
        <v>27111.481627004272</v>
      </c>
      <c r="AK295" s="110">
        <f t="shared" si="293"/>
        <v>27690.902599005734</v>
      </c>
      <c r="AL295" s="110">
        <f t="shared" si="293"/>
        <v>28281.911990447228</v>
      </c>
      <c r="AM295" s="110">
        <f t="shared" si="293"/>
        <v>28884.741569717542</v>
      </c>
      <c r="AN295" s="110">
        <f t="shared" si="293"/>
        <v>29499.627740573273</v>
      </c>
      <c r="AO295" s="110">
        <f t="shared" si="293"/>
        <v>30126.811634846119</v>
      </c>
      <c r="AP295" s="110">
        <f t="shared" si="293"/>
        <v>30766.539207004422</v>
      </c>
      <c r="AQ295" s="110">
        <f t="shared" si="293"/>
        <v>31419.061330605895</v>
      </c>
      <c r="AR295" s="110">
        <f t="shared" si="293"/>
        <v>32084.633896679392</v>
      </c>
      <c r="AS295" s="110">
        <f t="shared" si="293"/>
        <v>32763.517914074346</v>
      </c>
    </row>
    <row r="296" spans="1:45" ht="15" customHeight="1" x14ac:dyDescent="0.3">
      <c r="A296" s="530"/>
      <c r="B296" s="531"/>
      <c r="C296" s="532"/>
      <c r="D296" s="257"/>
      <c r="E296" s="257"/>
      <c r="F296" s="669"/>
      <c r="G296" s="257"/>
      <c r="H296" s="257"/>
      <c r="I296" s="257"/>
      <c r="J296" s="257"/>
      <c r="K296" s="257"/>
      <c r="L296" s="257"/>
      <c r="M296" s="257"/>
      <c r="N296" s="257"/>
      <c r="O296" s="257"/>
      <c r="P296" s="257"/>
      <c r="Q296" s="257"/>
      <c r="R296" s="257"/>
      <c r="S296" s="257"/>
      <c r="T296" s="257"/>
      <c r="U296" s="257"/>
      <c r="V296" s="257"/>
      <c r="W296" s="257"/>
      <c r="X296" s="257"/>
      <c r="Y296" s="257"/>
      <c r="Z296" s="257"/>
      <c r="AA296" s="257"/>
      <c r="AB296" s="257"/>
      <c r="AC296" s="257"/>
      <c r="AD296" s="257"/>
      <c r="AE296" s="257"/>
      <c r="AF296" s="257"/>
      <c r="AG296" s="257"/>
      <c r="AH296" s="257"/>
      <c r="AI296" s="257"/>
      <c r="AJ296" s="257"/>
      <c r="AK296" s="257"/>
      <c r="AL296" s="257"/>
      <c r="AM296" s="257"/>
      <c r="AN296" s="257"/>
      <c r="AO296" s="257"/>
      <c r="AP296" s="257"/>
      <c r="AQ296" s="257"/>
      <c r="AR296" s="257"/>
      <c r="AS296" s="257"/>
    </row>
    <row r="297" spans="1:45" ht="15" customHeight="1" x14ac:dyDescent="0.3">
      <c r="A297" s="530"/>
      <c r="B297" s="531"/>
      <c r="C297" s="532"/>
      <c r="D297" s="257"/>
      <c r="E297" s="439" t="str">
        <f xml:space="preserve"> E$252</f>
        <v>Cobalt LME actual &amp; forecast price: IMF_WEO</v>
      </c>
      <c r="F297" s="439">
        <f t="shared" ref="F297:O297" si="294" xml:space="preserve"> F$252</f>
        <v>0</v>
      </c>
      <c r="G297" s="439" t="str">
        <f t="shared" si="294"/>
        <v>$ / tonne</v>
      </c>
      <c r="H297" s="439">
        <f t="shared" si="294"/>
        <v>0</v>
      </c>
      <c r="I297" s="439">
        <f t="shared" si="294"/>
        <v>0</v>
      </c>
      <c r="J297" s="439">
        <f t="shared" si="294"/>
        <v>0</v>
      </c>
      <c r="K297" s="439">
        <f t="shared" si="294"/>
        <v>31172.303428077401</v>
      </c>
      <c r="L297" s="439">
        <f t="shared" si="294"/>
        <v>54341.499809881199</v>
      </c>
      <c r="M297" s="439">
        <f t="shared" si="294"/>
        <v>70839.254468594096</v>
      </c>
      <c r="N297" s="439">
        <f t="shared" si="294"/>
        <v>32088.124664743598</v>
      </c>
      <c r="O297" s="439">
        <f t="shared" si="294"/>
        <v>39368.276123773197</v>
      </c>
      <c r="P297" s="439">
        <f t="shared" ref="P297:AS297" si="295" xml:space="preserve"> P$252</f>
        <v>35344.638635317999</v>
      </c>
      <c r="Q297" s="439">
        <f t="shared" si="295"/>
        <v>28930.686530122199</v>
      </c>
      <c r="R297" s="439">
        <f t="shared" si="295"/>
        <v>27090.822506313099</v>
      </c>
      <c r="S297" s="439">
        <f t="shared" si="295"/>
        <v>30780.7319565531</v>
      </c>
      <c r="T297" s="439">
        <f t="shared" si="295"/>
        <v>28451.660698559601</v>
      </c>
      <c r="U297" s="439">
        <f t="shared" si="295"/>
        <v>25463.3685425685</v>
      </c>
      <c r="V297" s="439">
        <f t="shared" si="295"/>
        <v>55832.1709807429</v>
      </c>
      <c r="W297" s="439">
        <f t="shared" si="295"/>
        <v>72911.236898013303</v>
      </c>
      <c r="X297" s="439">
        <f t="shared" si="295"/>
        <v>33177.6323053909</v>
      </c>
      <c r="Y297" s="439">
        <f t="shared" si="295"/>
        <v>31444.926902256499</v>
      </c>
      <c r="Z297" s="439">
        <f t="shared" si="295"/>
        <v>51235.518379838803</v>
      </c>
      <c r="AA297" s="439">
        <f t="shared" si="295"/>
        <v>63764.719304065497</v>
      </c>
      <c r="AB297" s="439">
        <f t="shared" si="295"/>
        <v>34275.041504525099</v>
      </c>
      <c r="AC297" s="439">
        <f t="shared" si="295"/>
        <v>26326.827560543301</v>
      </c>
      <c r="AD297" s="439">
        <f t="shared" si="295"/>
        <v>40000</v>
      </c>
      <c r="AE297" s="439">
        <f t="shared" si="295"/>
        <v>40000</v>
      </c>
      <c r="AF297" s="439">
        <f t="shared" si="295"/>
        <v>40000</v>
      </c>
      <c r="AG297" s="439">
        <f t="shared" si="295"/>
        <v>40000</v>
      </c>
      <c r="AH297" s="439">
        <f t="shared" si="295"/>
        <v>40000</v>
      </c>
      <c r="AI297" s="439">
        <f t="shared" si="295"/>
        <v>40869.962046162531</v>
      </c>
      <c r="AJ297" s="439">
        <f t="shared" si="295"/>
        <v>41687.361287085783</v>
      </c>
      <c r="AK297" s="439">
        <f t="shared" si="295"/>
        <v>42521.108512827494</v>
      </c>
      <c r="AL297" s="439">
        <f t="shared" si="295"/>
        <v>43371.530683084049</v>
      </c>
      <c r="AM297" s="439">
        <f t="shared" si="295"/>
        <v>44238.961296745721</v>
      </c>
      <c r="AN297" s="439">
        <f t="shared" si="295"/>
        <v>45123.740522680637</v>
      </c>
      <c r="AO297" s="439">
        <f t="shared" si="295"/>
        <v>46026.215333134256</v>
      </c>
      <c r="AP297" s="439">
        <f t="shared" si="295"/>
        <v>46946.739639796942</v>
      </c>
      <c r="AQ297" s="439">
        <f t="shared" si="295"/>
        <v>47885.674432592888</v>
      </c>
      <c r="AR297" s="439">
        <f t="shared" si="295"/>
        <v>48843.38792124475</v>
      </c>
      <c r="AS297" s="439">
        <f t="shared" si="295"/>
        <v>49820.255679669637</v>
      </c>
    </row>
    <row r="298" spans="1:45" ht="15" customHeight="1" x14ac:dyDescent="0.3">
      <c r="A298" s="530"/>
      <c r="B298" s="658"/>
      <c r="C298" s="532"/>
      <c r="D298" s="257"/>
      <c r="E298" s="257" t="str">
        <f xml:space="preserve"> E$295</f>
        <v>Cobalt realized price: SOM_Contract</v>
      </c>
      <c r="F298" s="669"/>
      <c r="G298" s="662" t="s">
        <v>631</v>
      </c>
      <c r="H298" s="257"/>
      <c r="I298" s="257"/>
      <c r="J298" s="257"/>
      <c r="K298" s="632">
        <f t="shared" ref="K298:O298" si="296">IFERROR( K295 / K297, 0)</f>
        <v>0.63530553855285787</v>
      </c>
      <c r="L298" s="632">
        <f t="shared" si="296"/>
        <v>0.66073998436600512</v>
      </c>
      <c r="M298" s="632">
        <f t="shared" si="296"/>
        <v>0.66870948413815834</v>
      </c>
      <c r="N298" s="632">
        <f t="shared" si="296"/>
        <v>0.63700812551379682</v>
      </c>
      <c r="O298" s="632">
        <f t="shared" si="296"/>
        <v>0.64772483615329224</v>
      </c>
      <c r="P298" s="632">
        <f>IFERROR( P295 / P297, 0)</f>
        <v>0.64234757998757142</v>
      </c>
      <c r="Q298" s="632">
        <f t="shared" ref="Q298:AS298" si="297">IFERROR( Q295 / Q297, 0)</f>
        <v>0.63068337209721204</v>
      </c>
      <c r="R298" s="632">
        <f t="shared" si="297"/>
        <v>0.62631804670989533</v>
      </c>
      <c r="S298" s="632">
        <f t="shared" si="297"/>
        <v>0.63454665519411191</v>
      </c>
      <c r="T298" s="632">
        <f t="shared" si="297"/>
        <v>0.62960117990261966</v>
      </c>
      <c r="U298" s="632">
        <f t="shared" si="297"/>
        <v>0.62193089664471835</v>
      </c>
      <c r="V298" s="632">
        <f t="shared" si="297"/>
        <v>0.66165362948988227</v>
      </c>
      <c r="W298" s="632">
        <f t="shared" si="297"/>
        <v>0.66945546802134237</v>
      </c>
      <c r="X298" s="632">
        <f t="shared" si="297"/>
        <v>0.63891118506492373</v>
      </c>
      <c r="Y298" s="632">
        <f t="shared" si="297"/>
        <v>0.63582273506536846</v>
      </c>
      <c r="Z298" s="632">
        <f t="shared" si="297"/>
        <v>0.65866551071069857</v>
      </c>
      <c r="AA298" s="632">
        <f t="shared" si="297"/>
        <v>0.66579705545379375</v>
      </c>
      <c r="AB298" s="632">
        <f t="shared" si="297"/>
        <v>0.64070574117369472</v>
      </c>
      <c r="AC298" s="632">
        <f t="shared" si="297"/>
        <v>0.62432608222952601</v>
      </c>
      <c r="AD298" s="632">
        <f t="shared" si="297"/>
        <v>0.64847082567327852</v>
      </c>
      <c r="AE298" s="632">
        <f t="shared" si="297"/>
        <v>0.64847082567327852</v>
      </c>
      <c r="AF298" s="632">
        <f t="shared" si="297"/>
        <v>0.64847082567327852</v>
      </c>
      <c r="AG298" s="632">
        <f t="shared" si="297"/>
        <v>0.64847082567327852</v>
      </c>
      <c r="AH298" s="632">
        <f t="shared" si="297"/>
        <v>0.64847082567327852</v>
      </c>
      <c r="AI298" s="632">
        <f t="shared" si="297"/>
        <v>0.64946039882668627</v>
      </c>
      <c r="AJ298" s="632">
        <f t="shared" si="297"/>
        <v>0.6503525478693003</v>
      </c>
      <c r="AK298" s="632">
        <f t="shared" si="297"/>
        <v>0.65122720379343169</v>
      </c>
      <c r="AL298" s="632">
        <f t="shared" si="297"/>
        <v>0.65208470960140363</v>
      </c>
      <c r="AM298" s="632">
        <f t="shared" si="297"/>
        <v>0.65292540157000345</v>
      </c>
      <c r="AN298" s="632">
        <f t="shared" si="297"/>
        <v>0.65374960938235638</v>
      </c>
      <c r="AO298" s="632">
        <f t="shared" si="297"/>
        <v>0.65455765625721218</v>
      </c>
      <c r="AP298" s="632">
        <f t="shared" si="297"/>
        <v>0.6553498590756982</v>
      </c>
      <c r="AQ298" s="632">
        <f t="shared" si="297"/>
        <v>0.6561265285055865</v>
      </c>
      <c r="AR298" s="632">
        <f t="shared" si="297"/>
        <v>0.65688796912312408</v>
      </c>
      <c r="AS298" s="632">
        <f t="shared" si="297"/>
        <v>0.65763447953247445</v>
      </c>
    </row>
    <row r="299" spans="1:45" ht="15" customHeight="1" x14ac:dyDescent="0.3">
      <c r="A299" s="530"/>
      <c r="B299" s="531"/>
      <c r="C299" s="532"/>
      <c r="D299" s="257"/>
      <c r="E299" s="257"/>
      <c r="F299" s="669"/>
      <c r="G299" s="257"/>
      <c r="H299" s="257"/>
      <c r="I299" s="257"/>
      <c r="J299" s="257"/>
      <c r="K299" s="257"/>
      <c r="L299" s="257"/>
      <c r="M299" s="257"/>
      <c r="N299" s="257"/>
      <c r="O299" s="257"/>
      <c r="P299" s="257"/>
      <c r="Q299" s="257"/>
      <c r="R299" s="257"/>
      <c r="S299" s="257"/>
      <c r="T299" s="257"/>
      <c r="U299" s="257"/>
      <c r="V299" s="257"/>
      <c r="W299" s="257"/>
      <c r="X299" s="257"/>
      <c r="Y299" s="257"/>
      <c r="Z299" s="257"/>
      <c r="AA299" s="257"/>
      <c r="AB299" s="257"/>
      <c r="AC299" s="257"/>
      <c r="AD299" s="257"/>
      <c r="AE299" s="257"/>
      <c r="AF299" s="257"/>
      <c r="AG299" s="257"/>
      <c r="AH299" s="257"/>
      <c r="AI299" s="257"/>
      <c r="AJ299" s="257"/>
      <c r="AK299" s="257"/>
      <c r="AL299" s="257"/>
      <c r="AM299" s="257"/>
      <c r="AN299" s="257"/>
      <c r="AO299" s="257"/>
      <c r="AP299" s="257"/>
      <c r="AQ299" s="257"/>
      <c r="AR299" s="257"/>
      <c r="AS299" s="257"/>
    </row>
    <row r="300" spans="1:45" ht="15" customHeight="1" x14ac:dyDescent="0.3">
      <c r="A300" s="129"/>
      <c r="B300" s="129" t="s">
        <v>331</v>
      </c>
      <c r="C300" s="130"/>
      <c r="D300" s="106"/>
      <c r="E300" s="106"/>
      <c r="F300" s="106"/>
      <c r="G300" s="106"/>
      <c r="H300" s="131"/>
      <c r="I300" s="131"/>
      <c r="J300" s="128"/>
      <c r="K300" s="110"/>
      <c r="L300" s="110"/>
      <c r="M300" s="110"/>
      <c r="N300" s="110"/>
      <c r="O300" s="110"/>
      <c r="P300" s="110"/>
      <c r="Q300" s="110"/>
      <c r="R300" s="110"/>
      <c r="S300" s="110"/>
      <c r="T300" s="110"/>
      <c r="U300" s="110"/>
      <c r="V300" s="110"/>
      <c r="W300" s="110"/>
      <c r="X300" s="110"/>
      <c r="Y300" s="110"/>
      <c r="Z300" s="110"/>
      <c r="AA300" s="110"/>
      <c r="AB300" s="110"/>
      <c r="AC300" s="110"/>
      <c r="AD300" s="110"/>
      <c r="AE300" s="110"/>
      <c r="AF300" s="110"/>
      <c r="AG300" s="110"/>
      <c r="AH300" s="110"/>
      <c r="AI300" s="110"/>
      <c r="AJ300" s="110"/>
      <c r="AK300" s="110"/>
      <c r="AL300" s="110"/>
      <c r="AM300" s="110"/>
      <c r="AN300" s="110"/>
      <c r="AO300" s="110"/>
      <c r="AP300" s="110"/>
      <c r="AQ300" s="110"/>
      <c r="AR300" s="110"/>
      <c r="AS300" s="110"/>
    </row>
    <row r="301" spans="1:45" ht="15" customHeight="1" x14ac:dyDescent="0.3">
      <c r="A301" s="266"/>
      <c r="B301" s="267"/>
      <c r="C301" s="268"/>
      <c r="D301" s="269"/>
      <c r="E301" s="269"/>
      <c r="F301" s="269" t="s">
        <v>319</v>
      </c>
      <c r="G301" s="269"/>
      <c r="H301" s="269"/>
      <c r="I301" s="269"/>
      <c r="J301" s="269"/>
      <c r="K301" s="269"/>
      <c r="L301" s="269"/>
      <c r="M301" s="269"/>
      <c r="N301" s="269"/>
      <c r="O301" s="269"/>
      <c r="P301" s="269"/>
      <c r="Q301" s="269"/>
      <c r="R301" s="269"/>
      <c r="S301" s="269"/>
      <c r="T301" s="269"/>
      <c r="U301" s="269"/>
      <c r="V301" s="269"/>
      <c r="W301" s="269"/>
      <c r="X301" s="269"/>
      <c r="Y301" s="269"/>
      <c r="Z301" s="269"/>
      <c r="AA301" s="269"/>
      <c r="AB301" s="269"/>
      <c r="AC301" s="269"/>
      <c r="AD301" s="269"/>
      <c r="AE301" s="269"/>
      <c r="AF301" s="269"/>
      <c r="AG301" s="269"/>
      <c r="AH301" s="269"/>
      <c r="AI301" s="269"/>
      <c r="AJ301" s="269"/>
      <c r="AK301" s="269"/>
      <c r="AL301" s="269"/>
      <c r="AM301" s="269"/>
      <c r="AN301" s="269"/>
      <c r="AO301" s="269"/>
      <c r="AP301" s="269"/>
      <c r="AQ301" s="269"/>
      <c r="AR301" s="269"/>
      <c r="AS301" s="269"/>
    </row>
    <row r="302" spans="1:45" ht="15" customHeight="1" x14ac:dyDescent="0.3">
      <c r="A302" s="129"/>
      <c r="B302" s="129"/>
      <c r="C302" s="130"/>
      <c r="D302" s="106"/>
      <c r="E302" s="691" t="str">
        <f xml:space="preserve"> E$268</f>
        <v>Cobalt realized price: %LME(actual)</v>
      </c>
      <c r="F302" s="691" t="str">
        <f t="shared" ref="F302:O302" si="298" xml:space="preserve"> F$268</f>
        <v>%LME(actual)</v>
      </c>
      <c r="G302" s="691" t="str">
        <f t="shared" si="298"/>
        <v>$ / tonne</v>
      </c>
      <c r="H302" s="691">
        <f t="shared" si="298"/>
        <v>0</v>
      </c>
      <c r="I302" s="691">
        <f t="shared" si="298"/>
        <v>0</v>
      </c>
      <c r="J302" s="691">
        <f t="shared" si="298"/>
        <v>0</v>
      </c>
      <c r="K302" s="40">
        <f t="shared" si="298"/>
        <v>20277.517563486999</v>
      </c>
      <c r="L302" s="40">
        <f t="shared" si="298"/>
        <v>35349.030890947331</v>
      </c>
      <c r="M302" s="40">
        <f t="shared" si="298"/>
        <v>46080.785463464112</v>
      </c>
      <c r="N302" s="40">
        <f t="shared" si="298"/>
        <v>20873.257344294674</v>
      </c>
      <c r="O302" s="40">
        <f t="shared" si="298"/>
        <v>25608.980497250752</v>
      </c>
      <c r="P302" s="40">
        <f t="shared" ref="P302:AS302" si="299" xml:space="preserve"> P$268</f>
        <v>22991.612806425372</v>
      </c>
      <c r="Q302" s="40">
        <f t="shared" si="299"/>
        <v>18819.350504264989</v>
      </c>
      <c r="R302" s="40">
        <f t="shared" si="299"/>
        <v>17622.522841423332</v>
      </c>
      <c r="S302" s="40">
        <f t="shared" si="299"/>
        <v>20022.801148015351</v>
      </c>
      <c r="T302" s="40">
        <f t="shared" si="299"/>
        <v>18507.745212237533</v>
      </c>
      <c r="U302" s="40">
        <f t="shared" si="299"/>
        <v>16563.867474175964</v>
      </c>
      <c r="V302" s="40">
        <f t="shared" si="299"/>
        <v>27778.212</v>
      </c>
      <c r="W302" s="40">
        <f t="shared" si="299"/>
        <v>27778.212</v>
      </c>
      <c r="X302" s="40">
        <f t="shared" si="299"/>
        <v>25905.325710687153</v>
      </c>
      <c r="Y302" s="40">
        <f t="shared" si="299"/>
        <v>27272.799560808089</v>
      </c>
      <c r="Z302" s="40">
        <f t="shared" si="299"/>
        <v>37037.615999999995</v>
      </c>
      <c r="AA302" s="40">
        <f t="shared" si="299"/>
        <v>41667.317999999992</v>
      </c>
      <c r="AB302" s="40">
        <f t="shared" si="299"/>
        <v>22295.842131167126</v>
      </c>
      <c r="AC302" s="40">
        <f t="shared" si="299"/>
        <v>17125.545742281258</v>
      </c>
      <c r="AD302" s="40">
        <f t="shared" si="299"/>
        <v>26019.915544929168</v>
      </c>
      <c r="AE302" s="40">
        <f t="shared" si="299"/>
        <v>26019.915544929168</v>
      </c>
      <c r="AF302" s="40">
        <f t="shared" si="299"/>
        <v>26019.915544929168</v>
      </c>
      <c r="AG302" s="40">
        <f t="shared" si="299"/>
        <v>26019.915544929168</v>
      </c>
      <c r="AH302" s="40">
        <f t="shared" si="299"/>
        <v>26019.915544929168</v>
      </c>
      <c r="AI302" s="40">
        <f t="shared" si="299"/>
        <v>26585.82401914024</v>
      </c>
      <c r="AJ302" s="40">
        <f t="shared" si="299"/>
        <v>27117.540499523046</v>
      </c>
      <c r="AK302" s="40">
        <f t="shared" si="299"/>
        <v>27659.891309513503</v>
      </c>
      <c r="AL302" s="40">
        <f t="shared" si="299"/>
        <v>28213.089135703776</v>
      </c>
      <c r="AM302" s="40">
        <f t="shared" si="299"/>
        <v>28777.350918417847</v>
      </c>
      <c r="AN302" s="40">
        <f t="shared" si="299"/>
        <v>29352.897936786205</v>
      </c>
      <c r="AO302" s="40">
        <f t="shared" si="299"/>
        <v>29939.955895521933</v>
      </c>
      <c r="AP302" s="40">
        <f t="shared" si="299"/>
        <v>30538.755013432372</v>
      </c>
      <c r="AQ302" s="40">
        <f t="shared" si="299"/>
        <v>31149.530113701025</v>
      </c>
      <c r="AR302" s="40">
        <f t="shared" si="299"/>
        <v>31772.520715975046</v>
      </c>
      <c r="AS302" s="40">
        <f t="shared" si="299"/>
        <v>32407.971130294543</v>
      </c>
    </row>
    <row r="303" spans="1:45" ht="15" customHeight="1" x14ac:dyDescent="0.3">
      <c r="A303" s="129"/>
      <c r="B303" s="129"/>
      <c r="C303" s="130"/>
      <c r="D303" s="106"/>
      <c r="E303" s="691" t="str">
        <f xml:space="preserve"> E$275</f>
        <v>Cobalt realized price: %LME(assumed)</v>
      </c>
      <c r="F303" s="691" t="str">
        <f t="shared" ref="F303:O303" si="300" xml:space="preserve"> F$275</f>
        <v>%LME(assumed)</v>
      </c>
      <c r="G303" s="691" t="str">
        <f t="shared" si="300"/>
        <v>$ / tonne</v>
      </c>
      <c r="H303" s="691">
        <f t="shared" si="300"/>
        <v>0</v>
      </c>
      <c r="I303" s="691">
        <f t="shared" si="300"/>
        <v>0</v>
      </c>
      <c r="J303" s="691">
        <f t="shared" si="300"/>
        <v>0</v>
      </c>
      <c r="K303" s="40">
        <f t="shared" si="300"/>
        <v>28055.073085269662</v>
      </c>
      <c r="L303" s="40">
        <f t="shared" si="300"/>
        <v>48907.349828893079</v>
      </c>
      <c r="M303" s="40">
        <f t="shared" si="300"/>
        <v>63755.329021734688</v>
      </c>
      <c r="N303" s="40">
        <f t="shared" si="300"/>
        <v>28879.312198269239</v>
      </c>
      <c r="O303" s="40">
        <f t="shared" si="300"/>
        <v>35431.44851139588</v>
      </c>
      <c r="P303" s="40">
        <f t="shared" ref="P303:AS303" si="301" xml:space="preserve"> P$275</f>
        <v>31810.174771786198</v>
      </c>
      <c r="Q303" s="40">
        <f t="shared" si="301"/>
        <v>26037.61787710998</v>
      </c>
      <c r="R303" s="40">
        <f t="shared" si="301"/>
        <v>24381.740255681791</v>
      </c>
      <c r="S303" s="40">
        <f t="shared" si="301"/>
        <v>27702.65876089779</v>
      </c>
      <c r="T303" s="40">
        <f t="shared" si="301"/>
        <v>25606.49462870364</v>
      </c>
      <c r="U303" s="40">
        <f t="shared" si="301"/>
        <v>22917.03168831165</v>
      </c>
      <c r="V303" s="40">
        <f t="shared" si="301"/>
        <v>50248.953882668611</v>
      </c>
      <c r="W303" s="40">
        <f t="shared" si="301"/>
        <v>65620.113208211973</v>
      </c>
      <c r="X303" s="40">
        <f t="shared" si="301"/>
        <v>29859.869074851809</v>
      </c>
      <c r="Y303" s="40">
        <f t="shared" si="301"/>
        <v>28300.43421203085</v>
      </c>
      <c r="Z303" s="40">
        <f t="shared" si="301"/>
        <v>46111.966541854927</v>
      </c>
      <c r="AA303" s="40">
        <f t="shared" si="301"/>
        <v>57388.247373658945</v>
      </c>
      <c r="AB303" s="40">
        <f t="shared" si="301"/>
        <v>30847.537354072589</v>
      </c>
      <c r="AC303" s="40">
        <f t="shared" si="301"/>
        <v>23694.144804488973</v>
      </c>
      <c r="AD303" s="40">
        <f t="shared" si="301"/>
        <v>36000</v>
      </c>
      <c r="AE303" s="40">
        <f t="shared" si="301"/>
        <v>36000</v>
      </c>
      <c r="AF303" s="40">
        <f t="shared" si="301"/>
        <v>36000</v>
      </c>
      <c r="AG303" s="40">
        <f t="shared" si="301"/>
        <v>36000</v>
      </c>
      <c r="AH303" s="40">
        <f t="shared" si="301"/>
        <v>36000</v>
      </c>
      <c r="AI303" s="40">
        <f t="shared" si="301"/>
        <v>36782.965841546276</v>
      </c>
      <c r="AJ303" s="40">
        <f t="shared" si="301"/>
        <v>37518.625158377203</v>
      </c>
      <c r="AK303" s="40">
        <f t="shared" si="301"/>
        <v>38268.997661544745</v>
      </c>
      <c r="AL303" s="40">
        <f t="shared" si="301"/>
        <v>39034.377614775643</v>
      </c>
      <c r="AM303" s="40">
        <f t="shared" si="301"/>
        <v>39815.065167071152</v>
      </c>
      <c r="AN303" s="40">
        <f t="shared" si="301"/>
        <v>40611.366470412577</v>
      </c>
      <c r="AO303" s="40">
        <f t="shared" si="301"/>
        <v>41423.593799820832</v>
      </c>
      <c r="AP303" s="40">
        <f t="shared" si="301"/>
        <v>42252.065675817248</v>
      </c>
      <c r="AQ303" s="40">
        <f t="shared" si="301"/>
        <v>43097.106989333603</v>
      </c>
      <c r="AR303" s="40">
        <f t="shared" si="301"/>
        <v>43959.049129120278</v>
      </c>
      <c r="AS303" s="40">
        <f t="shared" si="301"/>
        <v>44838.230111702673</v>
      </c>
    </row>
    <row r="304" spans="1:45" ht="15" customHeight="1" x14ac:dyDescent="0.3">
      <c r="E304" s="40" t="str">
        <f t="shared" ref="E304:O304" si="302" xml:space="preserve"> E$295</f>
        <v>Cobalt realized price: SOM_Contract</v>
      </c>
      <c r="F304" s="40" t="str">
        <f t="shared" si="302"/>
        <v>SOM_Contract</v>
      </c>
      <c r="G304" s="40" t="str">
        <f t="shared" si="302"/>
        <v>$ / tonne</v>
      </c>
      <c r="H304" s="40">
        <f t="shared" si="302"/>
        <v>0</v>
      </c>
      <c r="I304" s="40">
        <f t="shared" si="302"/>
        <v>0</v>
      </c>
      <c r="J304" s="40">
        <f t="shared" si="302"/>
        <v>0</v>
      </c>
      <c r="K304" s="40">
        <f t="shared" si="302"/>
        <v>19803.93701730781</v>
      </c>
      <c r="L304" s="40">
        <f t="shared" si="302"/>
        <v>35905.601734806172</v>
      </c>
      <c r="M304" s="40">
        <f t="shared" si="302"/>
        <v>47370.881312425285</v>
      </c>
      <c r="N304" s="40">
        <f t="shared" si="302"/>
        <v>20440.396143941351</v>
      </c>
      <c r="O304" s="40">
        <f t="shared" si="302"/>
        <v>25499.81020190856</v>
      </c>
      <c r="P304" s="40">
        <f t="shared" ref="P304:AS304" si="303" xml:space="preserve"> P$295</f>
        <v>22703.543092931734</v>
      </c>
      <c r="Q304" s="40">
        <f t="shared" si="303"/>
        <v>18246.10293790486</v>
      </c>
      <c r="R304" s="40">
        <f t="shared" si="303"/>
        <v>16967.47103591849</v>
      </c>
      <c r="S304" s="40">
        <f t="shared" si="303"/>
        <v>19531.810507457281</v>
      </c>
      <c r="T304" s="40">
        <f t="shared" si="303"/>
        <v>17913.199146002116</v>
      </c>
      <c r="U304" s="40">
        <f t="shared" si="303"/>
        <v>15836.455629274542</v>
      </c>
      <c r="V304" s="40">
        <f t="shared" si="303"/>
        <v>36941.558571708221</v>
      </c>
      <c r="W304" s="40">
        <f t="shared" si="303"/>
        <v>48810.826221574462</v>
      </c>
      <c r="X304" s="40">
        <f t="shared" si="303"/>
        <v>21197.560373885597</v>
      </c>
      <c r="Y304" s="40">
        <f t="shared" si="303"/>
        <v>19993.399426923312</v>
      </c>
      <c r="Z304" s="40">
        <f t="shared" si="303"/>
        <v>33747.068880183906</v>
      </c>
      <c r="AA304" s="40">
        <f t="shared" si="303"/>
        <v>42454.362354484489</v>
      </c>
      <c r="AB304" s="40">
        <f t="shared" si="303"/>
        <v>21960.215870915901</v>
      </c>
      <c r="AC304" s="40">
        <f t="shared" si="303"/>
        <v>16436.525108406309</v>
      </c>
      <c r="AD304" s="40">
        <f t="shared" si="303"/>
        <v>25938.833026931141</v>
      </c>
      <c r="AE304" s="40">
        <f t="shared" si="303"/>
        <v>25938.833026931141</v>
      </c>
      <c r="AF304" s="40">
        <f t="shared" si="303"/>
        <v>25938.833026931141</v>
      </c>
      <c r="AG304" s="40">
        <f t="shared" si="303"/>
        <v>25938.833026931141</v>
      </c>
      <c r="AH304" s="40">
        <f t="shared" si="303"/>
        <v>25938.833026931141</v>
      </c>
      <c r="AI304" s="40">
        <f t="shared" si="303"/>
        <v>26543.42185053225</v>
      </c>
      <c r="AJ304" s="40">
        <f t="shared" si="303"/>
        <v>27111.481627004272</v>
      </c>
      <c r="AK304" s="40">
        <f t="shared" si="303"/>
        <v>27690.902599005734</v>
      </c>
      <c r="AL304" s="40">
        <f t="shared" si="303"/>
        <v>28281.911990447228</v>
      </c>
      <c r="AM304" s="40">
        <f t="shared" si="303"/>
        <v>28884.741569717542</v>
      </c>
      <c r="AN304" s="40">
        <f t="shared" si="303"/>
        <v>29499.627740573273</v>
      </c>
      <c r="AO304" s="40">
        <f t="shared" si="303"/>
        <v>30126.811634846119</v>
      </c>
      <c r="AP304" s="40">
        <f t="shared" si="303"/>
        <v>30766.539207004422</v>
      </c>
      <c r="AQ304" s="40">
        <f t="shared" si="303"/>
        <v>31419.061330605895</v>
      </c>
      <c r="AR304" s="40">
        <f t="shared" si="303"/>
        <v>32084.633896679392</v>
      </c>
      <c r="AS304" s="40">
        <f t="shared" si="303"/>
        <v>32763.517914074346</v>
      </c>
    </row>
    <row r="305" spans="1:45" ht="15" customHeight="1" x14ac:dyDescent="0.3">
      <c r="A305" s="266"/>
      <c r="B305" s="267"/>
      <c r="C305" s="268"/>
      <c r="D305" s="269"/>
      <c r="E305" s="269"/>
      <c r="F305" s="269" t="s">
        <v>320</v>
      </c>
      <c r="G305" s="269"/>
      <c r="H305" s="269"/>
      <c r="I305" s="269"/>
      <c r="J305" s="269"/>
      <c r="K305" s="269"/>
      <c r="L305" s="269"/>
      <c r="M305" s="269"/>
      <c r="N305" s="269"/>
      <c r="O305" s="269"/>
      <c r="P305" s="269"/>
      <c r="Q305" s="269"/>
      <c r="R305" s="269"/>
      <c r="S305" s="269"/>
      <c r="T305" s="269"/>
      <c r="U305" s="269"/>
      <c r="V305" s="269"/>
      <c r="W305" s="269"/>
      <c r="X305" s="269"/>
      <c r="Y305" s="269"/>
      <c r="Z305" s="269"/>
      <c r="AA305" s="269"/>
      <c r="AB305" s="269"/>
      <c r="AC305" s="269"/>
      <c r="AD305" s="269"/>
      <c r="AE305" s="269"/>
      <c r="AF305" s="269"/>
      <c r="AG305" s="269"/>
      <c r="AH305" s="269"/>
      <c r="AI305" s="269"/>
      <c r="AJ305" s="269"/>
      <c r="AK305" s="269"/>
      <c r="AL305" s="269"/>
      <c r="AM305" s="269"/>
      <c r="AN305" s="269"/>
      <c r="AO305" s="269"/>
      <c r="AP305" s="269"/>
      <c r="AQ305" s="269"/>
      <c r="AR305" s="269"/>
      <c r="AS305" s="269"/>
    </row>
    <row r="306" spans="1:45" ht="15" customHeight="1" x14ac:dyDescent="0.3">
      <c r="A306" s="530"/>
      <c r="B306" s="531"/>
      <c r="C306" s="532"/>
      <c r="D306" s="257"/>
      <c r="E306" s="257"/>
      <c r="F306" s="669"/>
      <c r="G306" s="257"/>
      <c r="H306" s="257"/>
      <c r="I306" s="257"/>
      <c r="J306" s="257"/>
      <c r="K306" s="257"/>
      <c r="L306" s="257"/>
      <c r="M306" s="257"/>
      <c r="N306" s="257"/>
      <c r="O306" s="257"/>
      <c r="P306" s="257"/>
      <c r="Q306" s="257"/>
      <c r="R306" s="257"/>
      <c r="S306" s="257"/>
      <c r="T306" s="257"/>
      <c r="U306" s="257"/>
      <c r="V306" s="257"/>
      <c r="W306" s="257"/>
      <c r="X306" s="257"/>
      <c r="Y306" s="257"/>
      <c r="Z306" s="257"/>
      <c r="AA306" s="257"/>
      <c r="AB306" s="257"/>
      <c r="AC306" s="257"/>
      <c r="AD306" s="257"/>
      <c r="AE306" s="257"/>
      <c r="AF306" s="257"/>
      <c r="AG306" s="257"/>
      <c r="AH306" s="257"/>
      <c r="AI306" s="257"/>
      <c r="AJ306" s="257"/>
      <c r="AK306" s="257"/>
      <c r="AL306" s="257"/>
      <c r="AM306" s="257"/>
      <c r="AN306" s="257"/>
      <c r="AO306" s="257"/>
      <c r="AP306" s="257"/>
      <c r="AQ306" s="257"/>
      <c r="AR306" s="257"/>
      <c r="AS306" s="257"/>
    </row>
    <row r="307" spans="1:45" ht="15" customHeight="1" x14ac:dyDescent="0.3">
      <c r="A307" s="129"/>
      <c r="B307" s="129"/>
      <c r="C307" s="130"/>
      <c r="D307" s="106"/>
      <c r="E307" s="517" t="str">
        <f xml:space="preserve"> Inputs_Con!E$44</f>
        <v>Co realized price method</v>
      </c>
      <c r="F307" s="517" t="str">
        <f xml:space="preserve"> Inputs_Con!F$44</f>
        <v>SOM_Contract</v>
      </c>
      <c r="G307" s="517" t="str">
        <f xml:space="preserve"> Inputs_Con!G$44</f>
        <v>selected</v>
      </c>
      <c r="H307" s="131"/>
      <c r="I307" s="131"/>
      <c r="J307" s="128"/>
      <c r="K307" s="110"/>
      <c r="L307" s="110"/>
      <c r="M307" s="110"/>
      <c r="N307" s="110"/>
      <c r="O307" s="110"/>
      <c r="P307" s="110"/>
      <c r="Q307" s="110"/>
      <c r="R307" s="110"/>
      <c r="S307" s="110"/>
      <c r="T307" s="110"/>
      <c r="U307" s="110"/>
      <c r="V307" s="110"/>
      <c r="W307" s="110"/>
      <c r="X307" s="110"/>
      <c r="Y307" s="110"/>
      <c r="Z307" s="110"/>
      <c r="AA307" s="110"/>
      <c r="AB307" s="110"/>
      <c r="AC307" s="110"/>
      <c r="AD307" s="110"/>
      <c r="AE307" s="110"/>
      <c r="AF307" s="110"/>
      <c r="AG307" s="110"/>
      <c r="AH307" s="110"/>
      <c r="AI307" s="110"/>
      <c r="AJ307" s="110"/>
      <c r="AK307" s="110"/>
      <c r="AL307" s="110"/>
      <c r="AM307" s="110"/>
      <c r="AN307" s="110"/>
      <c r="AO307" s="110"/>
      <c r="AP307" s="110"/>
      <c r="AQ307" s="110"/>
      <c r="AR307" s="110"/>
      <c r="AS307" s="110"/>
    </row>
    <row r="308" spans="1:45" ht="15" customHeight="1" x14ac:dyDescent="0.3">
      <c r="A308" s="129"/>
      <c r="B308" s="129"/>
      <c r="C308" s="130"/>
      <c r="D308" s="106"/>
      <c r="E308" s="106"/>
      <c r="F308" s="106"/>
      <c r="G308" s="106"/>
      <c r="H308" s="131"/>
      <c r="I308" s="131"/>
      <c r="J308" s="128"/>
      <c r="K308" s="110"/>
      <c r="L308" s="110"/>
      <c r="M308" s="110"/>
      <c r="N308" s="110"/>
      <c r="O308" s="110"/>
      <c r="P308" s="110"/>
      <c r="Q308" s="110"/>
      <c r="R308" s="110"/>
      <c r="S308" s="110"/>
      <c r="T308" s="110"/>
      <c r="U308" s="110"/>
      <c r="V308" s="110"/>
      <c r="W308" s="110"/>
      <c r="X308" s="110"/>
      <c r="Y308" s="110"/>
      <c r="Z308" s="110"/>
      <c r="AA308" s="110"/>
      <c r="AB308" s="110"/>
      <c r="AC308" s="110"/>
      <c r="AD308" s="110"/>
      <c r="AE308" s="110"/>
      <c r="AF308" s="110"/>
      <c r="AG308" s="110"/>
      <c r="AH308" s="110"/>
      <c r="AI308" s="110"/>
      <c r="AJ308" s="110"/>
      <c r="AK308" s="110"/>
      <c r="AL308" s="110"/>
      <c r="AM308" s="110"/>
      <c r="AN308" s="110"/>
      <c r="AO308" s="110"/>
      <c r="AP308" s="110"/>
      <c r="AQ308" s="110"/>
      <c r="AR308" s="110"/>
      <c r="AS308" s="110"/>
    </row>
    <row r="309" spans="1:45" ht="15" customHeight="1" x14ac:dyDescent="0.3">
      <c r="A309" s="129"/>
      <c r="B309" s="129"/>
      <c r="C309" s="130"/>
      <c r="D309" s="106"/>
      <c r="E309" s="110" t="str">
        <f>INDEX(E302:E304, MATCH($F307, $F302:$F304, 0))</f>
        <v>Cobalt realized price: SOM_Contract</v>
      </c>
      <c r="F309" s="110" t="str">
        <f t="shared" ref="F309:J309" si="304">INDEX(F302:F304, MATCH($F307, $F302:$F304, 0))</f>
        <v>SOM_Contract</v>
      </c>
      <c r="G309" s="110" t="str">
        <f t="shared" si="304"/>
        <v>$ / tonne</v>
      </c>
      <c r="H309" s="110">
        <f t="shared" si="304"/>
        <v>0</v>
      </c>
      <c r="I309" s="110">
        <f t="shared" si="304"/>
        <v>0</v>
      </c>
      <c r="J309" s="110">
        <f t="shared" si="304"/>
        <v>0</v>
      </c>
      <c r="K309" s="110">
        <f t="shared" ref="K309:AS309" si="305">INDEX(K301:K305, MATCH($F307, $F301:$F305, 0))</f>
        <v>19803.93701730781</v>
      </c>
      <c r="L309" s="110">
        <f t="shared" si="305"/>
        <v>35905.601734806172</v>
      </c>
      <c r="M309" s="110">
        <f t="shared" si="305"/>
        <v>47370.881312425285</v>
      </c>
      <c r="N309" s="110">
        <f t="shared" si="305"/>
        <v>20440.396143941351</v>
      </c>
      <c r="O309" s="110">
        <f t="shared" si="305"/>
        <v>25499.81020190856</v>
      </c>
      <c r="P309" s="110">
        <f t="shared" si="305"/>
        <v>22703.543092931734</v>
      </c>
      <c r="Q309" s="110">
        <f t="shared" si="305"/>
        <v>18246.10293790486</v>
      </c>
      <c r="R309" s="110">
        <f t="shared" si="305"/>
        <v>16967.47103591849</v>
      </c>
      <c r="S309" s="110">
        <f t="shared" si="305"/>
        <v>19531.810507457281</v>
      </c>
      <c r="T309" s="110">
        <f t="shared" si="305"/>
        <v>17913.199146002116</v>
      </c>
      <c r="U309" s="110">
        <f t="shared" si="305"/>
        <v>15836.455629274542</v>
      </c>
      <c r="V309" s="110">
        <f t="shared" si="305"/>
        <v>36941.558571708221</v>
      </c>
      <c r="W309" s="110">
        <f t="shared" si="305"/>
        <v>48810.826221574462</v>
      </c>
      <c r="X309" s="110">
        <f t="shared" si="305"/>
        <v>21197.560373885597</v>
      </c>
      <c r="Y309" s="110">
        <f t="shared" si="305"/>
        <v>19993.399426923312</v>
      </c>
      <c r="Z309" s="110">
        <f t="shared" si="305"/>
        <v>33747.068880183906</v>
      </c>
      <c r="AA309" s="110">
        <f t="shared" si="305"/>
        <v>42454.362354484489</v>
      </c>
      <c r="AB309" s="110">
        <f t="shared" si="305"/>
        <v>21960.215870915901</v>
      </c>
      <c r="AC309" s="110">
        <f t="shared" si="305"/>
        <v>16436.525108406309</v>
      </c>
      <c r="AD309" s="110">
        <f t="shared" si="305"/>
        <v>25938.833026931141</v>
      </c>
      <c r="AE309" s="110">
        <f t="shared" si="305"/>
        <v>25938.833026931141</v>
      </c>
      <c r="AF309" s="110">
        <f t="shared" si="305"/>
        <v>25938.833026931141</v>
      </c>
      <c r="AG309" s="110">
        <f t="shared" si="305"/>
        <v>25938.833026931141</v>
      </c>
      <c r="AH309" s="110">
        <f t="shared" si="305"/>
        <v>25938.833026931141</v>
      </c>
      <c r="AI309" s="110">
        <f t="shared" si="305"/>
        <v>26543.42185053225</v>
      </c>
      <c r="AJ309" s="110">
        <f t="shared" si="305"/>
        <v>27111.481627004272</v>
      </c>
      <c r="AK309" s="110">
        <f t="shared" si="305"/>
        <v>27690.902599005734</v>
      </c>
      <c r="AL309" s="110">
        <f t="shared" si="305"/>
        <v>28281.911990447228</v>
      </c>
      <c r="AM309" s="110">
        <f t="shared" si="305"/>
        <v>28884.741569717542</v>
      </c>
      <c r="AN309" s="110">
        <f t="shared" si="305"/>
        <v>29499.627740573273</v>
      </c>
      <c r="AO309" s="110">
        <f t="shared" si="305"/>
        <v>30126.811634846119</v>
      </c>
      <c r="AP309" s="110">
        <f t="shared" si="305"/>
        <v>30766.539207004422</v>
      </c>
      <c r="AQ309" s="110">
        <f t="shared" si="305"/>
        <v>31419.061330605895</v>
      </c>
      <c r="AR309" s="110">
        <f t="shared" si="305"/>
        <v>32084.633896679392</v>
      </c>
      <c r="AS309" s="110">
        <f t="shared" si="305"/>
        <v>32763.517914074346</v>
      </c>
    </row>
    <row r="310" spans="1:45" ht="15" customHeight="1" x14ac:dyDescent="0.3">
      <c r="I310" s="116"/>
      <c r="AL310" s="42"/>
      <c r="AM310" s="42"/>
      <c r="AN310" s="42"/>
      <c r="AO310" s="42"/>
      <c r="AP310" s="42"/>
      <c r="AQ310" s="42"/>
      <c r="AR310" s="42"/>
      <c r="AS310" s="42"/>
    </row>
    <row r="311" spans="1:45" ht="15" customHeight="1" x14ac:dyDescent="0.3">
      <c r="E311" s="148" t="str">
        <f xml:space="preserve"> Inputs_Con!E$13</f>
        <v>Production case: FS or original</v>
      </c>
      <c r="F311" s="148" t="str">
        <f xml:space="preserve"> Inputs_Con!F$13</f>
        <v>FS</v>
      </c>
      <c r="G311" s="148" t="str">
        <f xml:space="preserve"> Inputs_Con!G$13</f>
        <v>selected</v>
      </c>
      <c r="I311" s="116"/>
      <c r="AL311" s="42"/>
      <c r="AM311" s="42"/>
      <c r="AN311" s="42"/>
      <c r="AO311" s="42"/>
      <c r="AP311" s="42"/>
      <c r="AQ311" s="42"/>
      <c r="AR311" s="42"/>
      <c r="AS311" s="42"/>
    </row>
    <row r="312" spans="1:45" ht="15" customHeight="1" x14ac:dyDescent="0.3">
      <c r="A312" s="530"/>
      <c r="B312" s="531"/>
      <c r="C312" s="532"/>
      <c r="D312" s="257"/>
      <c r="E312" s="257"/>
      <c r="F312" s="669"/>
      <c r="G312" s="257"/>
      <c r="H312" s="257"/>
      <c r="I312" s="257"/>
      <c r="J312" s="257"/>
      <c r="K312" s="257"/>
      <c r="L312" s="257"/>
      <c r="M312" s="257"/>
      <c r="N312" s="257"/>
      <c r="O312" s="257"/>
      <c r="P312" s="257"/>
      <c r="Q312" s="257"/>
      <c r="R312" s="257"/>
      <c r="S312" s="257"/>
      <c r="T312" s="257"/>
      <c r="U312" s="257"/>
      <c r="V312" s="257"/>
      <c r="W312" s="257"/>
      <c r="X312" s="257"/>
      <c r="Y312" s="257"/>
      <c r="Z312" s="257"/>
      <c r="AA312" s="257"/>
      <c r="AB312" s="257"/>
      <c r="AC312" s="257"/>
      <c r="AD312" s="257"/>
      <c r="AE312" s="257"/>
      <c r="AF312" s="257"/>
      <c r="AG312" s="257"/>
      <c r="AH312" s="257"/>
      <c r="AI312" s="257"/>
      <c r="AJ312" s="257"/>
      <c r="AK312" s="257"/>
      <c r="AL312" s="257"/>
      <c r="AM312" s="257"/>
      <c r="AN312" s="257"/>
      <c r="AO312" s="257"/>
      <c r="AP312" s="257"/>
      <c r="AQ312" s="257"/>
      <c r="AR312" s="257"/>
      <c r="AS312" s="257"/>
    </row>
    <row r="313" spans="1:45" ht="15" customHeight="1" x14ac:dyDescent="0.3">
      <c r="A313" s="129"/>
      <c r="B313" s="129" t="s">
        <v>550</v>
      </c>
      <c r="D313" s="106"/>
      <c r="E313" s="106"/>
      <c r="F313" s="106"/>
      <c r="G313" s="257"/>
      <c r="H313" s="131"/>
      <c r="I313" s="131"/>
      <c r="J313" s="128"/>
      <c r="K313" s="110"/>
      <c r="L313" s="110"/>
      <c r="M313" s="110"/>
      <c r="N313" s="110"/>
      <c r="O313" s="110"/>
      <c r="P313" s="110"/>
      <c r="Q313" s="110"/>
      <c r="R313" s="110"/>
      <c r="S313" s="110"/>
      <c r="T313" s="110"/>
      <c r="U313" s="110"/>
      <c r="V313" s="110"/>
      <c r="W313" s="110"/>
      <c r="X313" s="110"/>
      <c r="Y313" s="110"/>
      <c r="Z313" s="110"/>
      <c r="AA313" s="110"/>
      <c r="AB313" s="110"/>
      <c r="AC313" s="110"/>
      <c r="AD313" s="110"/>
      <c r="AE313" s="110"/>
      <c r="AF313" s="110"/>
      <c r="AG313" s="110"/>
      <c r="AH313" s="110"/>
      <c r="AI313" s="110"/>
      <c r="AJ313" s="110"/>
      <c r="AK313" s="110"/>
      <c r="AL313" s="110"/>
      <c r="AM313" s="110"/>
      <c r="AN313" s="110"/>
      <c r="AO313" s="110"/>
      <c r="AP313" s="110"/>
      <c r="AQ313" s="110"/>
      <c r="AR313" s="110"/>
      <c r="AS313" s="110"/>
    </row>
    <row r="314" spans="1:45" ht="15" customHeight="1" x14ac:dyDescent="0.3">
      <c r="A314" s="129"/>
      <c r="B314" s="129"/>
      <c r="C314" s="130"/>
      <c r="D314" s="106"/>
      <c r="E314" s="256" t="str">
        <f xml:space="preserve"> COMMUS_23FS_Model!E$73</f>
        <v>Cobalt price: FS payable</v>
      </c>
      <c r="F314" s="256">
        <f xml:space="preserve"> COMMUS_23FS_Model!F$73</f>
        <v>0</v>
      </c>
      <c r="G314" s="256" t="str">
        <f xml:space="preserve"> COMMUS_23FS_Model!G$73</f>
        <v>$ /lbCo</v>
      </c>
      <c r="H314" s="256">
        <f xml:space="preserve"> COMMUS_23FS_Model!H$73</f>
        <v>0</v>
      </c>
      <c r="I314" s="256">
        <f xml:space="preserve"> COMMUS_23FS_Model!I$73</f>
        <v>0</v>
      </c>
      <c r="J314" s="256">
        <f xml:space="preserve"> COMMUS_23FS_Model!J$73</f>
        <v>0</v>
      </c>
      <c r="K314" s="256">
        <f xml:space="preserve"> COMMUS_23FS_Model!K$73</f>
        <v>0</v>
      </c>
      <c r="L314" s="256">
        <f xml:space="preserve"> COMMUS_23FS_Model!L$73</f>
        <v>0</v>
      </c>
      <c r="M314" s="256">
        <f xml:space="preserve"> COMMUS_23FS_Model!M$73</f>
        <v>0</v>
      </c>
      <c r="N314" s="256">
        <f xml:space="preserve"> COMMUS_23FS_Model!N$73</f>
        <v>0</v>
      </c>
      <c r="O314" s="256">
        <f xml:space="preserve"> COMMUS_23FS_Model!O$73</f>
        <v>0</v>
      </c>
      <c r="P314" s="256">
        <f xml:space="preserve"> COMMUS_23FS_Model!P$73</f>
        <v>0</v>
      </c>
      <c r="Q314" s="256">
        <f xml:space="preserve"> COMMUS_23FS_Model!Q$73</f>
        <v>0</v>
      </c>
      <c r="R314" s="256">
        <f xml:space="preserve"> COMMUS_23FS_Model!R$73</f>
        <v>0</v>
      </c>
      <c r="S314" s="256">
        <f xml:space="preserve"> COMMUS_23FS_Model!S$73</f>
        <v>0</v>
      </c>
      <c r="T314" s="256">
        <f xml:space="preserve"> COMMUS_23FS_Model!T$73</f>
        <v>0</v>
      </c>
      <c r="U314" s="256">
        <f xml:space="preserve"> COMMUS_23FS_Model!U$73</f>
        <v>0</v>
      </c>
      <c r="V314" s="256">
        <f xml:space="preserve"> COMMUS_23FS_Model!V$73</f>
        <v>12.6</v>
      </c>
      <c r="W314" s="256">
        <f xml:space="preserve"> COMMUS_23FS_Model!W$73</f>
        <v>12.6</v>
      </c>
      <c r="X314" s="256">
        <f xml:space="preserve"> COMMUS_23FS_Model!X$73</f>
        <v>11.2</v>
      </c>
      <c r="Y314" s="256">
        <f xml:space="preserve"> COMMUS_23FS_Model!Y$73</f>
        <v>10.5</v>
      </c>
      <c r="Z314" s="256">
        <f xml:space="preserve"> COMMUS_23FS_Model!Z$73</f>
        <v>16.799999999999997</v>
      </c>
      <c r="AA314" s="256">
        <f xml:space="preserve"> COMMUS_23FS_Model!AA$73</f>
        <v>18.899999999999999</v>
      </c>
      <c r="AB314" s="256">
        <f xml:space="preserve"> COMMUS_23FS_Model!AB$73</f>
        <v>12.6</v>
      </c>
      <c r="AC314" s="256">
        <f xml:space="preserve"> COMMUS_23FS_Model!AC$73</f>
        <v>12.6</v>
      </c>
      <c r="AD314" s="256">
        <f xml:space="preserve"> COMMUS_23FS_Model!AD$73</f>
        <v>12.6</v>
      </c>
      <c r="AE314" s="256">
        <f xml:space="preserve"> COMMUS_23FS_Model!AE$73</f>
        <v>12.6</v>
      </c>
      <c r="AF314" s="256">
        <f xml:space="preserve"> COMMUS_23FS_Model!AF$73</f>
        <v>12.6</v>
      </c>
      <c r="AG314" s="256">
        <f xml:space="preserve"> COMMUS_23FS_Model!AG$73</f>
        <v>12.6</v>
      </c>
      <c r="AH314" s="256">
        <f xml:space="preserve"> COMMUS_23FS_Model!AH$73</f>
        <v>12.6</v>
      </c>
      <c r="AI314" s="256">
        <f xml:space="preserve"> COMMUS_23FS_Model!AI$73</f>
        <v>12.6</v>
      </c>
      <c r="AJ314" s="256">
        <f xml:space="preserve"> COMMUS_23FS_Model!AJ$73</f>
        <v>12.6</v>
      </c>
      <c r="AK314" s="256">
        <f xml:space="preserve"> COMMUS_23FS_Model!AK$73</f>
        <v>12.6</v>
      </c>
      <c r="AL314" s="256">
        <f xml:space="preserve"> COMMUS_23FS_Model!AL$73</f>
        <v>0</v>
      </c>
      <c r="AM314" s="256">
        <f xml:space="preserve"> COMMUS_23FS_Model!AM$73</f>
        <v>0</v>
      </c>
      <c r="AN314" s="256">
        <f xml:space="preserve"> COMMUS_23FS_Model!AN$73</f>
        <v>0</v>
      </c>
      <c r="AO314" s="256">
        <f xml:space="preserve"> COMMUS_23FS_Model!AO$73</f>
        <v>0</v>
      </c>
      <c r="AP314" s="256">
        <f xml:space="preserve"> COMMUS_23FS_Model!AP$73</f>
        <v>0</v>
      </c>
      <c r="AQ314" s="256">
        <f xml:space="preserve"> COMMUS_23FS_Model!AQ$73</f>
        <v>0</v>
      </c>
      <c r="AR314" s="256">
        <f xml:space="preserve"> COMMUS_23FS_Model!AR$73</f>
        <v>0</v>
      </c>
      <c r="AS314" s="256">
        <f xml:space="preserve"> COMMUS_23FS_Model!AS$73</f>
        <v>0</v>
      </c>
    </row>
    <row r="315" spans="1:45" ht="15" customHeight="1" x14ac:dyDescent="0.3">
      <c r="A315" s="129"/>
      <c r="B315" s="129"/>
      <c r="C315" s="130"/>
      <c r="D315" s="106"/>
      <c r="E315" s="145" t="str">
        <f xml:space="preserve"> Inputs_Con!E$150</f>
        <v>Convert  lb / tonnes</v>
      </c>
      <c r="F315" s="145">
        <f xml:space="preserve"> Inputs_Con!F$150</f>
        <v>2204.62</v>
      </c>
      <c r="G315" s="145" t="str">
        <f xml:space="preserve"> Inputs_Con!G$150</f>
        <v>lb / tonne</v>
      </c>
      <c r="H315" s="256"/>
      <c r="I315" s="256"/>
      <c r="J315" s="256"/>
      <c r="K315" s="256"/>
      <c r="L315" s="256"/>
      <c r="M315" s="256"/>
      <c r="N315" s="256"/>
      <c r="O315" s="256"/>
      <c r="P315" s="256"/>
      <c r="Q315" s="256"/>
      <c r="R315" s="256"/>
      <c r="S315" s="256"/>
      <c r="T315" s="256"/>
      <c r="U315" s="256"/>
      <c r="V315" s="256"/>
      <c r="W315" s="256"/>
      <c r="X315" s="256"/>
      <c r="Y315" s="256"/>
      <c r="Z315" s="256"/>
      <c r="AA315" s="256"/>
      <c r="AB315" s="256"/>
      <c r="AC315" s="256"/>
      <c r="AD315" s="256"/>
      <c r="AE315" s="256"/>
      <c r="AF315" s="256"/>
      <c r="AG315" s="256"/>
      <c r="AH315" s="256"/>
      <c r="AI315" s="256"/>
      <c r="AJ315" s="256"/>
      <c r="AK315" s="256"/>
      <c r="AL315" s="256"/>
      <c r="AM315" s="256"/>
      <c r="AN315" s="256"/>
      <c r="AO315" s="256"/>
      <c r="AP315" s="256"/>
      <c r="AQ315" s="256"/>
      <c r="AR315" s="256"/>
      <c r="AS315" s="256"/>
    </row>
    <row r="316" spans="1:45" ht="15" customHeight="1" x14ac:dyDescent="0.3">
      <c r="A316" s="129"/>
      <c r="B316" s="129"/>
      <c r="C316" s="130"/>
      <c r="D316" s="106"/>
      <c r="E316" s="106" t="s">
        <v>550</v>
      </c>
      <c r="F316" s="106"/>
      <c r="G316" s="257" t="s">
        <v>321</v>
      </c>
      <c r="H316" s="131"/>
      <c r="I316" s="131"/>
      <c r="J316" s="128"/>
      <c r="K316" s="110">
        <f t="shared" ref="K316:O316" si="306">K314 * $F315</f>
        <v>0</v>
      </c>
      <c r="L316" s="110">
        <f t="shared" si="306"/>
        <v>0</v>
      </c>
      <c r="M316" s="110">
        <f t="shared" si="306"/>
        <v>0</v>
      </c>
      <c r="N316" s="110">
        <f t="shared" si="306"/>
        <v>0</v>
      </c>
      <c r="O316" s="110">
        <f t="shared" si="306"/>
        <v>0</v>
      </c>
      <c r="P316" s="110">
        <f t="shared" ref="P316:AS316" si="307">P314 * $F315</f>
        <v>0</v>
      </c>
      <c r="Q316" s="110">
        <f t="shared" si="307"/>
        <v>0</v>
      </c>
      <c r="R316" s="110">
        <f t="shared" si="307"/>
        <v>0</v>
      </c>
      <c r="S316" s="110">
        <f t="shared" si="307"/>
        <v>0</v>
      </c>
      <c r="T316" s="110">
        <f t="shared" si="307"/>
        <v>0</v>
      </c>
      <c r="U316" s="110">
        <f t="shared" si="307"/>
        <v>0</v>
      </c>
      <c r="V316" s="110">
        <f>V314 * $F315</f>
        <v>27778.212</v>
      </c>
      <c r="W316" s="110">
        <f t="shared" si="307"/>
        <v>27778.212</v>
      </c>
      <c r="X316" s="110">
        <f t="shared" si="307"/>
        <v>24691.743999999999</v>
      </c>
      <c r="Y316" s="110">
        <f t="shared" si="307"/>
        <v>23148.51</v>
      </c>
      <c r="Z316" s="110">
        <f t="shared" si="307"/>
        <v>37037.615999999995</v>
      </c>
      <c r="AA316" s="110">
        <f>AA314 * $F315</f>
        <v>41667.317999999992</v>
      </c>
      <c r="AB316" s="110">
        <f t="shared" si="307"/>
        <v>27778.212</v>
      </c>
      <c r="AC316" s="110">
        <f t="shared" si="307"/>
        <v>27778.212</v>
      </c>
      <c r="AD316" s="110">
        <f t="shared" si="307"/>
        <v>27778.212</v>
      </c>
      <c r="AE316" s="110">
        <f t="shared" si="307"/>
        <v>27778.212</v>
      </c>
      <c r="AF316" s="110">
        <f t="shared" si="307"/>
        <v>27778.212</v>
      </c>
      <c r="AG316" s="110">
        <f t="shared" si="307"/>
        <v>27778.212</v>
      </c>
      <c r="AH316" s="110">
        <f t="shared" si="307"/>
        <v>27778.212</v>
      </c>
      <c r="AI316" s="110">
        <f t="shared" si="307"/>
        <v>27778.212</v>
      </c>
      <c r="AJ316" s="110">
        <f t="shared" si="307"/>
        <v>27778.212</v>
      </c>
      <c r="AK316" s="110">
        <f t="shared" si="307"/>
        <v>27778.212</v>
      </c>
      <c r="AL316" s="110">
        <f t="shared" si="307"/>
        <v>0</v>
      </c>
      <c r="AM316" s="110">
        <f t="shared" si="307"/>
        <v>0</v>
      </c>
      <c r="AN316" s="110">
        <f t="shared" si="307"/>
        <v>0</v>
      </c>
      <c r="AO316" s="110">
        <f t="shared" si="307"/>
        <v>0</v>
      </c>
      <c r="AP316" s="110">
        <f t="shared" si="307"/>
        <v>0</v>
      </c>
      <c r="AQ316" s="110">
        <f t="shared" si="307"/>
        <v>0</v>
      </c>
      <c r="AR316" s="110">
        <f t="shared" si="307"/>
        <v>0</v>
      </c>
      <c r="AS316" s="110">
        <f t="shared" si="307"/>
        <v>0</v>
      </c>
    </row>
    <row r="317" spans="1:45" ht="15" customHeight="1" x14ac:dyDescent="0.3">
      <c r="A317" s="129"/>
      <c r="B317" s="129"/>
      <c r="C317" s="130"/>
      <c r="D317" s="106"/>
      <c r="E317" s="110"/>
      <c r="F317" s="106"/>
      <c r="G317" s="257"/>
      <c r="H317" s="131"/>
      <c r="I317" s="131"/>
      <c r="J317" s="128"/>
      <c r="K317" s="110"/>
      <c r="L317" s="110"/>
      <c r="M317" s="110"/>
      <c r="N317" s="110"/>
      <c r="O317" s="110"/>
      <c r="P317" s="110"/>
      <c r="Q317" s="110"/>
      <c r="R317" s="110"/>
      <c r="S317" s="110"/>
      <c r="T317" s="110"/>
      <c r="U317" s="110"/>
      <c r="V317" s="110"/>
      <c r="W317" s="110"/>
      <c r="X317" s="110"/>
      <c r="Y317" s="110"/>
      <c r="Z317" s="110"/>
      <c r="AA317" s="110"/>
      <c r="AB317" s="110"/>
      <c r="AC317" s="110"/>
      <c r="AD317" s="110"/>
      <c r="AE317" s="110"/>
      <c r="AF317" s="110"/>
      <c r="AG317" s="110"/>
      <c r="AH317" s="110"/>
      <c r="AI317" s="110"/>
      <c r="AJ317" s="110"/>
      <c r="AK317" s="110"/>
      <c r="AL317" s="110"/>
      <c r="AM317" s="110"/>
      <c r="AN317" s="110"/>
      <c r="AO317" s="110"/>
      <c r="AP317" s="110"/>
      <c r="AQ317" s="110"/>
      <c r="AR317" s="110"/>
      <c r="AS317" s="110"/>
    </row>
    <row r="318" spans="1:45" ht="15" customHeight="1" x14ac:dyDescent="0.3">
      <c r="A318" s="170"/>
      <c r="B318" s="170"/>
      <c r="C318" s="171"/>
      <c r="D318" s="172"/>
      <c r="E318" s="300" t="str">
        <f xml:space="preserve"> E$234</f>
        <v>Pre 2023 flag</v>
      </c>
      <c r="F318" s="300">
        <f t="shared" ref="F318:AS318" si="308" xml:space="preserve"> F$234</f>
        <v>0</v>
      </c>
      <c r="G318" s="300" t="str">
        <f t="shared" si="308"/>
        <v>flag</v>
      </c>
      <c r="H318" s="300">
        <f t="shared" si="308"/>
        <v>0</v>
      </c>
      <c r="I318" s="300">
        <f t="shared" si="308"/>
        <v>0</v>
      </c>
      <c r="J318" s="300">
        <f t="shared" si="308"/>
        <v>0</v>
      </c>
      <c r="K318" s="300">
        <f t="shared" si="308"/>
        <v>1</v>
      </c>
      <c r="L318" s="300">
        <f t="shared" si="308"/>
        <v>1</v>
      </c>
      <c r="M318" s="300">
        <f t="shared" si="308"/>
        <v>1</v>
      </c>
      <c r="N318" s="300">
        <f t="shared" si="308"/>
        <v>1</v>
      </c>
      <c r="O318" s="300">
        <f t="shared" si="308"/>
        <v>1</v>
      </c>
      <c r="P318" s="300">
        <f t="shared" si="308"/>
        <v>1</v>
      </c>
      <c r="Q318" s="300">
        <f t="shared" si="308"/>
        <v>1</v>
      </c>
      <c r="R318" s="300">
        <f t="shared" si="308"/>
        <v>1</v>
      </c>
      <c r="S318" s="300">
        <f t="shared" si="308"/>
        <v>1</v>
      </c>
      <c r="T318" s="300">
        <f t="shared" si="308"/>
        <v>1</v>
      </c>
      <c r="U318" s="300">
        <f t="shared" si="308"/>
        <v>1</v>
      </c>
      <c r="V318" s="300">
        <f t="shared" si="308"/>
        <v>1</v>
      </c>
      <c r="W318" s="300">
        <f t="shared" si="308"/>
        <v>1</v>
      </c>
      <c r="X318" s="300">
        <f t="shared" si="308"/>
        <v>1</v>
      </c>
      <c r="Y318" s="300">
        <f t="shared" si="308"/>
        <v>1</v>
      </c>
      <c r="Z318" s="300">
        <f t="shared" si="308"/>
        <v>1</v>
      </c>
      <c r="AA318" s="300">
        <f t="shared" si="308"/>
        <v>1</v>
      </c>
      <c r="AB318" s="300">
        <f t="shared" si="308"/>
        <v>0</v>
      </c>
      <c r="AC318" s="300">
        <f t="shared" si="308"/>
        <v>0</v>
      </c>
      <c r="AD318" s="300">
        <f t="shared" si="308"/>
        <v>0</v>
      </c>
      <c r="AE318" s="300">
        <f t="shared" si="308"/>
        <v>0</v>
      </c>
      <c r="AF318" s="300">
        <f t="shared" si="308"/>
        <v>0</v>
      </c>
      <c r="AG318" s="300">
        <f t="shared" si="308"/>
        <v>0</v>
      </c>
      <c r="AH318" s="300">
        <f t="shared" si="308"/>
        <v>0</v>
      </c>
      <c r="AI318" s="300">
        <f t="shared" si="308"/>
        <v>0</v>
      </c>
      <c r="AJ318" s="300">
        <f t="shared" si="308"/>
        <v>0</v>
      </c>
      <c r="AK318" s="300">
        <f t="shared" si="308"/>
        <v>0</v>
      </c>
      <c r="AL318" s="300">
        <f t="shared" si="308"/>
        <v>0</v>
      </c>
      <c r="AM318" s="300">
        <f t="shared" si="308"/>
        <v>0</v>
      </c>
      <c r="AN318" s="300">
        <f t="shared" si="308"/>
        <v>0</v>
      </c>
      <c r="AO318" s="300">
        <f t="shared" si="308"/>
        <v>0</v>
      </c>
      <c r="AP318" s="300">
        <f t="shared" si="308"/>
        <v>0</v>
      </c>
      <c r="AQ318" s="300">
        <f t="shared" si="308"/>
        <v>0</v>
      </c>
      <c r="AR318" s="300">
        <f t="shared" si="308"/>
        <v>0</v>
      </c>
      <c r="AS318" s="300">
        <f t="shared" si="308"/>
        <v>0</v>
      </c>
    </row>
    <row r="319" spans="1:45" ht="15" customHeight="1" x14ac:dyDescent="0.3">
      <c r="A319" s="528"/>
      <c r="B319" s="528"/>
      <c r="C319" s="529"/>
      <c r="D319" s="264"/>
      <c r="E319" s="199" t="s">
        <v>1009</v>
      </c>
      <c r="F319" s="199" t="s">
        <v>552</v>
      </c>
      <c r="G319" s="199"/>
      <c r="H319" s="313"/>
      <c r="I319" s="313"/>
      <c r="J319" s="313"/>
      <c r="K319" s="313">
        <f t="shared" ref="K319:O319" si="309">K316 * K318</f>
        <v>0</v>
      </c>
      <c r="L319" s="313">
        <f t="shared" si="309"/>
        <v>0</v>
      </c>
      <c r="M319" s="313">
        <f t="shared" si="309"/>
        <v>0</v>
      </c>
      <c r="N319" s="313">
        <f t="shared" si="309"/>
        <v>0</v>
      </c>
      <c r="O319" s="313">
        <f t="shared" si="309"/>
        <v>0</v>
      </c>
      <c r="P319" s="313">
        <f t="shared" ref="P319:R319" si="310">P316 * P318</f>
        <v>0</v>
      </c>
      <c r="Q319" s="313">
        <f t="shared" si="310"/>
        <v>0</v>
      </c>
      <c r="R319" s="313">
        <f t="shared" si="310"/>
        <v>0</v>
      </c>
      <c r="S319" s="313">
        <f t="shared" ref="S319:AS319" si="311">S316 * S318</f>
        <v>0</v>
      </c>
      <c r="T319" s="313">
        <f t="shared" si="311"/>
        <v>0</v>
      </c>
      <c r="U319" s="313">
        <f t="shared" si="311"/>
        <v>0</v>
      </c>
      <c r="V319" s="313">
        <f>V316 * V318</f>
        <v>27778.212</v>
      </c>
      <c r="W319" s="313">
        <f t="shared" si="311"/>
        <v>27778.212</v>
      </c>
      <c r="X319" s="313">
        <f t="shared" si="311"/>
        <v>24691.743999999999</v>
      </c>
      <c r="Y319" s="313">
        <f t="shared" si="311"/>
        <v>23148.51</v>
      </c>
      <c r="Z319" s="313">
        <f>Z316 * Z318</f>
        <v>37037.615999999995</v>
      </c>
      <c r="AA319" s="313">
        <f t="shared" si="311"/>
        <v>41667.317999999992</v>
      </c>
      <c r="AB319" s="313">
        <f t="shared" si="311"/>
        <v>0</v>
      </c>
      <c r="AC319" s="313">
        <f>AC316 * AC318</f>
        <v>0</v>
      </c>
      <c r="AD319" s="313">
        <f t="shared" si="311"/>
        <v>0</v>
      </c>
      <c r="AE319" s="313">
        <f t="shared" si="311"/>
        <v>0</v>
      </c>
      <c r="AF319" s="313">
        <f t="shared" si="311"/>
        <v>0</v>
      </c>
      <c r="AG319" s="313">
        <f t="shared" si="311"/>
        <v>0</v>
      </c>
      <c r="AH319" s="313">
        <f t="shared" si="311"/>
        <v>0</v>
      </c>
      <c r="AI319" s="313">
        <f t="shared" si="311"/>
        <v>0</v>
      </c>
      <c r="AJ319" s="313">
        <f t="shared" si="311"/>
        <v>0</v>
      </c>
      <c r="AK319" s="313">
        <f t="shared" si="311"/>
        <v>0</v>
      </c>
      <c r="AL319" s="313">
        <f t="shared" si="311"/>
        <v>0</v>
      </c>
      <c r="AM319" s="313">
        <f t="shared" si="311"/>
        <v>0</v>
      </c>
      <c r="AN319" s="313">
        <f t="shared" si="311"/>
        <v>0</v>
      </c>
      <c r="AO319" s="313">
        <f t="shared" si="311"/>
        <v>0</v>
      </c>
      <c r="AP319" s="313">
        <f t="shared" si="311"/>
        <v>0</v>
      </c>
      <c r="AQ319" s="313">
        <f t="shared" si="311"/>
        <v>0</v>
      </c>
      <c r="AR319" s="313">
        <f t="shared" si="311"/>
        <v>0</v>
      </c>
      <c r="AS319" s="313">
        <f t="shared" si="311"/>
        <v>0</v>
      </c>
    </row>
    <row r="320" spans="1:45" ht="15" customHeight="1" x14ac:dyDescent="0.3">
      <c r="A320" s="528"/>
      <c r="B320" s="528"/>
      <c r="C320" s="529"/>
      <c r="D320" s="264"/>
      <c r="E320" s="199"/>
      <c r="F320" s="199"/>
      <c r="G320" s="199"/>
      <c r="H320" s="313"/>
      <c r="I320" s="313"/>
      <c r="J320" s="313"/>
      <c r="K320" s="313"/>
      <c r="L320" s="313"/>
      <c r="M320" s="313"/>
      <c r="N320" s="313"/>
      <c r="O320" s="313"/>
      <c r="P320" s="313"/>
      <c r="Q320" s="313"/>
      <c r="R320" s="313"/>
      <c r="S320" s="313"/>
      <c r="T320" s="313"/>
      <c r="U320" s="313"/>
      <c r="V320" s="313"/>
      <c r="W320" s="313"/>
      <c r="X320" s="313"/>
      <c r="Y320" s="313"/>
      <c r="Z320" s="313"/>
      <c r="AA320" s="313"/>
      <c r="AB320" s="313"/>
      <c r="AC320" s="313"/>
      <c r="AD320" s="313"/>
      <c r="AE320" s="313"/>
      <c r="AF320" s="313"/>
      <c r="AG320" s="313"/>
      <c r="AH320" s="313"/>
      <c r="AI320" s="313"/>
      <c r="AJ320" s="313"/>
      <c r="AK320" s="313"/>
      <c r="AL320" s="313"/>
      <c r="AM320" s="313"/>
      <c r="AN320" s="313"/>
      <c r="AO320" s="313"/>
      <c r="AP320" s="313"/>
      <c r="AQ320" s="313"/>
      <c r="AR320" s="313"/>
      <c r="AS320" s="313"/>
    </row>
    <row r="321" spans="1:45" ht="15" customHeight="1" x14ac:dyDescent="0.3">
      <c r="A321" s="524"/>
      <c r="B321" s="524"/>
      <c r="C321" s="525"/>
      <c r="D321" s="243"/>
      <c r="E321" s="127" t="str">
        <f xml:space="preserve"> E$309</f>
        <v>Cobalt realized price: SOM_Contract</v>
      </c>
      <c r="F321" s="127" t="str">
        <f t="shared" ref="F321:O321" si="312" xml:space="preserve"> F$309</f>
        <v>SOM_Contract</v>
      </c>
      <c r="G321" s="127" t="str">
        <f t="shared" si="312"/>
        <v>$ / tonne</v>
      </c>
      <c r="H321" s="127">
        <f t="shared" si="312"/>
        <v>0</v>
      </c>
      <c r="I321" s="127">
        <f t="shared" si="312"/>
        <v>0</v>
      </c>
      <c r="J321" s="127">
        <f t="shared" si="312"/>
        <v>0</v>
      </c>
      <c r="K321" s="127">
        <f t="shared" si="312"/>
        <v>19803.93701730781</v>
      </c>
      <c r="L321" s="127">
        <f t="shared" si="312"/>
        <v>35905.601734806172</v>
      </c>
      <c r="M321" s="127">
        <f t="shared" si="312"/>
        <v>47370.881312425285</v>
      </c>
      <c r="N321" s="127">
        <f t="shared" si="312"/>
        <v>20440.396143941351</v>
      </c>
      <c r="O321" s="127">
        <f t="shared" si="312"/>
        <v>25499.81020190856</v>
      </c>
      <c r="P321" s="127">
        <f t="shared" ref="P321:AS321" si="313" xml:space="preserve"> P$309</f>
        <v>22703.543092931734</v>
      </c>
      <c r="Q321" s="127">
        <f t="shared" si="313"/>
        <v>18246.10293790486</v>
      </c>
      <c r="R321" s="127">
        <f t="shared" si="313"/>
        <v>16967.47103591849</v>
      </c>
      <c r="S321" s="127">
        <f t="shared" si="313"/>
        <v>19531.810507457281</v>
      </c>
      <c r="T321" s="127">
        <f t="shared" si="313"/>
        <v>17913.199146002116</v>
      </c>
      <c r="U321" s="127">
        <f t="shared" si="313"/>
        <v>15836.455629274542</v>
      </c>
      <c r="V321" s="127">
        <f t="shared" si="313"/>
        <v>36941.558571708221</v>
      </c>
      <c r="W321" s="127">
        <f t="shared" si="313"/>
        <v>48810.826221574462</v>
      </c>
      <c r="X321" s="127">
        <f t="shared" si="313"/>
        <v>21197.560373885597</v>
      </c>
      <c r="Y321" s="127">
        <f t="shared" si="313"/>
        <v>19993.399426923312</v>
      </c>
      <c r="Z321" s="127">
        <f t="shared" si="313"/>
        <v>33747.068880183906</v>
      </c>
      <c r="AA321" s="127">
        <f t="shared" si="313"/>
        <v>42454.362354484489</v>
      </c>
      <c r="AB321" s="127">
        <f t="shared" si="313"/>
        <v>21960.215870915901</v>
      </c>
      <c r="AC321" s="127">
        <f t="shared" si="313"/>
        <v>16436.525108406309</v>
      </c>
      <c r="AD321" s="127">
        <f t="shared" si="313"/>
        <v>25938.833026931141</v>
      </c>
      <c r="AE321" s="127">
        <f t="shared" si="313"/>
        <v>25938.833026931141</v>
      </c>
      <c r="AF321" s="127">
        <f t="shared" si="313"/>
        <v>25938.833026931141</v>
      </c>
      <c r="AG321" s="127">
        <f t="shared" si="313"/>
        <v>25938.833026931141</v>
      </c>
      <c r="AH321" s="127">
        <f t="shared" si="313"/>
        <v>25938.833026931141</v>
      </c>
      <c r="AI321" s="127">
        <f t="shared" si="313"/>
        <v>26543.42185053225</v>
      </c>
      <c r="AJ321" s="127">
        <f t="shared" si="313"/>
        <v>27111.481627004272</v>
      </c>
      <c r="AK321" s="127">
        <f t="shared" si="313"/>
        <v>27690.902599005734</v>
      </c>
      <c r="AL321" s="127">
        <f t="shared" si="313"/>
        <v>28281.911990447228</v>
      </c>
      <c r="AM321" s="127">
        <f t="shared" si="313"/>
        <v>28884.741569717542</v>
      </c>
      <c r="AN321" s="127">
        <f t="shared" si="313"/>
        <v>29499.627740573273</v>
      </c>
      <c r="AO321" s="127">
        <f t="shared" si="313"/>
        <v>30126.811634846119</v>
      </c>
      <c r="AP321" s="127">
        <f t="shared" si="313"/>
        <v>30766.539207004422</v>
      </c>
      <c r="AQ321" s="127">
        <f t="shared" si="313"/>
        <v>31419.061330605895</v>
      </c>
      <c r="AR321" s="127">
        <f t="shared" si="313"/>
        <v>32084.633896679392</v>
      </c>
      <c r="AS321" s="127">
        <f t="shared" si="313"/>
        <v>32763.517914074346</v>
      </c>
    </row>
    <row r="322" spans="1:45" ht="15" customHeight="1" x14ac:dyDescent="0.3">
      <c r="A322" s="524"/>
      <c r="B322" s="524"/>
      <c r="C322" s="525"/>
      <c r="D322" s="243"/>
      <c r="E322" s="184"/>
      <c r="F322" s="243"/>
      <c r="G322" s="243"/>
      <c r="H322" s="243"/>
      <c r="I322" s="243"/>
      <c r="J322" s="243"/>
      <c r="K322" s="243"/>
      <c r="L322" s="243"/>
      <c r="M322" s="243"/>
      <c r="N322" s="243"/>
      <c r="O322" s="243"/>
      <c r="P322" s="243"/>
      <c r="Q322" s="243"/>
      <c r="R322" s="243"/>
      <c r="S322" s="243"/>
      <c r="T322" s="243"/>
      <c r="U322" s="243"/>
      <c r="V322" s="243"/>
      <c r="W322" s="243"/>
      <c r="X322" s="243"/>
      <c r="Y322" s="243"/>
      <c r="Z322" s="243"/>
      <c r="AA322" s="243"/>
      <c r="AB322" s="243"/>
      <c r="AC322" s="243"/>
      <c r="AD322" s="243"/>
      <c r="AE322" s="243"/>
      <c r="AF322" s="243"/>
      <c r="AG322" s="243"/>
      <c r="AH322" s="243"/>
      <c r="AI322" s="243"/>
      <c r="AJ322" s="243"/>
      <c r="AK322" s="243"/>
      <c r="AL322" s="243"/>
      <c r="AM322" s="243"/>
      <c r="AN322" s="243"/>
      <c r="AO322" s="243"/>
      <c r="AP322" s="243"/>
      <c r="AQ322" s="243"/>
      <c r="AR322" s="243"/>
      <c r="AS322" s="243"/>
    </row>
    <row r="323" spans="1:45" ht="15" customHeight="1" x14ac:dyDescent="0.3">
      <c r="A323" s="560"/>
      <c r="B323" s="560"/>
      <c r="C323" s="561"/>
      <c r="D323" s="540"/>
      <c r="E323" s="540" t="str">
        <f>IF( $F311 = "FS", E319, E321)</f>
        <v>Cobalt realized price: FS</v>
      </c>
      <c r="F323" s="540" t="str">
        <f>IF( $F311 = "FS", F319, F321)</f>
        <v>FS</v>
      </c>
      <c r="G323" s="540" t="str">
        <f>INDEX(G302:G304, MATCH($F307, $F302:$F304, 0))</f>
        <v>$ / tonne</v>
      </c>
      <c r="H323" s="540">
        <f>INDEX(H302:H304, MATCH($F307, $F302:$F304, 0))</f>
        <v>0</v>
      </c>
      <c r="I323" s="540">
        <f>INDEX(I302:I304, MATCH($F307, $F302:$F304, 0))</f>
        <v>0</v>
      </c>
      <c r="J323" s="540"/>
      <c r="K323" s="540">
        <f>IF( AND($F311 = "FS", K318 = 1), K319, K321)</f>
        <v>0</v>
      </c>
      <c r="L323" s="540">
        <f>IF( AND($F311 = "FS", L318 = 1), L319, L321)</f>
        <v>0</v>
      </c>
      <c r="M323" s="540">
        <f t="shared" ref="M323:AS323" si="314">IF( AND($F311 = "FS", M318 = 1), M319, M321)</f>
        <v>0</v>
      </c>
      <c r="N323" s="540">
        <f t="shared" si="314"/>
        <v>0</v>
      </c>
      <c r="O323" s="540">
        <f t="shared" si="314"/>
        <v>0</v>
      </c>
      <c r="P323" s="540">
        <f t="shared" si="314"/>
        <v>0</v>
      </c>
      <c r="Q323" s="540">
        <f t="shared" si="314"/>
        <v>0</v>
      </c>
      <c r="R323" s="540">
        <f t="shared" si="314"/>
        <v>0</v>
      </c>
      <c r="S323" s="540">
        <f t="shared" si="314"/>
        <v>0</v>
      </c>
      <c r="T323" s="540">
        <f t="shared" si="314"/>
        <v>0</v>
      </c>
      <c r="U323" s="540">
        <f t="shared" si="314"/>
        <v>0</v>
      </c>
      <c r="V323" s="540">
        <f>IF( AND($F311 = "FS", V318 = 1), V319, V321)</f>
        <v>27778.212</v>
      </c>
      <c r="W323" s="540">
        <f t="shared" si="314"/>
        <v>27778.212</v>
      </c>
      <c r="X323" s="540">
        <f t="shared" si="314"/>
        <v>24691.743999999999</v>
      </c>
      <c r="Y323" s="540">
        <f t="shared" si="314"/>
        <v>23148.51</v>
      </c>
      <c r="Z323" s="540">
        <f t="shared" si="314"/>
        <v>37037.615999999995</v>
      </c>
      <c r="AA323" s="540">
        <f t="shared" si="314"/>
        <v>41667.317999999992</v>
      </c>
      <c r="AB323" s="540">
        <f t="shared" si="314"/>
        <v>21960.215870915901</v>
      </c>
      <c r="AC323" s="540">
        <f t="shared" si="314"/>
        <v>16436.525108406309</v>
      </c>
      <c r="AD323" s="540">
        <f t="shared" si="314"/>
        <v>25938.833026931141</v>
      </c>
      <c r="AE323" s="540">
        <f t="shared" si="314"/>
        <v>25938.833026931141</v>
      </c>
      <c r="AF323" s="540">
        <f t="shared" si="314"/>
        <v>25938.833026931141</v>
      </c>
      <c r="AG323" s="540">
        <f t="shared" si="314"/>
        <v>25938.833026931141</v>
      </c>
      <c r="AH323" s="540">
        <f t="shared" si="314"/>
        <v>25938.833026931141</v>
      </c>
      <c r="AI323" s="540">
        <f t="shared" si="314"/>
        <v>26543.42185053225</v>
      </c>
      <c r="AJ323" s="540">
        <f t="shared" si="314"/>
        <v>27111.481627004272</v>
      </c>
      <c r="AK323" s="540">
        <f t="shared" si="314"/>
        <v>27690.902599005734</v>
      </c>
      <c r="AL323" s="540">
        <f t="shared" si="314"/>
        <v>28281.911990447228</v>
      </c>
      <c r="AM323" s="540">
        <f t="shared" si="314"/>
        <v>28884.741569717542</v>
      </c>
      <c r="AN323" s="540">
        <f t="shared" si="314"/>
        <v>29499.627740573273</v>
      </c>
      <c r="AO323" s="540">
        <f t="shared" si="314"/>
        <v>30126.811634846119</v>
      </c>
      <c r="AP323" s="540">
        <f t="shared" si="314"/>
        <v>30766.539207004422</v>
      </c>
      <c r="AQ323" s="540">
        <f t="shared" si="314"/>
        <v>31419.061330605895</v>
      </c>
      <c r="AR323" s="540">
        <f t="shared" si="314"/>
        <v>32084.633896679392</v>
      </c>
      <c r="AS323" s="540">
        <f t="shared" si="314"/>
        <v>32763.517914074346</v>
      </c>
    </row>
    <row r="324" spans="1:45" ht="15" customHeight="1" x14ac:dyDescent="0.3">
      <c r="I324" s="116"/>
      <c r="AL324" s="42"/>
      <c r="AM324" s="42"/>
      <c r="AN324" s="42"/>
      <c r="AO324" s="42"/>
      <c r="AP324" s="42"/>
      <c r="AQ324" s="42"/>
      <c r="AR324" s="42"/>
      <c r="AS324" s="42"/>
    </row>
    <row r="325" spans="1:45" ht="15" customHeight="1" collapsed="1" x14ac:dyDescent="0.3">
      <c r="A325" s="15" t="s">
        <v>288</v>
      </c>
      <c r="B325" s="119"/>
      <c r="C325" s="120"/>
      <c r="D325" s="121"/>
      <c r="E325" s="119"/>
      <c r="F325" s="119"/>
      <c r="G325" s="119"/>
      <c r="H325" s="119"/>
      <c r="I325" s="119"/>
      <c r="J325" s="16"/>
      <c r="K325" s="16"/>
      <c r="L325" s="16"/>
      <c r="M325" s="16"/>
      <c r="N325" s="16"/>
      <c r="O325" s="16"/>
      <c r="P325" s="16"/>
      <c r="Q325" s="16"/>
      <c r="R325" s="16"/>
      <c r="S325" s="16"/>
      <c r="T325" s="16"/>
      <c r="U325" s="16"/>
      <c r="V325" s="16"/>
      <c r="W325" s="16"/>
      <c r="X325" s="16"/>
      <c r="Y325" s="16"/>
      <c r="Z325" s="16"/>
      <c r="AA325" s="16"/>
      <c r="AB325" s="16"/>
      <c r="AC325" s="16"/>
      <c r="AD325" s="16"/>
      <c r="AE325" s="16"/>
      <c r="AF325" s="16"/>
      <c r="AG325" s="16"/>
      <c r="AH325" s="16"/>
      <c r="AI325" s="16"/>
      <c r="AJ325" s="16"/>
      <c r="AK325" s="16"/>
      <c r="AL325" s="16"/>
      <c r="AM325" s="16"/>
      <c r="AN325" s="16"/>
      <c r="AO325" s="16"/>
      <c r="AP325" s="16"/>
      <c r="AQ325" s="16"/>
      <c r="AR325" s="16"/>
      <c r="AS325" s="16"/>
    </row>
    <row r="326" spans="1:45" ht="15" customHeight="1" x14ac:dyDescent="0.3">
      <c r="I326" s="116"/>
      <c r="AL326" s="42"/>
      <c r="AM326" s="42"/>
      <c r="AN326" s="42"/>
      <c r="AO326" s="42"/>
      <c r="AP326" s="42"/>
      <c r="AQ326" s="42"/>
      <c r="AR326" s="42"/>
      <c r="AS326" s="42"/>
    </row>
    <row r="327" spans="1:45" ht="15" customHeight="1" x14ac:dyDescent="0.3">
      <c r="B327" s="112" t="s">
        <v>1051</v>
      </c>
      <c r="I327" s="116"/>
      <c r="AL327" s="42"/>
      <c r="AM327" s="42"/>
      <c r="AN327" s="42"/>
      <c r="AO327" s="42"/>
      <c r="AP327" s="42"/>
      <c r="AQ327" s="42"/>
      <c r="AR327" s="42"/>
      <c r="AS327" s="42"/>
    </row>
    <row r="328" spans="1:45" ht="15" customHeight="1" x14ac:dyDescent="0.3">
      <c r="C328" s="113" t="s">
        <v>165</v>
      </c>
      <c r="I328" s="116"/>
      <c r="AL328" s="42"/>
      <c r="AM328" s="42"/>
      <c r="AN328" s="42"/>
      <c r="AO328" s="42"/>
      <c r="AP328" s="42"/>
      <c r="AQ328" s="42"/>
      <c r="AR328" s="42"/>
      <c r="AS328" s="42"/>
    </row>
    <row r="329" spans="1:45" ht="15" customHeight="1" x14ac:dyDescent="0.3">
      <c r="E329" s="40" t="str">
        <f xml:space="preserve"> E$52</f>
        <v>Copper cathode production: Original</v>
      </c>
      <c r="F329" s="40">
        <f t="shared" ref="F329:AS329" si="315" xml:space="preserve"> F$52</f>
        <v>0</v>
      </c>
      <c r="G329" s="40" t="str">
        <f t="shared" si="315"/>
        <v>KT Cu</v>
      </c>
      <c r="H329" s="40">
        <f t="shared" si="315"/>
        <v>0</v>
      </c>
      <c r="I329" s="40">
        <f t="shared" si="315"/>
        <v>0</v>
      </c>
      <c r="J329" s="40">
        <f t="shared" si="315"/>
        <v>0</v>
      </c>
      <c r="K329" s="40">
        <f t="shared" si="315"/>
        <v>0</v>
      </c>
      <c r="L329" s="40">
        <f t="shared" si="315"/>
        <v>0</v>
      </c>
      <c r="M329" s="40">
        <f t="shared" si="315"/>
        <v>0</v>
      </c>
      <c r="N329" s="40">
        <f t="shared" si="315"/>
        <v>0</v>
      </c>
      <c r="O329" s="40">
        <f t="shared" si="315"/>
        <v>0</v>
      </c>
      <c r="P329" s="40">
        <f t="shared" si="315"/>
        <v>0</v>
      </c>
      <c r="Q329" s="40">
        <f t="shared" si="315"/>
        <v>0</v>
      </c>
      <c r="R329" s="40">
        <f t="shared" si="315"/>
        <v>0</v>
      </c>
      <c r="S329" s="40">
        <f t="shared" si="315"/>
        <v>0</v>
      </c>
      <c r="T329" s="40">
        <f t="shared" si="315"/>
        <v>0</v>
      </c>
      <c r="U329" s="40">
        <f t="shared" si="315"/>
        <v>0</v>
      </c>
      <c r="V329" s="40">
        <f t="shared" si="315"/>
        <v>0</v>
      </c>
      <c r="W329" s="40">
        <f t="shared" si="315"/>
        <v>0</v>
      </c>
      <c r="X329" s="40">
        <f t="shared" si="315"/>
        <v>0</v>
      </c>
      <c r="Y329" s="40">
        <f t="shared" si="315"/>
        <v>0</v>
      </c>
      <c r="Z329" s="40">
        <f t="shared" si="315"/>
        <v>0</v>
      </c>
      <c r="AA329" s="40">
        <f t="shared" si="315"/>
        <v>0</v>
      </c>
      <c r="AB329" s="40">
        <f t="shared" si="315"/>
        <v>0</v>
      </c>
      <c r="AC329" s="40">
        <f t="shared" si="315"/>
        <v>0</v>
      </c>
      <c r="AD329" s="40">
        <f t="shared" si="315"/>
        <v>0</v>
      </c>
      <c r="AE329" s="40">
        <f t="shared" si="315"/>
        <v>0</v>
      </c>
      <c r="AF329" s="40">
        <f t="shared" si="315"/>
        <v>0</v>
      </c>
      <c r="AG329" s="40">
        <f t="shared" si="315"/>
        <v>0</v>
      </c>
      <c r="AH329" s="40">
        <f t="shared" si="315"/>
        <v>0</v>
      </c>
      <c r="AI329" s="40">
        <f t="shared" si="315"/>
        <v>0</v>
      </c>
      <c r="AJ329" s="40">
        <f t="shared" si="315"/>
        <v>0</v>
      </c>
      <c r="AK329" s="40">
        <f t="shared" si="315"/>
        <v>0</v>
      </c>
      <c r="AL329" s="40">
        <f t="shared" si="315"/>
        <v>0</v>
      </c>
      <c r="AM329" s="40">
        <f t="shared" si="315"/>
        <v>0</v>
      </c>
      <c r="AN329" s="40">
        <f t="shared" si="315"/>
        <v>0</v>
      </c>
      <c r="AO329" s="40">
        <f t="shared" si="315"/>
        <v>0</v>
      </c>
      <c r="AP329" s="40">
        <f t="shared" si="315"/>
        <v>0</v>
      </c>
      <c r="AQ329" s="40">
        <f t="shared" si="315"/>
        <v>0</v>
      </c>
      <c r="AR329" s="40">
        <f t="shared" si="315"/>
        <v>0</v>
      </c>
      <c r="AS329" s="40">
        <f t="shared" si="315"/>
        <v>0</v>
      </c>
    </row>
    <row r="330" spans="1:45" ht="15" customHeight="1" x14ac:dyDescent="0.3">
      <c r="E330" s="40" t="str">
        <f t="shared" ref="E330:O330" si="316" xml:space="preserve"> E$205</f>
        <v>Copper cathode: realized &amp; calculated price</v>
      </c>
      <c r="F330" s="40">
        <f t="shared" si="316"/>
        <v>0</v>
      </c>
      <c r="G330" s="40" t="str">
        <f t="shared" si="316"/>
        <v>$ / tonne</v>
      </c>
      <c r="H330" s="40">
        <f t="shared" si="316"/>
        <v>0</v>
      </c>
      <c r="I330" s="40">
        <f t="shared" si="316"/>
        <v>0</v>
      </c>
      <c r="J330" s="40">
        <f t="shared" si="316"/>
        <v>0</v>
      </c>
      <c r="K330" s="40">
        <f t="shared" si="316"/>
        <v>6240.7306515556429</v>
      </c>
      <c r="L330" s="40">
        <f t="shared" si="316"/>
        <v>6630.2513825061296</v>
      </c>
      <c r="M330" s="40">
        <f t="shared" si="316"/>
        <v>6466.6222750661436</v>
      </c>
      <c r="N330" s="40">
        <f t="shared" si="316"/>
        <v>4715.6551717628836</v>
      </c>
      <c r="O330" s="40">
        <f t="shared" si="316"/>
        <v>7026.0526654668556</v>
      </c>
      <c r="P330" s="40">
        <f t="shared" ref="P330:AS330" si="317" xml:space="preserve"> P$205</f>
        <v>8276.6084671312565</v>
      </c>
      <c r="Q330" s="40">
        <f t="shared" si="317"/>
        <v>7435.313247289313</v>
      </c>
      <c r="R330" s="40">
        <f t="shared" si="317"/>
        <v>6824.7412190909417</v>
      </c>
      <c r="S330" s="40">
        <f t="shared" si="317"/>
        <v>6369.2270088831929</v>
      </c>
      <c r="T330" s="40">
        <f t="shared" si="317"/>
        <v>5052.6465879453663</v>
      </c>
      <c r="U330" s="40">
        <f t="shared" si="317"/>
        <v>4427.3550633560935</v>
      </c>
      <c r="V330" s="40">
        <f t="shared" si="317"/>
        <v>5694.4063154582936</v>
      </c>
      <c r="W330" s="40">
        <f t="shared" si="317"/>
        <v>6044.5933134906118</v>
      </c>
      <c r="X330" s="40">
        <f t="shared" si="317"/>
        <v>5872.1138445286879</v>
      </c>
      <c r="Y330" s="40">
        <f t="shared" si="317"/>
        <v>5679.8362270723128</v>
      </c>
      <c r="Z330" s="40">
        <f t="shared" si="317"/>
        <v>8757.2886760276906</v>
      </c>
      <c r="AA330" s="40">
        <f t="shared" si="317"/>
        <v>8281.9246517658903</v>
      </c>
      <c r="AB330" s="40">
        <f t="shared" si="317"/>
        <v>7952.8573965718469</v>
      </c>
      <c r="AC330" s="40">
        <f t="shared" si="317"/>
        <v>8011.2069749861539</v>
      </c>
      <c r="AD330" s="40">
        <f t="shared" si="317"/>
        <v>8118.7431820582751</v>
      </c>
      <c r="AE330" s="40">
        <f t="shared" si="317"/>
        <v>8133.4013715423507</v>
      </c>
      <c r="AF330" s="40">
        <f t="shared" si="317"/>
        <v>8125.0889334773583</v>
      </c>
      <c r="AG330" s="40">
        <f t="shared" si="317"/>
        <v>8113.2897867274141</v>
      </c>
      <c r="AH330" s="40">
        <f t="shared" si="317"/>
        <v>8125.8187776062205</v>
      </c>
      <c r="AI330" s="40">
        <f t="shared" si="317"/>
        <v>8309.2837346801643</v>
      </c>
      <c r="AJ330" s="40">
        <f t="shared" si="317"/>
        <v>8481.6638026495239</v>
      </c>
      <c r="AK330" s="40">
        <f t="shared" si="317"/>
        <v>8657.4914719782701</v>
      </c>
      <c r="AL330" s="40">
        <f t="shared" si="317"/>
        <v>8836.8356946935892</v>
      </c>
      <c r="AM330" s="40">
        <f t="shared" si="317"/>
        <v>9019.7668018632139</v>
      </c>
      <c r="AN330" s="40">
        <f t="shared" si="317"/>
        <v>9206.3565311762359</v>
      </c>
      <c r="AO330" s="40">
        <f t="shared" si="317"/>
        <v>9396.6780550755157</v>
      </c>
      <c r="AP330" s="40">
        <f t="shared" si="317"/>
        <v>9590.8060094527809</v>
      </c>
      <c r="AQ330" s="40">
        <f t="shared" si="317"/>
        <v>9788.8165229175938</v>
      </c>
      <c r="AR330" s="40">
        <f t="shared" si="317"/>
        <v>9990.7872466517019</v>
      </c>
      <c r="AS330" s="40">
        <f t="shared" si="317"/>
        <v>10196.797384860489</v>
      </c>
    </row>
    <row r="331" spans="1:45" ht="15" customHeight="1" x14ac:dyDescent="0.3">
      <c r="A331" s="123"/>
      <c r="B331" s="123"/>
      <c r="C331" s="124"/>
      <c r="D331" s="109"/>
      <c r="E331" s="109" t="s">
        <v>1056</v>
      </c>
      <c r="F331" s="109"/>
      <c r="G331" s="109" t="s">
        <v>346</v>
      </c>
      <c r="H331" s="125"/>
      <c r="I331" s="125">
        <f>SUM(K331:AS331)</f>
        <v>0</v>
      </c>
      <c r="J331" s="138"/>
      <c r="K331" s="109">
        <f t="shared" ref="K331:AS331" si="318">K329 * K330 * 10^-3</f>
        <v>0</v>
      </c>
      <c r="L331" s="109">
        <f t="shared" si="318"/>
        <v>0</v>
      </c>
      <c r="M331" s="109">
        <f t="shared" si="318"/>
        <v>0</v>
      </c>
      <c r="N331" s="109">
        <f t="shared" si="318"/>
        <v>0</v>
      </c>
      <c r="O331" s="109">
        <f t="shared" si="318"/>
        <v>0</v>
      </c>
      <c r="P331" s="109">
        <f t="shared" si="318"/>
        <v>0</v>
      </c>
      <c r="Q331" s="109">
        <f t="shared" si="318"/>
        <v>0</v>
      </c>
      <c r="R331" s="109">
        <f t="shared" si="318"/>
        <v>0</v>
      </c>
      <c r="S331" s="109">
        <f t="shared" si="318"/>
        <v>0</v>
      </c>
      <c r="T331" s="109">
        <f t="shared" si="318"/>
        <v>0</v>
      </c>
      <c r="U331" s="109">
        <f t="shared" si="318"/>
        <v>0</v>
      </c>
      <c r="V331" s="109">
        <f t="shared" si="318"/>
        <v>0</v>
      </c>
      <c r="W331" s="109">
        <f t="shared" si="318"/>
        <v>0</v>
      </c>
      <c r="X331" s="109">
        <f t="shared" si="318"/>
        <v>0</v>
      </c>
      <c r="Y331" s="109">
        <f t="shared" si="318"/>
        <v>0</v>
      </c>
      <c r="Z331" s="109">
        <f t="shared" si="318"/>
        <v>0</v>
      </c>
      <c r="AA331" s="109">
        <f t="shared" si="318"/>
        <v>0</v>
      </c>
      <c r="AB331" s="109">
        <f t="shared" si="318"/>
        <v>0</v>
      </c>
      <c r="AC331" s="109">
        <f t="shared" si="318"/>
        <v>0</v>
      </c>
      <c r="AD331" s="109">
        <f t="shared" si="318"/>
        <v>0</v>
      </c>
      <c r="AE331" s="109">
        <f t="shared" si="318"/>
        <v>0</v>
      </c>
      <c r="AF331" s="109">
        <f t="shared" si="318"/>
        <v>0</v>
      </c>
      <c r="AG331" s="109">
        <f t="shared" si="318"/>
        <v>0</v>
      </c>
      <c r="AH331" s="109">
        <f t="shared" si="318"/>
        <v>0</v>
      </c>
      <c r="AI331" s="109">
        <f t="shared" si="318"/>
        <v>0</v>
      </c>
      <c r="AJ331" s="109">
        <f t="shared" si="318"/>
        <v>0</v>
      </c>
      <c r="AK331" s="109">
        <f t="shared" si="318"/>
        <v>0</v>
      </c>
      <c r="AL331" s="109">
        <f t="shared" si="318"/>
        <v>0</v>
      </c>
      <c r="AM331" s="109">
        <f t="shared" si="318"/>
        <v>0</v>
      </c>
      <c r="AN331" s="109">
        <f t="shared" si="318"/>
        <v>0</v>
      </c>
      <c r="AO331" s="109">
        <f t="shared" si="318"/>
        <v>0</v>
      </c>
      <c r="AP331" s="109">
        <f t="shared" si="318"/>
        <v>0</v>
      </c>
      <c r="AQ331" s="109">
        <f t="shared" si="318"/>
        <v>0</v>
      </c>
      <c r="AR331" s="109">
        <f t="shared" si="318"/>
        <v>0</v>
      </c>
      <c r="AS331" s="109">
        <f t="shared" si="318"/>
        <v>0</v>
      </c>
    </row>
    <row r="332" spans="1:45" ht="15" customHeight="1" x14ac:dyDescent="0.3">
      <c r="I332" s="116"/>
      <c r="AL332" s="42"/>
      <c r="AM332" s="42"/>
      <c r="AN332" s="42"/>
      <c r="AO332" s="42"/>
      <c r="AP332" s="42"/>
      <c r="AQ332" s="42"/>
      <c r="AR332" s="42"/>
      <c r="AS332" s="42"/>
    </row>
    <row r="333" spans="1:45" ht="15" customHeight="1" x14ac:dyDescent="0.3">
      <c r="C333" s="113" t="s">
        <v>169</v>
      </c>
      <c r="I333" s="116"/>
      <c r="AL333" s="42"/>
      <c r="AM333" s="42"/>
      <c r="AN333" s="42"/>
      <c r="AO333" s="42"/>
      <c r="AP333" s="42"/>
      <c r="AQ333" s="42"/>
      <c r="AR333" s="42"/>
      <c r="AS333" s="42"/>
    </row>
    <row r="334" spans="1:45" ht="15" customHeight="1" x14ac:dyDescent="0.3">
      <c r="E334" s="40" t="str">
        <f xml:space="preserve"> E$53</f>
        <v>Other copper production: Original</v>
      </c>
      <c r="F334" s="40">
        <f t="shared" ref="F334:AS334" si="319" xml:space="preserve"> F$53</f>
        <v>0</v>
      </c>
      <c r="G334" s="40" t="str">
        <f t="shared" si="319"/>
        <v>KT Cu</v>
      </c>
      <c r="H334" s="40">
        <f t="shared" si="319"/>
        <v>0</v>
      </c>
      <c r="I334" s="40">
        <f t="shared" si="319"/>
        <v>0</v>
      </c>
      <c r="J334" s="40">
        <f t="shared" si="319"/>
        <v>0</v>
      </c>
      <c r="K334" s="40">
        <f t="shared" si="319"/>
        <v>0</v>
      </c>
      <c r="L334" s="40">
        <f t="shared" si="319"/>
        <v>0</v>
      </c>
      <c r="M334" s="40">
        <f t="shared" si="319"/>
        <v>0</v>
      </c>
      <c r="N334" s="40">
        <f t="shared" si="319"/>
        <v>0</v>
      </c>
      <c r="O334" s="40">
        <f t="shared" si="319"/>
        <v>0</v>
      </c>
      <c r="P334" s="40">
        <f t="shared" si="319"/>
        <v>0</v>
      </c>
      <c r="Q334" s="40">
        <f t="shared" si="319"/>
        <v>0</v>
      </c>
      <c r="R334" s="40">
        <f t="shared" si="319"/>
        <v>0</v>
      </c>
      <c r="S334" s="40">
        <f t="shared" si="319"/>
        <v>0</v>
      </c>
      <c r="T334" s="40">
        <f t="shared" si="319"/>
        <v>0</v>
      </c>
      <c r="U334" s="40">
        <f t="shared" si="319"/>
        <v>0</v>
      </c>
      <c r="V334" s="40">
        <f t="shared" si="319"/>
        <v>0</v>
      </c>
      <c r="W334" s="40">
        <f t="shared" si="319"/>
        <v>0</v>
      </c>
      <c r="X334" s="40">
        <f t="shared" si="319"/>
        <v>0</v>
      </c>
      <c r="Y334" s="40">
        <f t="shared" si="319"/>
        <v>0</v>
      </c>
      <c r="Z334" s="40">
        <f t="shared" si="319"/>
        <v>0</v>
      </c>
      <c r="AA334" s="40">
        <f t="shared" si="319"/>
        <v>0</v>
      </c>
      <c r="AB334" s="40">
        <f t="shared" si="319"/>
        <v>0</v>
      </c>
      <c r="AC334" s="40">
        <f t="shared" si="319"/>
        <v>0</v>
      </c>
      <c r="AD334" s="40">
        <f t="shared" si="319"/>
        <v>0</v>
      </c>
      <c r="AE334" s="40">
        <f t="shared" si="319"/>
        <v>0</v>
      </c>
      <c r="AF334" s="40">
        <f t="shared" si="319"/>
        <v>0</v>
      </c>
      <c r="AG334" s="40">
        <f t="shared" si="319"/>
        <v>0</v>
      </c>
      <c r="AH334" s="40">
        <f t="shared" si="319"/>
        <v>0</v>
      </c>
      <c r="AI334" s="40">
        <f t="shared" si="319"/>
        <v>0</v>
      </c>
      <c r="AJ334" s="40">
        <f t="shared" si="319"/>
        <v>0</v>
      </c>
      <c r="AK334" s="40">
        <f t="shared" si="319"/>
        <v>0</v>
      </c>
      <c r="AL334" s="40">
        <f t="shared" si="319"/>
        <v>0</v>
      </c>
      <c r="AM334" s="40">
        <f t="shared" si="319"/>
        <v>0</v>
      </c>
      <c r="AN334" s="40">
        <f t="shared" si="319"/>
        <v>0</v>
      </c>
      <c r="AO334" s="40">
        <f t="shared" si="319"/>
        <v>0</v>
      </c>
      <c r="AP334" s="40">
        <f t="shared" si="319"/>
        <v>0</v>
      </c>
      <c r="AQ334" s="40">
        <f t="shared" si="319"/>
        <v>0</v>
      </c>
      <c r="AR334" s="40">
        <f t="shared" si="319"/>
        <v>0</v>
      </c>
      <c r="AS334" s="40">
        <f t="shared" si="319"/>
        <v>0</v>
      </c>
    </row>
    <row r="335" spans="1:45" ht="15" customHeight="1" x14ac:dyDescent="0.3">
      <c r="E335" s="40" t="str">
        <f t="shared" ref="E335:O335" si="320" xml:space="preserve"> E$196</f>
        <v>Other copper: realized &amp; calculated price</v>
      </c>
      <c r="F335" s="40">
        <f t="shared" si="320"/>
        <v>0</v>
      </c>
      <c r="G335" s="40" t="str">
        <f t="shared" si="320"/>
        <v>$ / tonne</v>
      </c>
      <c r="H335" s="40">
        <f t="shared" si="320"/>
        <v>0</v>
      </c>
      <c r="I335" s="40">
        <f t="shared" si="320"/>
        <v>0</v>
      </c>
      <c r="J335" s="40">
        <f t="shared" si="320"/>
        <v>0</v>
      </c>
      <c r="K335" s="40">
        <f t="shared" si="320"/>
        <v>5584.828315710175</v>
      </c>
      <c r="L335" s="40">
        <f t="shared" si="320"/>
        <v>5933.4103214447332</v>
      </c>
      <c r="M335" s="40">
        <f t="shared" si="320"/>
        <v>5786.9786736892866</v>
      </c>
      <c r="N335" s="40">
        <f t="shared" si="320"/>
        <v>4220.0386462475526</v>
      </c>
      <c r="O335" s="40">
        <f t="shared" si="320"/>
        <v>6287.6127916190335</v>
      </c>
      <c r="P335" s="40">
        <f t="shared" ref="P335:AS335" si="321" xml:space="preserve"> P$196</f>
        <v>7406.7348690588005</v>
      </c>
      <c r="Q335" s="40">
        <f t="shared" si="321"/>
        <v>6653.8599850139817</v>
      </c>
      <c r="R335" s="40">
        <f t="shared" si="321"/>
        <v>6107.4592280749121</v>
      </c>
      <c r="S335" s="40">
        <f t="shared" si="321"/>
        <v>5699.819674084154</v>
      </c>
      <c r="T335" s="40">
        <f t="shared" si="321"/>
        <v>4521.612181195429</v>
      </c>
      <c r="U335" s="40">
        <f t="shared" si="321"/>
        <v>3962.038950578713</v>
      </c>
      <c r="V335" s="40">
        <f t="shared" si="321"/>
        <v>5095.9228025332077</v>
      </c>
      <c r="W335" s="40">
        <f t="shared" si="321"/>
        <v>5667.8772618398943</v>
      </c>
      <c r="X335" s="40">
        <f t="shared" si="321"/>
        <v>5293.0889973622889</v>
      </c>
      <c r="Y335" s="40">
        <f t="shared" si="321"/>
        <v>6487.8031190483161</v>
      </c>
      <c r="Z335" s="40">
        <f t="shared" si="321"/>
        <v>7836.8954690483406</v>
      </c>
      <c r="AA335" s="40">
        <f t="shared" si="321"/>
        <v>7411.4923213727616</v>
      </c>
      <c r="AB335" s="40">
        <f t="shared" si="321"/>
        <v>7117.0101161324801</v>
      </c>
      <c r="AC335" s="40">
        <f t="shared" si="321"/>
        <v>7169.2271394159225</v>
      </c>
      <c r="AD335" s="40">
        <f t="shared" si="321"/>
        <v>7265.4612645132374</v>
      </c>
      <c r="AE335" s="40">
        <f t="shared" si="321"/>
        <v>7278.578874655137</v>
      </c>
      <c r="AF335" s="40">
        <f t="shared" si="321"/>
        <v>7271.140075887819</v>
      </c>
      <c r="AG335" s="40">
        <f t="shared" si="321"/>
        <v>7260.5810223811786</v>
      </c>
      <c r="AH335" s="40">
        <f t="shared" si="321"/>
        <v>7271.7932132181268</v>
      </c>
      <c r="AI335" s="40">
        <f t="shared" si="321"/>
        <v>7435.9759579023093</v>
      </c>
      <c r="AJ335" s="40">
        <f t="shared" si="321"/>
        <v>7590.2388380699294</v>
      </c>
      <c r="AK335" s="40">
        <f t="shared" si="321"/>
        <v>7747.5869758409017</v>
      </c>
      <c r="AL335" s="40">
        <f t="shared" si="321"/>
        <v>7908.0820763672918</v>
      </c>
      <c r="AM335" s="40">
        <f t="shared" si="321"/>
        <v>8071.787078904209</v>
      </c>
      <c r="AN335" s="40">
        <f t="shared" si="321"/>
        <v>8238.7661814918683</v>
      </c>
      <c r="AO335" s="40">
        <f t="shared" si="321"/>
        <v>8409.0848661312793</v>
      </c>
      <c r="AP335" s="40">
        <f t="shared" si="321"/>
        <v>8582.8099244634777</v>
      </c>
      <c r="AQ335" s="40">
        <f t="shared" si="321"/>
        <v>8760.0094839623234</v>
      </c>
      <c r="AR335" s="40">
        <f t="shared" si="321"/>
        <v>8940.753034651143</v>
      </c>
      <c r="AS335" s="40">
        <f t="shared" si="321"/>
        <v>9125.1114563537376</v>
      </c>
    </row>
    <row r="336" spans="1:45" ht="15" customHeight="1" x14ac:dyDescent="0.3">
      <c r="A336" s="123"/>
      <c r="B336" s="123"/>
      <c r="C336" s="124"/>
      <c r="D336" s="109"/>
      <c r="E336" s="109" t="s">
        <v>1057</v>
      </c>
      <c r="F336" s="109"/>
      <c r="G336" s="109" t="s">
        <v>346</v>
      </c>
      <c r="H336" s="125"/>
      <c r="I336" s="125">
        <f>SUM(K336:AS336)</f>
        <v>0</v>
      </c>
      <c r="J336" s="138"/>
      <c r="K336" s="109">
        <f>K334 * K335 * 10^-3</f>
        <v>0</v>
      </c>
      <c r="L336" s="109">
        <f t="shared" ref="L336:AS336" si="322">L334 * L335 * 10^-3</f>
        <v>0</v>
      </c>
      <c r="M336" s="109">
        <f t="shared" si="322"/>
        <v>0</v>
      </c>
      <c r="N336" s="109">
        <f t="shared" si="322"/>
        <v>0</v>
      </c>
      <c r="O336" s="109">
        <f t="shared" si="322"/>
        <v>0</v>
      </c>
      <c r="P336" s="109">
        <f t="shared" si="322"/>
        <v>0</v>
      </c>
      <c r="Q336" s="109">
        <f t="shared" si="322"/>
        <v>0</v>
      </c>
      <c r="R336" s="109">
        <f t="shared" si="322"/>
        <v>0</v>
      </c>
      <c r="S336" s="109">
        <f t="shared" si="322"/>
        <v>0</v>
      </c>
      <c r="T336" s="109">
        <f t="shared" si="322"/>
        <v>0</v>
      </c>
      <c r="U336" s="109">
        <f t="shared" si="322"/>
        <v>0</v>
      </c>
      <c r="V336" s="109">
        <f t="shared" si="322"/>
        <v>0</v>
      </c>
      <c r="W336" s="109">
        <f t="shared" si="322"/>
        <v>0</v>
      </c>
      <c r="X336" s="109">
        <f t="shared" si="322"/>
        <v>0</v>
      </c>
      <c r="Y336" s="109">
        <f t="shared" si="322"/>
        <v>0</v>
      </c>
      <c r="Z336" s="109">
        <f t="shared" si="322"/>
        <v>0</v>
      </c>
      <c r="AA336" s="109">
        <f t="shared" si="322"/>
        <v>0</v>
      </c>
      <c r="AB336" s="109">
        <f t="shared" si="322"/>
        <v>0</v>
      </c>
      <c r="AC336" s="109">
        <f t="shared" si="322"/>
        <v>0</v>
      </c>
      <c r="AD336" s="109">
        <f t="shared" si="322"/>
        <v>0</v>
      </c>
      <c r="AE336" s="109">
        <f t="shared" si="322"/>
        <v>0</v>
      </c>
      <c r="AF336" s="109">
        <f t="shared" si="322"/>
        <v>0</v>
      </c>
      <c r="AG336" s="109">
        <f t="shared" si="322"/>
        <v>0</v>
      </c>
      <c r="AH336" s="109">
        <f t="shared" si="322"/>
        <v>0</v>
      </c>
      <c r="AI336" s="109">
        <f t="shared" si="322"/>
        <v>0</v>
      </c>
      <c r="AJ336" s="109">
        <f t="shared" si="322"/>
        <v>0</v>
      </c>
      <c r="AK336" s="109">
        <f t="shared" si="322"/>
        <v>0</v>
      </c>
      <c r="AL336" s="109">
        <f t="shared" si="322"/>
        <v>0</v>
      </c>
      <c r="AM336" s="109">
        <f t="shared" si="322"/>
        <v>0</v>
      </c>
      <c r="AN336" s="109">
        <f t="shared" si="322"/>
        <v>0</v>
      </c>
      <c r="AO336" s="109">
        <f t="shared" si="322"/>
        <v>0</v>
      </c>
      <c r="AP336" s="109">
        <f t="shared" si="322"/>
        <v>0</v>
      </c>
      <c r="AQ336" s="109">
        <f t="shared" si="322"/>
        <v>0</v>
      </c>
      <c r="AR336" s="109">
        <f t="shared" si="322"/>
        <v>0</v>
      </c>
      <c r="AS336" s="109">
        <f t="shared" si="322"/>
        <v>0</v>
      </c>
    </row>
    <row r="337" spans="1:45" ht="15" customHeight="1" x14ac:dyDescent="0.3">
      <c r="I337" s="116"/>
      <c r="AL337" s="42"/>
      <c r="AM337" s="42"/>
      <c r="AN337" s="42"/>
      <c r="AO337" s="42"/>
      <c r="AP337" s="42"/>
      <c r="AQ337" s="42"/>
      <c r="AR337" s="42"/>
      <c r="AS337" s="42"/>
    </row>
    <row r="338" spans="1:45" ht="15" customHeight="1" x14ac:dyDescent="0.3">
      <c r="C338" s="113" t="s">
        <v>42</v>
      </c>
      <c r="I338" s="116"/>
      <c r="AL338" s="42"/>
      <c r="AM338" s="42"/>
      <c r="AN338" s="42"/>
      <c r="AO338" s="42"/>
      <c r="AP338" s="42"/>
      <c r="AQ338" s="42"/>
      <c r="AR338" s="42"/>
      <c r="AS338" s="42"/>
    </row>
    <row r="339" spans="1:45" ht="15" customHeight="1" x14ac:dyDescent="0.3">
      <c r="E339" s="40" t="str">
        <f t="shared" ref="E339:AS339" si="323" xml:space="preserve"> E$336</f>
        <v>Other copper revenue: Original</v>
      </c>
      <c r="F339" s="40">
        <f t="shared" si="323"/>
        <v>0</v>
      </c>
      <c r="G339" s="40" t="str">
        <f t="shared" si="323"/>
        <v>$ mn</v>
      </c>
      <c r="H339" s="40">
        <f t="shared" si="323"/>
        <v>0</v>
      </c>
      <c r="I339" s="40">
        <f t="shared" si="323"/>
        <v>0</v>
      </c>
      <c r="J339" s="40">
        <f t="shared" si="323"/>
        <v>0</v>
      </c>
      <c r="K339" s="40">
        <f t="shared" si="323"/>
        <v>0</v>
      </c>
      <c r="L339" s="40">
        <f t="shared" si="323"/>
        <v>0</v>
      </c>
      <c r="M339" s="40">
        <f t="shared" si="323"/>
        <v>0</v>
      </c>
      <c r="N339" s="40">
        <f t="shared" si="323"/>
        <v>0</v>
      </c>
      <c r="O339" s="40">
        <f t="shared" si="323"/>
        <v>0</v>
      </c>
      <c r="P339" s="40">
        <f t="shared" si="323"/>
        <v>0</v>
      </c>
      <c r="Q339" s="40">
        <f t="shared" si="323"/>
        <v>0</v>
      </c>
      <c r="R339" s="40">
        <f t="shared" si="323"/>
        <v>0</v>
      </c>
      <c r="S339" s="40">
        <f t="shared" si="323"/>
        <v>0</v>
      </c>
      <c r="T339" s="40">
        <f t="shared" si="323"/>
        <v>0</v>
      </c>
      <c r="U339" s="40">
        <f t="shared" si="323"/>
        <v>0</v>
      </c>
      <c r="V339" s="40">
        <f t="shared" si="323"/>
        <v>0</v>
      </c>
      <c r="W339" s="40">
        <f t="shared" si="323"/>
        <v>0</v>
      </c>
      <c r="X339" s="40">
        <f t="shared" si="323"/>
        <v>0</v>
      </c>
      <c r="Y339" s="40">
        <f t="shared" si="323"/>
        <v>0</v>
      </c>
      <c r="Z339" s="40">
        <f t="shared" si="323"/>
        <v>0</v>
      </c>
      <c r="AA339" s="40">
        <f t="shared" si="323"/>
        <v>0</v>
      </c>
      <c r="AB339" s="40">
        <f t="shared" si="323"/>
        <v>0</v>
      </c>
      <c r="AC339" s="40">
        <f t="shared" si="323"/>
        <v>0</v>
      </c>
      <c r="AD339" s="40">
        <f t="shared" si="323"/>
        <v>0</v>
      </c>
      <c r="AE339" s="40">
        <f t="shared" si="323"/>
        <v>0</v>
      </c>
      <c r="AF339" s="40">
        <f t="shared" si="323"/>
        <v>0</v>
      </c>
      <c r="AG339" s="40">
        <f t="shared" si="323"/>
        <v>0</v>
      </c>
      <c r="AH339" s="40">
        <f t="shared" si="323"/>
        <v>0</v>
      </c>
      <c r="AI339" s="40">
        <f t="shared" si="323"/>
        <v>0</v>
      </c>
      <c r="AJ339" s="40">
        <f t="shared" si="323"/>
        <v>0</v>
      </c>
      <c r="AK339" s="40">
        <f t="shared" si="323"/>
        <v>0</v>
      </c>
      <c r="AL339" s="40">
        <f t="shared" si="323"/>
        <v>0</v>
      </c>
      <c r="AM339" s="40">
        <f t="shared" si="323"/>
        <v>0</v>
      </c>
      <c r="AN339" s="40">
        <f t="shared" si="323"/>
        <v>0</v>
      </c>
      <c r="AO339" s="40">
        <f t="shared" si="323"/>
        <v>0</v>
      </c>
      <c r="AP339" s="40">
        <f t="shared" si="323"/>
        <v>0</v>
      </c>
      <c r="AQ339" s="40">
        <f t="shared" si="323"/>
        <v>0</v>
      </c>
      <c r="AR339" s="40">
        <f t="shared" si="323"/>
        <v>0</v>
      </c>
      <c r="AS339" s="40">
        <f t="shared" si="323"/>
        <v>0</v>
      </c>
    </row>
    <row r="340" spans="1:45" ht="15" customHeight="1" x14ac:dyDescent="0.3">
      <c r="E340" s="40" t="str">
        <f t="shared" ref="E340:AS340" si="324" xml:space="preserve"> E$331</f>
        <v>Copper cathode  revenue: Original</v>
      </c>
      <c r="F340" s="40">
        <f t="shared" si="324"/>
        <v>0</v>
      </c>
      <c r="G340" s="40" t="str">
        <f t="shared" si="324"/>
        <v>$ mn</v>
      </c>
      <c r="H340" s="40">
        <f t="shared" si="324"/>
        <v>0</v>
      </c>
      <c r="I340" s="40">
        <f t="shared" si="324"/>
        <v>0</v>
      </c>
      <c r="J340" s="40">
        <f t="shared" si="324"/>
        <v>0</v>
      </c>
      <c r="K340" s="40">
        <f t="shared" si="324"/>
        <v>0</v>
      </c>
      <c r="L340" s="40">
        <f t="shared" si="324"/>
        <v>0</v>
      </c>
      <c r="M340" s="40">
        <f t="shared" si="324"/>
        <v>0</v>
      </c>
      <c r="N340" s="40">
        <f t="shared" si="324"/>
        <v>0</v>
      </c>
      <c r="O340" s="40">
        <f t="shared" si="324"/>
        <v>0</v>
      </c>
      <c r="P340" s="40">
        <f t="shared" si="324"/>
        <v>0</v>
      </c>
      <c r="Q340" s="40">
        <f t="shared" si="324"/>
        <v>0</v>
      </c>
      <c r="R340" s="40">
        <f t="shared" si="324"/>
        <v>0</v>
      </c>
      <c r="S340" s="40">
        <f t="shared" si="324"/>
        <v>0</v>
      </c>
      <c r="T340" s="40">
        <f t="shared" si="324"/>
        <v>0</v>
      </c>
      <c r="U340" s="40">
        <f t="shared" si="324"/>
        <v>0</v>
      </c>
      <c r="V340" s="40">
        <f t="shared" si="324"/>
        <v>0</v>
      </c>
      <c r="W340" s="40">
        <f t="shared" si="324"/>
        <v>0</v>
      </c>
      <c r="X340" s="40">
        <f t="shared" si="324"/>
        <v>0</v>
      </c>
      <c r="Y340" s="40">
        <f t="shared" si="324"/>
        <v>0</v>
      </c>
      <c r="Z340" s="40">
        <f t="shared" si="324"/>
        <v>0</v>
      </c>
      <c r="AA340" s="40">
        <f t="shared" si="324"/>
        <v>0</v>
      </c>
      <c r="AB340" s="40">
        <f t="shared" si="324"/>
        <v>0</v>
      </c>
      <c r="AC340" s="40">
        <f t="shared" si="324"/>
        <v>0</v>
      </c>
      <c r="AD340" s="40">
        <f t="shared" si="324"/>
        <v>0</v>
      </c>
      <c r="AE340" s="40">
        <f t="shared" si="324"/>
        <v>0</v>
      </c>
      <c r="AF340" s="40">
        <f t="shared" si="324"/>
        <v>0</v>
      </c>
      <c r="AG340" s="40">
        <f t="shared" si="324"/>
        <v>0</v>
      </c>
      <c r="AH340" s="40">
        <f t="shared" si="324"/>
        <v>0</v>
      </c>
      <c r="AI340" s="40">
        <f t="shared" si="324"/>
        <v>0</v>
      </c>
      <c r="AJ340" s="40">
        <f t="shared" si="324"/>
        <v>0</v>
      </c>
      <c r="AK340" s="40">
        <f t="shared" si="324"/>
        <v>0</v>
      </c>
      <c r="AL340" s="40">
        <f t="shared" si="324"/>
        <v>0</v>
      </c>
      <c r="AM340" s="40">
        <f t="shared" si="324"/>
        <v>0</v>
      </c>
      <c r="AN340" s="40">
        <f t="shared" si="324"/>
        <v>0</v>
      </c>
      <c r="AO340" s="40">
        <f t="shared" si="324"/>
        <v>0</v>
      </c>
      <c r="AP340" s="40">
        <f t="shared" si="324"/>
        <v>0</v>
      </c>
      <c r="AQ340" s="40">
        <f t="shared" si="324"/>
        <v>0</v>
      </c>
      <c r="AR340" s="40">
        <f t="shared" si="324"/>
        <v>0</v>
      </c>
      <c r="AS340" s="40">
        <f t="shared" si="324"/>
        <v>0</v>
      </c>
    </row>
    <row r="341" spans="1:45" ht="15" customHeight="1" x14ac:dyDescent="0.3">
      <c r="A341" s="123"/>
      <c r="B341" s="123"/>
      <c r="C341" s="124"/>
      <c r="D341" s="109"/>
      <c r="E341" s="109" t="s">
        <v>1051</v>
      </c>
      <c r="F341" s="109"/>
      <c r="G341" s="109" t="s">
        <v>346</v>
      </c>
      <c r="H341" s="125"/>
      <c r="I341" s="125">
        <f>SUM(K341:AS341)</f>
        <v>0</v>
      </c>
      <c r="J341" s="138"/>
      <c r="K341" s="109">
        <f t="shared" ref="K341:AS341" si="325">SUM(K339:K340)</f>
        <v>0</v>
      </c>
      <c r="L341" s="109">
        <f t="shared" si="325"/>
        <v>0</v>
      </c>
      <c r="M341" s="109">
        <f t="shared" si="325"/>
        <v>0</v>
      </c>
      <c r="N341" s="109">
        <f t="shared" si="325"/>
        <v>0</v>
      </c>
      <c r="O341" s="109">
        <f t="shared" si="325"/>
        <v>0</v>
      </c>
      <c r="P341" s="109">
        <f t="shared" si="325"/>
        <v>0</v>
      </c>
      <c r="Q341" s="109">
        <f t="shared" si="325"/>
        <v>0</v>
      </c>
      <c r="R341" s="109">
        <f t="shared" si="325"/>
        <v>0</v>
      </c>
      <c r="S341" s="109">
        <f t="shared" si="325"/>
        <v>0</v>
      </c>
      <c r="T341" s="109">
        <f t="shared" si="325"/>
        <v>0</v>
      </c>
      <c r="U341" s="109">
        <f t="shared" si="325"/>
        <v>0</v>
      </c>
      <c r="V341" s="109">
        <f t="shared" si="325"/>
        <v>0</v>
      </c>
      <c r="W341" s="109">
        <f t="shared" si="325"/>
        <v>0</v>
      </c>
      <c r="X341" s="109">
        <f t="shared" si="325"/>
        <v>0</v>
      </c>
      <c r="Y341" s="109">
        <f t="shared" si="325"/>
        <v>0</v>
      </c>
      <c r="Z341" s="109">
        <f t="shared" si="325"/>
        <v>0</v>
      </c>
      <c r="AA341" s="109">
        <f t="shared" si="325"/>
        <v>0</v>
      </c>
      <c r="AB341" s="109">
        <f t="shared" si="325"/>
        <v>0</v>
      </c>
      <c r="AC341" s="109">
        <f t="shared" si="325"/>
        <v>0</v>
      </c>
      <c r="AD341" s="109">
        <f t="shared" si="325"/>
        <v>0</v>
      </c>
      <c r="AE341" s="109">
        <f t="shared" si="325"/>
        <v>0</v>
      </c>
      <c r="AF341" s="109">
        <f t="shared" si="325"/>
        <v>0</v>
      </c>
      <c r="AG341" s="109">
        <f t="shared" si="325"/>
        <v>0</v>
      </c>
      <c r="AH341" s="109">
        <f t="shared" si="325"/>
        <v>0</v>
      </c>
      <c r="AI341" s="109">
        <f t="shared" si="325"/>
        <v>0</v>
      </c>
      <c r="AJ341" s="109">
        <f t="shared" si="325"/>
        <v>0</v>
      </c>
      <c r="AK341" s="109">
        <f t="shared" si="325"/>
        <v>0</v>
      </c>
      <c r="AL341" s="109">
        <f t="shared" si="325"/>
        <v>0</v>
      </c>
      <c r="AM341" s="109">
        <f t="shared" si="325"/>
        <v>0</v>
      </c>
      <c r="AN341" s="109">
        <f t="shared" si="325"/>
        <v>0</v>
      </c>
      <c r="AO341" s="109">
        <f t="shared" si="325"/>
        <v>0</v>
      </c>
      <c r="AP341" s="109">
        <f t="shared" si="325"/>
        <v>0</v>
      </c>
      <c r="AQ341" s="109">
        <f t="shared" si="325"/>
        <v>0</v>
      </c>
      <c r="AR341" s="109">
        <f t="shared" si="325"/>
        <v>0</v>
      </c>
      <c r="AS341" s="109">
        <f t="shared" si="325"/>
        <v>0</v>
      </c>
    </row>
    <row r="342" spans="1:45" ht="15" customHeight="1" x14ac:dyDescent="0.3">
      <c r="A342" s="129"/>
      <c r="B342" s="129"/>
      <c r="C342" s="130"/>
      <c r="D342" s="106"/>
      <c r="E342" s="106"/>
      <c r="F342" s="106"/>
      <c r="G342" s="106"/>
      <c r="H342" s="131"/>
      <c r="I342" s="131"/>
      <c r="J342" s="128"/>
      <c r="K342" s="106"/>
      <c r="L342" s="106"/>
      <c r="M342" s="106"/>
      <c r="N342" s="106"/>
      <c r="O342" s="106"/>
      <c r="P342" s="106"/>
      <c r="Q342" s="106"/>
      <c r="R342" s="106"/>
      <c r="S342" s="106"/>
      <c r="T342" s="106"/>
      <c r="U342" s="106"/>
      <c r="V342" s="106"/>
      <c r="W342" s="106"/>
      <c r="X342" s="106"/>
      <c r="Y342" s="106"/>
      <c r="Z342" s="106"/>
      <c r="AA342" s="106"/>
      <c r="AB342" s="106"/>
      <c r="AC342" s="106"/>
      <c r="AD342" s="106"/>
      <c r="AE342" s="106"/>
      <c r="AF342" s="106"/>
      <c r="AG342" s="106"/>
      <c r="AH342" s="106"/>
      <c r="AI342" s="106"/>
      <c r="AJ342" s="106"/>
      <c r="AK342" s="106"/>
      <c r="AL342" s="106"/>
      <c r="AM342" s="106"/>
      <c r="AN342" s="106"/>
      <c r="AO342" s="106"/>
      <c r="AP342" s="106"/>
      <c r="AQ342" s="106"/>
      <c r="AR342" s="106"/>
      <c r="AS342" s="106"/>
    </row>
    <row r="343" spans="1:45" ht="15" customHeight="1" x14ac:dyDescent="0.3">
      <c r="A343" s="129"/>
      <c r="B343" s="129" t="s">
        <v>554</v>
      </c>
      <c r="D343" s="106"/>
      <c r="E343" s="106"/>
      <c r="F343" s="106"/>
      <c r="G343" s="106"/>
      <c r="H343" s="131"/>
      <c r="I343" s="131"/>
      <c r="J343" s="128"/>
      <c r="K343" s="106"/>
      <c r="L343" s="106"/>
      <c r="M343" s="106"/>
      <c r="N343" s="106"/>
      <c r="O343" s="106"/>
      <c r="P343" s="106"/>
      <c r="Q343" s="106"/>
      <c r="R343" s="106"/>
      <c r="S343" s="106"/>
      <c r="T343" s="106"/>
      <c r="U343" s="106"/>
      <c r="V343" s="106"/>
      <c r="W343" s="106"/>
      <c r="X343" s="106"/>
      <c r="Y343" s="106"/>
      <c r="Z343" s="106"/>
      <c r="AA343" s="40"/>
      <c r="AC343" s="106"/>
      <c r="AD343" s="106"/>
      <c r="AE343" s="106"/>
      <c r="AF343" s="106"/>
      <c r="AG343" s="106"/>
      <c r="AH343" s="106"/>
      <c r="AI343" s="106"/>
      <c r="AJ343" s="106"/>
      <c r="AK343" s="106"/>
      <c r="AL343" s="106"/>
      <c r="AM343" s="106"/>
      <c r="AN343" s="106"/>
      <c r="AO343" s="106"/>
      <c r="AP343" s="106"/>
      <c r="AQ343" s="106"/>
      <c r="AR343" s="106"/>
      <c r="AS343" s="106"/>
    </row>
    <row r="344" spans="1:45" ht="15" customHeight="1" x14ac:dyDescent="0.3">
      <c r="A344" s="1"/>
      <c r="E344" s="169" t="str">
        <f xml:space="preserve"> E$87</f>
        <v>Copper cathode: FS (updated) incl Sens.</v>
      </c>
      <c r="F344" s="169" t="str">
        <f t="shared" ref="F344:AS344" si="326" xml:space="preserve"> F$87</f>
        <v>FS</v>
      </c>
      <c r="G344" s="169" t="str">
        <f t="shared" si="326"/>
        <v>KT Cu</v>
      </c>
      <c r="H344" s="169">
        <f t="shared" si="326"/>
        <v>0</v>
      </c>
      <c r="I344" s="169">
        <f t="shared" si="326"/>
        <v>921.6400000000001</v>
      </c>
      <c r="J344" s="169">
        <f t="shared" si="326"/>
        <v>0</v>
      </c>
      <c r="K344" s="169">
        <f t="shared" si="326"/>
        <v>0</v>
      </c>
      <c r="L344" s="169">
        <f t="shared" si="326"/>
        <v>0</v>
      </c>
      <c r="M344" s="169">
        <f t="shared" si="326"/>
        <v>0</v>
      </c>
      <c r="N344" s="169">
        <f t="shared" si="326"/>
        <v>0</v>
      </c>
      <c r="O344" s="169">
        <f t="shared" si="326"/>
        <v>0</v>
      </c>
      <c r="P344" s="169">
        <f t="shared" si="326"/>
        <v>0</v>
      </c>
      <c r="Q344" s="169">
        <f t="shared" si="326"/>
        <v>0</v>
      </c>
      <c r="R344" s="169">
        <f t="shared" si="326"/>
        <v>0</v>
      </c>
      <c r="S344" s="169">
        <f t="shared" si="326"/>
        <v>0</v>
      </c>
      <c r="T344" s="169">
        <f t="shared" si="326"/>
        <v>0</v>
      </c>
      <c r="U344" s="169">
        <f t="shared" si="326"/>
        <v>0</v>
      </c>
      <c r="V344" s="169">
        <f t="shared" si="326"/>
        <v>0</v>
      </c>
      <c r="W344" s="169">
        <f t="shared" si="326"/>
        <v>0</v>
      </c>
      <c r="X344" s="169">
        <f t="shared" si="326"/>
        <v>26.145</v>
      </c>
      <c r="Y344" s="169">
        <f t="shared" si="326"/>
        <v>57.39</v>
      </c>
      <c r="Z344" s="169">
        <f t="shared" si="326"/>
        <v>59.899000000000001</v>
      </c>
      <c r="AA344" s="169">
        <f t="shared" si="326"/>
        <v>73.852000000000004</v>
      </c>
      <c r="AB344" s="169">
        <f t="shared" si="326"/>
        <v>72.921000000000006</v>
      </c>
      <c r="AC344" s="169">
        <f t="shared" si="326"/>
        <v>51.914000000000001</v>
      </c>
      <c r="AD344" s="169">
        <f t="shared" si="326"/>
        <v>82.653999999999996</v>
      </c>
      <c r="AE344" s="169">
        <f t="shared" si="326"/>
        <v>82.653999999999996</v>
      </c>
      <c r="AF344" s="169">
        <f t="shared" si="326"/>
        <v>82.653999999999996</v>
      </c>
      <c r="AG344" s="169">
        <f t="shared" si="326"/>
        <v>82.653999999999996</v>
      </c>
      <c r="AH344" s="169">
        <f t="shared" si="326"/>
        <v>82.653999999999996</v>
      </c>
      <c r="AI344" s="169">
        <f t="shared" si="326"/>
        <v>68.878</v>
      </c>
      <c r="AJ344" s="169">
        <f t="shared" si="326"/>
        <v>68.878</v>
      </c>
      <c r="AK344" s="169">
        <f t="shared" si="326"/>
        <v>28.493000000000002</v>
      </c>
      <c r="AL344" s="169">
        <f t="shared" si="326"/>
        <v>0</v>
      </c>
      <c r="AM344" s="169">
        <f t="shared" si="326"/>
        <v>0</v>
      </c>
      <c r="AN344" s="169">
        <f t="shared" si="326"/>
        <v>0</v>
      </c>
      <c r="AO344" s="169">
        <f t="shared" si="326"/>
        <v>0</v>
      </c>
      <c r="AP344" s="169">
        <f t="shared" si="326"/>
        <v>0</v>
      </c>
      <c r="AQ344" s="169">
        <f t="shared" si="326"/>
        <v>0</v>
      </c>
      <c r="AR344" s="169">
        <f t="shared" si="326"/>
        <v>0</v>
      </c>
      <c r="AS344" s="169">
        <f t="shared" si="326"/>
        <v>0</v>
      </c>
    </row>
    <row r="345" spans="1:45" ht="15" customHeight="1" x14ac:dyDescent="0.3">
      <c r="A345" s="1"/>
      <c r="E345" s="40" t="str">
        <f xml:space="preserve"> E$236</f>
        <v>Copper cathode price</v>
      </c>
      <c r="F345" s="40">
        <f t="shared" ref="F345:O345" si="327" xml:space="preserve"> F$236</f>
        <v>0</v>
      </c>
      <c r="G345" s="40" t="str">
        <f t="shared" si="327"/>
        <v>$ / tonne</v>
      </c>
      <c r="H345" s="40">
        <f t="shared" si="327"/>
        <v>0</v>
      </c>
      <c r="I345" s="40">
        <f t="shared" si="327"/>
        <v>0</v>
      </c>
      <c r="J345" s="40">
        <f t="shared" si="327"/>
        <v>0</v>
      </c>
      <c r="K345" s="40">
        <f t="shared" si="327"/>
        <v>0</v>
      </c>
      <c r="L345" s="40">
        <f t="shared" si="327"/>
        <v>0</v>
      </c>
      <c r="M345" s="40">
        <f t="shared" si="327"/>
        <v>0</v>
      </c>
      <c r="N345" s="40">
        <f t="shared" si="327"/>
        <v>0</v>
      </c>
      <c r="O345" s="40">
        <f t="shared" si="327"/>
        <v>0</v>
      </c>
      <c r="P345" s="40">
        <f t="shared" ref="P345:AS345" si="328" xml:space="preserve"> P$236</f>
        <v>0</v>
      </c>
      <c r="Q345" s="40">
        <f t="shared" si="328"/>
        <v>0</v>
      </c>
      <c r="R345" s="40">
        <f t="shared" si="328"/>
        <v>0</v>
      </c>
      <c r="S345" s="40">
        <f t="shared" si="328"/>
        <v>0</v>
      </c>
      <c r="T345" s="40">
        <f t="shared" si="328"/>
        <v>0</v>
      </c>
      <c r="U345" s="40">
        <f t="shared" si="328"/>
        <v>0</v>
      </c>
      <c r="V345" s="40">
        <f t="shared" si="328"/>
        <v>0</v>
      </c>
      <c r="W345" s="40">
        <f t="shared" si="328"/>
        <v>0</v>
      </c>
      <c r="X345" s="40">
        <f t="shared" si="328"/>
        <v>5535</v>
      </c>
      <c r="Y345" s="40">
        <f t="shared" si="328"/>
        <v>5998</v>
      </c>
      <c r="Z345" s="40">
        <f t="shared" si="328"/>
        <v>8360</v>
      </c>
      <c r="AA345" s="40">
        <f t="shared" si="328"/>
        <v>6819</v>
      </c>
      <c r="AB345" s="40">
        <f t="shared" si="328"/>
        <v>8139.798952000001</v>
      </c>
      <c r="AC345" s="40">
        <f t="shared" si="328"/>
        <v>8199.5201080000006</v>
      </c>
      <c r="AD345" s="40">
        <f t="shared" si="328"/>
        <v>8309.5840840000001</v>
      </c>
      <c r="AE345" s="40">
        <f t="shared" si="328"/>
        <v>8324.586831999999</v>
      </c>
      <c r="AF345" s="40">
        <f t="shared" si="328"/>
        <v>8316.0789999999997</v>
      </c>
      <c r="AG345" s="40">
        <f t="shared" si="328"/>
        <v>8304.0025000000005</v>
      </c>
      <c r="AH345" s="40">
        <f t="shared" si="328"/>
        <v>8316.8259999999991</v>
      </c>
      <c r="AI345" s="40">
        <f t="shared" si="328"/>
        <v>8504.6035233292805</v>
      </c>
      <c r="AJ345" s="40">
        <f t="shared" si="328"/>
        <v>8681.0355937958666</v>
      </c>
      <c r="AK345" s="40">
        <f t="shared" si="328"/>
        <v>8860.9963056717843</v>
      </c>
      <c r="AL345" s="40">
        <f t="shared" si="328"/>
        <v>9044.55623178522</v>
      </c>
      <c r="AM345" s="40">
        <f t="shared" si="328"/>
        <v>9231.7873564209222</v>
      </c>
      <c r="AN345" s="40">
        <f t="shared" si="328"/>
        <v>9422.7631035493432</v>
      </c>
      <c r="AO345" s="40">
        <f t="shared" si="328"/>
        <v>9617.5583656203307</v>
      </c>
      <c r="AP345" s="40">
        <f t="shared" si="328"/>
        <v>9816.2495329327376</v>
      </c>
      <c r="AQ345" s="40">
        <f t="shared" si="328"/>
        <v>10018.914523591395</v>
      </c>
      <c r="AR345" s="40">
        <f t="shared" si="328"/>
        <v>10225.632814063223</v>
      </c>
      <c r="AS345" s="40">
        <f t="shared" si="328"/>
        <v>10436.485470344485</v>
      </c>
    </row>
    <row r="346" spans="1:45" ht="15" customHeight="1" x14ac:dyDescent="0.3">
      <c r="A346" s="139"/>
      <c r="B346" s="180"/>
      <c r="C346" s="181"/>
      <c r="D346" s="36"/>
      <c r="E346" s="293" t="s">
        <v>420</v>
      </c>
      <c r="F346" s="293"/>
      <c r="G346" s="293" t="s">
        <v>346</v>
      </c>
      <c r="H346" s="293"/>
      <c r="I346" s="293">
        <f>SUM(K346:AS346)</f>
        <v>7384.727123508419</v>
      </c>
      <c r="J346" s="293"/>
      <c r="K346" s="293">
        <f>K344 * K345 * 10^-3</f>
        <v>0</v>
      </c>
      <c r="L346" s="293">
        <f t="shared" ref="L346:AS346" si="329">L344 * L345 * 10^-3</f>
        <v>0</v>
      </c>
      <c r="M346" s="293">
        <f t="shared" si="329"/>
        <v>0</v>
      </c>
      <c r="N346" s="293">
        <f t="shared" si="329"/>
        <v>0</v>
      </c>
      <c r="O346" s="293">
        <f t="shared" si="329"/>
        <v>0</v>
      </c>
      <c r="P346" s="293">
        <f t="shared" si="329"/>
        <v>0</v>
      </c>
      <c r="Q346" s="293">
        <f t="shared" si="329"/>
        <v>0</v>
      </c>
      <c r="R346" s="293">
        <f t="shared" si="329"/>
        <v>0</v>
      </c>
      <c r="S346" s="293">
        <f t="shared" si="329"/>
        <v>0</v>
      </c>
      <c r="T346" s="293">
        <f t="shared" si="329"/>
        <v>0</v>
      </c>
      <c r="U346" s="293">
        <f t="shared" si="329"/>
        <v>0</v>
      </c>
      <c r="V346" s="293">
        <f t="shared" si="329"/>
        <v>0</v>
      </c>
      <c r="W346" s="293">
        <f t="shared" si="329"/>
        <v>0</v>
      </c>
      <c r="X346" s="293">
        <f t="shared" si="329"/>
        <v>144.71257500000002</v>
      </c>
      <c r="Y346" s="293">
        <f t="shared" si="329"/>
        <v>344.22522000000004</v>
      </c>
      <c r="Z346" s="293">
        <f t="shared" si="329"/>
        <v>500.75564000000003</v>
      </c>
      <c r="AA346" s="293">
        <f t="shared" si="329"/>
        <v>503.596788</v>
      </c>
      <c r="AB346" s="293">
        <f t="shared" si="329"/>
        <v>593.56227937879214</v>
      </c>
      <c r="AC346" s="293">
        <f t="shared" si="329"/>
        <v>425.66988688671205</v>
      </c>
      <c r="AD346" s="293">
        <f t="shared" si="329"/>
        <v>686.82036287893595</v>
      </c>
      <c r="AE346" s="293">
        <f t="shared" si="329"/>
        <v>688.06040001212796</v>
      </c>
      <c r="AF346" s="293">
        <f t="shared" si="329"/>
        <v>687.35719366599994</v>
      </c>
      <c r="AG346" s="293">
        <f t="shared" si="329"/>
        <v>686.35902263500009</v>
      </c>
      <c r="AH346" s="293">
        <f t="shared" si="329"/>
        <v>687.41893620399992</v>
      </c>
      <c r="AI346" s="293">
        <f t="shared" si="329"/>
        <v>585.78008147987418</v>
      </c>
      <c r="AJ346" s="293">
        <f t="shared" si="329"/>
        <v>597.93236962947174</v>
      </c>
      <c r="AK346" s="293">
        <f t="shared" si="329"/>
        <v>252.47636773750617</v>
      </c>
      <c r="AL346" s="293">
        <f t="shared" si="329"/>
        <v>0</v>
      </c>
      <c r="AM346" s="293">
        <f t="shared" si="329"/>
        <v>0</v>
      </c>
      <c r="AN346" s="293">
        <f t="shared" si="329"/>
        <v>0</v>
      </c>
      <c r="AO346" s="293">
        <f t="shared" si="329"/>
        <v>0</v>
      </c>
      <c r="AP346" s="293">
        <f t="shared" si="329"/>
        <v>0</v>
      </c>
      <c r="AQ346" s="293">
        <f t="shared" si="329"/>
        <v>0</v>
      </c>
      <c r="AR346" s="293">
        <f t="shared" si="329"/>
        <v>0</v>
      </c>
      <c r="AS346" s="293">
        <f t="shared" si="329"/>
        <v>0</v>
      </c>
    </row>
    <row r="347" spans="1:45" ht="15" customHeight="1" x14ac:dyDescent="0.3">
      <c r="A347" s="1"/>
      <c r="E347" s="362"/>
      <c r="F347" s="362"/>
      <c r="G347" s="362"/>
      <c r="H347" s="362"/>
      <c r="I347" s="362"/>
      <c r="J347" s="362"/>
      <c r="K347" s="362"/>
      <c r="L347" s="362"/>
      <c r="M347" s="362"/>
      <c r="N347" s="362"/>
      <c r="O347" s="362"/>
      <c r="P347" s="362"/>
      <c r="Q347" s="362"/>
      <c r="R347" s="362"/>
      <c r="S347" s="362"/>
      <c r="T347" s="362"/>
      <c r="U347" s="362"/>
      <c r="V347" s="362"/>
      <c r="W347" s="362"/>
      <c r="X347" s="362"/>
      <c r="Y347" s="362"/>
      <c r="Z347" s="362"/>
      <c r="AA347" s="362"/>
      <c r="AB347" s="362"/>
      <c r="AC347" s="362"/>
      <c r="AD347" s="362"/>
      <c r="AE347" s="362"/>
      <c r="AF347" s="362"/>
      <c r="AG347" s="362"/>
      <c r="AH347" s="362"/>
      <c r="AI347" s="362"/>
      <c r="AJ347" s="362"/>
      <c r="AK347" s="362"/>
      <c r="AL347" s="362"/>
      <c r="AM347" s="362"/>
      <c r="AN347" s="362"/>
      <c r="AO347" s="362"/>
      <c r="AP347" s="362"/>
      <c r="AQ347" s="362"/>
      <c r="AR347" s="362"/>
      <c r="AS347" s="362"/>
    </row>
    <row r="348" spans="1:45" ht="15" customHeight="1" x14ac:dyDescent="0.3">
      <c r="A348" s="1"/>
      <c r="E348" s="169" t="str">
        <f xml:space="preserve"> E$88</f>
        <v>Blister copper incl Sens.</v>
      </c>
      <c r="F348" s="169" t="str">
        <f t="shared" ref="F348:AS348" si="330" xml:space="preserve"> F$88</f>
        <v>FS</v>
      </c>
      <c r="G348" s="169" t="str">
        <f t="shared" si="330"/>
        <v>KT Cu</v>
      </c>
      <c r="H348" s="169">
        <f t="shared" si="330"/>
        <v>0</v>
      </c>
      <c r="I348" s="169">
        <f t="shared" si="330"/>
        <v>364.52499999999998</v>
      </c>
      <c r="J348" s="169">
        <f t="shared" si="330"/>
        <v>0</v>
      </c>
      <c r="K348" s="169">
        <f t="shared" si="330"/>
        <v>0</v>
      </c>
      <c r="L348" s="169">
        <f t="shared" si="330"/>
        <v>0</v>
      </c>
      <c r="M348" s="169">
        <f t="shared" si="330"/>
        <v>0</v>
      </c>
      <c r="N348" s="169">
        <f t="shared" si="330"/>
        <v>0</v>
      </c>
      <c r="O348" s="169">
        <f t="shared" si="330"/>
        <v>0</v>
      </c>
      <c r="P348" s="169">
        <f t="shared" si="330"/>
        <v>0</v>
      </c>
      <c r="Q348" s="169">
        <f t="shared" si="330"/>
        <v>0</v>
      </c>
      <c r="R348" s="169">
        <f t="shared" si="330"/>
        <v>0</v>
      </c>
      <c r="S348" s="169">
        <f t="shared" si="330"/>
        <v>0</v>
      </c>
      <c r="T348" s="169">
        <f t="shared" si="330"/>
        <v>0</v>
      </c>
      <c r="U348" s="169">
        <f t="shared" si="330"/>
        <v>0</v>
      </c>
      <c r="V348" s="169">
        <f t="shared" si="330"/>
        <v>11.808</v>
      </c>
      <c r="W348" s="169">
        <f t="shared" si="330"/>
        <v>29.048000000000002</v>
      </c>
      <c r="X348" s="169">
        <f t="shared" si="330"/>
        <v>34.233000000000004</v>
      </c>
      <c r="Y348" s="169">
        <f t="shared" si="330"/>
        <v>32.411000000000001</v>
      </c>
      <c r="Z348" s="169">
        <f t="shared" si="330"/>
        <v>24.923999999999999</v>
      </c>
      <c r="AA348" s="169">
        <f t="shared" si="330"/>
        <v>22.433</v>
      </c>
      <c r="AB348" s="169">
        <f t="shared" si="330"/>
        <v>21.362000000000002</v>
      </c>
      <c r="AC348" s="169">
        <f t="shared" si="330"/>
        <v>23.504833333333334</v>
      </c>
      <c r="AD348" s="169">
        <f t="shared" si="330"/>
        <v>23.504833333333334</v>
      </c>
      <c r="AE348" s="169">
        <f t="shared" si="330"/>
        <v>23.504833333333334</v>
      </c>
      <c r="AF348" s="169">
        <f t="shared" si="330"/>
        <v>23.504833333333334</v>
      </c>
      <c r="AG348" s="169">
        <f t="shared" si="330"/>
        <v>23.504833333333334</v>
      </c>
      <c r="AH348" s="169">
        <f t="shared" si="330"/>
        <v>23.504833333333334</v>
      </c>
      <c r="AI348" s="169">
        <f t="shared" si="330"/>
        <v>19.587</v>
      </c>
      <c r="AJ348" s="169">
        <f t="shared" si="330"/>
        <v>19.587</v>
      </c>
      <c r="AK348" s="169">
        <f t="shared" si="330"/>
        <v>8.1029999999999998</v>
      </c>
      <c r="AL348" s="169">
        <f t="shared" si="330"/>
        <v>0</v>
      </c>
      <c r="AM348" s="169">
        <f t="shared" si="330"/>
        <v>0</v>
      </c>
      <c r="AN348" s="169">
        <f t="shared" si="330"/>
        <v>0</v>
      </c>
      <c r="AO348" s="169">
        <f t="shared" si="330"/>
        <v>0</v>
      </c>
      <c r="AP348" s="169">
        <f t="shared" si="330"/>
        <v>0</v>
      </c>
      <c r="AQ348" s="169">
        <f t="shared" si="330"/>
        <v>0</v>
      </c>
      <c r="AR348" s="169">
        <f t="shared" si="330"/>
        <v>0</v>
      </c>
      <c r="AS348" s="169">
        <f t="shared" si="330"/>
        <v>0</v>
      </c>
    </row>
    <row r="349" spans="1:45" ht="15" customHeight="1" x14ac:dyDescent="0.3">
      <c r="A349" s="1"/>
      <c r="E349" s="40" t="str">
        <f xml:space="preserve"> E$237</f>
        <v>Blister copper price</v>
      </c>
      <c r="F349" s="40">
        <f t="shared" ref="F349:O349" si="331" xml:space="preserve"> F$237</f>
        <v>0</v>
      </c>
      <c r="G349" s="40" t="str">
        <f t="shared" si="331"/>
        <v>$ / tonne</v>
      </c>
      <c r="H349" s="40">
        <f t="shared" si="331"/>
        <v>0</v>
      </c>
      <c r="I349" s="40">
        <f t="shared" si="331"/>
        <v>0</v>
      </c>
      <c r="J349" s="40">
        <f t="shared" si="331"/>
        <v>0</v>
      </c>
      <c r="K349" s="40">
        <f t="shared" si="331"/>
        <v>0</v>
      </c>
      <c r="L349" s="40">
        <f t="shared" si="331"/>
        <v>0</v>
      </c>
      <c r="M349" s="40">
        <f t="shared" si="331"/>
        <v>0</v>
      </c>
      <c r="N349" s="40">
        <f t="shared" si="331"/>
        <v>0</v>
      </c>
      <c r="O349" s="40">
        <f t="shared" si="331"/>
        <v>0</v>
      </c>
      <c r="P349" s="40">
        <f t="shared" ref="P349:AS349" si="332" xml:space="preserve"> P$237</f>
        <v>0</v>
      </c>
      <c r="Q349" s="40">
        <f t="shared" si="332"/>
        <v>0</v>
      </c>
      <c r="R349" s="40">
        <f t="shared" si="332"/>
        <v>0</v>
      </c>
      <c r="S349" s="40">
        <f t="shared" si="332"/>
        <v>0</v>
      </c>
      <c r="T349" s="40">
        <f t="shared" si="332"/>
        <v>0</v>
      </c>
      <c r="U349" s="40">
        <f t="shared" si="332"/>
        <v>0</v>
      </c>
      <c r="V349" s="40">
        <f t="shared" si="332"/>
        <v>5354</v>
      </c>
      <c r="W349" s="40">
        <f t="shared" si="332"/>
        <v>5991</v>
      </c>
      <c r="X349" s="40">
        <f t="shared" si="332"/>
        <v>5519</v>
      </c>
      <c r="Y349" s="40">
        <f t="shared" si="332"/>
        <v>5980</v>
      </c>
      <c r="Z349" s="40">
        <f t="shared" si="332"/>
        <v>8335</v>
      </c>
      <c r="AA349" s="40">
        <f t="shared" si="332"/>
        <v>6798</v>
      </c>
      <c r="AB349" s="40">
        <f t="shared" si="332"/>
        <v>8115.3795551440007</v>
      </c>
      <c r="AC349" s="40">
        <f t="shared" si="332"/>
        <v>8174.921547676001</v>
      </c>
      <c r="AD349" s="40">
        <f t="shared" si="332"/>
        <v>8284.6553317479993</v>
      </c>
      <c r="AE349" s="40">
        <f t="shared" si="332"/>
        <v>8299.6130715039999</v>
      </c>
      <c r="AF349" s="40">
        <f t="shared" si="332"/>
        <v>8291.1307629999992</v>
      </c>
      <c r="AG349" s="40">
        <f t="shared" si="332"/>
        <v>8279.0904925000013</v>
      </c>
      <c r="AH349" s="40">
        <f t="shared" si="332"/>
        <v>8291.8755219999985</v>
      </c>
      <c r="AI349" s="40">
        <f t="shared" si="332"/>
        <v>8479.0897127592925</v>
      </c>
      <c r="AJ349" s="40">
        <f t="shared" si="332"/>
        <v>8654.9924870144787</v>
      </c>
      <c r="AK349" s="40">
        <f t="shared" si="332"/>
        <v>8834.4133167547698</v>
      </c>
      <c r="AL349" s="40">
        <f t="shared" si="332"/>
        <v>9017.4225630898636</v>
      </c>
      <c r="AM349" s="40">
        <f t="shared" si="332"/>
        <v>9204.0919943516601</v>
      </c>
      <c r="AN349" s="40">
        <f t="shared" si="332"/>
        <v>9394.4948142386947</v>
      </c>
      <c r="AO349" s="40">
        <f t="shared" si="332"/>
        <v>9588.7056905234695</v>
      </c>
      <c r="AP349" s="40">
        <f t="shared" si="332"/>
        <v>9786.8007843339401</v>
      </c>
      <c r="AQ349" s="40">
        <f t="shared" si="332"/>
        <v>9988.8577800206203</v>
      </c>
      <c r="AR349" s="40">
        <f t="shared" si="332"/>
        <v>10194.955915621033</v>
      </c>
      <c r="AS349" s="40">
        <f t="shared" si="332"/>
        <v>10405.176013933451</v>
      </c>
    </row>
    <row r="350" spans="1:45" ht="15" customHeight="1" x14ac:dyDescent="0.3">
      <c r="A350" s="139"/>
      <c r="B350" s="180"/>
      <c r="C350" s="181"/>
      <c r="D350" s="36"/>
      <c r="E350" s="293" t="s">
        <v>421</v>
      </c>
      <c r="F350" s="293"/>
      <c r="G350" s="293" t="s">
        <v>346</v>
      </c>
      <c r="H350" s="293"/>
      <c r="I350" s="293">
        <f>SUM(K350:AS350)</f>
        <v>2727.1287125468639</v>
      </c>
      <c r="J350" s="293"/>
      <c r="K350" s="293">
        <f>K348 * K349 * 10^-3</f>
        <v>0</v>
      </c>
      <c r="L350" s="293">
        <f t="shared" ref="L350:AS350" si="333">L348 * L349 * 10^-3</f>
        <v>0</v>
      </c>
      <c r="M350" s="293">
        <f t="shared" si="333"/>
        <v>0</v>
      </c>
      <c r="N350" s="293">
        <f t="shared" si="333"/>
        <v>0</v>
      </c>
      <c r="O350" s="293">
        <f t="shared" si="333"/>
        <v>0</v>
      </c>
      <c r="P350" s="293">
        <f t="shared" si="333"/>
        <v>0</v>
      </c>
      <c r="Q350" s="293">
        <f t="shared" si="333"/>
        <v>0</v>
      </c>
      <c r="R350" s="293">
        <f t="shared" si="333"/>
        <v>0</v>
      </c>
      <c r="S350" s="293">
        <f t="shared" si="333"/>
        <v>0</v>
      </c>
      <c r="T350" s="293">
        <f t="shared" si="333"/>
        <v>0</v>
      </c>
      <c r="U350" s="293">
        <f t="shared" si="333"/>
        <v>0</v>
      </c>
      <c r="V350" s="293">
        <f t="shared" si="333"/>
        <v>63.220032000000003</v>
      </c>
      <c r="W350" s="293">
        <f t="shared" si="333"/>
        <v>174.026568</v>
      </c>
      <c r="X350" s="293">
        <f t="shared" si="333"/>
        <v>188.93192700000003</v>
      </c>
      <c r="Y350" s="293">
        <f t="shared" si="333"/>
        <v>193.81778</v>
      </c>
      <c r="Z350" s="293">
        <f t="shared" si="333"/>
        <v>207.74154000000001</v>
      </c>
      <c r="AA350" s="293">
        <f t="shared" si="333"/>
        <v>152.49953399999998</v>
      </c>
      <c r="AB350" s="293">
        <f t="shared" si="333"/>
        <v>173.36073805698615</v>
      </c>
      <c r="AC350" s="293">
        <f t="shared" si="333"/>
        <v>192.15016849119979</v>
      </c>
      <c r="AD350" s="293">
        <f t="shared" si="333"/>
        <v>194.7294427968481</v>
      </c>
      <c r="AE350" s="293">
        <f t="shared" si="333"/>
        <v>195.08102197685628</v>
      </c>
      <c r="AF350" s="293">
        <f t="shared" si="333"/>
        <v>194.88164672918782</v>
      </c>
      <c r="AG350" s="293">
        <f t="shared" si="333"/>
        <v>194.59864217779713</v>
      </c>
      <c r="AH350" s="293">
        <f t="shared" si="333"/>
        <v>194.8991521653563</v>
      </c>
      <c r="AI350" s="293">
        <f t="shared" si="333"/>
        <v>166.07993020381628</v>
      </c>
      <c r="AJ350" s="293">
        <f t="shared" si="333"/>
        <v>169.52533784315258</v>
      </c>
      <c r="AK350" s="293">
        <f t="shared" si="333"/>
        <v>71.585251105663886</v>
      </c>
      <c r="AL350" s="293">
        <f t="shared" si="333"/>
        <v>0</v>
      </c>
      <c r="AM350" s="293">
        <f t="shared" si="333"/>
        <v>0</v>
      </c>
      <c r="AN350" s="293">
        <f t="shared" si="333"/>
        <v>0</v>
      </c>
      <c r="AO350" s="293">
        <f t="shared" si="333"/>
        <v>0</v>
      </c>
      <c r="AP350" s="293">
        <f t="shared" si="333"/>
        <v>0</v>
      </c>
      <c r="AQ350" s="293">
        <f t="shared" si="333"/>
        <v>0</v>
      </c>
      <c r="AR350" s="293">
        <f t="shared" si="333"/>
        <v>0</v>
      </c>
      <c r="AS350" s="293">
        <f t="shared" si="333"/>
        <v>0</v>
      </c>
    </row>
    <row r="351" spans="1:45" ht="15" customHeight="1" x14ac:dyDescent="0.3">
      <c r="A351" s="1"/>
      <c r="E351" s="362"/>
      <c r="F351" s="362"/>
      <c r="G351" s="362"/>
      <c r="H351" s="362"/>
      <c r="I351" s="362"/>
      <c r="J351" s="362"/>
      <c r="K351" s="362"/>
      <c r="L351" s="362"/>
      <c r="M351" s="362"/>
      <c r="N351" s="362"/>
      <c r="O351" s="362"/>
      <c r="P351" s="362"/>
      <c r="Q351" s="362"/>
      <c r="R351" s="362"/>
      <c r="S351" s="362"/>
      <c r="T351" s="362"/>
      <c r="U351" s="362"/>
      <c r="V351" s="362"/>
      <c r="W351" s="362"/>
      <c r="X351" s="362"/>
      <c r="Y351" s="362"/>
      <c r="Z351" s="362"/>
      <c r="AA351" s="362"/>
      <c r="AB351" s="362"/>
      <c r="AC351" s="362"/>
      <c r="AD351" s="362"/>
      <c r="AE351" s="362"/>
      <c r="AF351" s="362"/>
      <c r="AG351" s="362"/>
      <c r="AH351" s="362"/>
      <c r="AI351" s="362"/>
      <c r="AJ351" s="362"/>
      <c r="AK351" s="362"/>
      <c r="AL351" s="362"/>
      <c r="AM351" s="362"/>
      <c r="AN351" s="362"/>
      <c r="AO351" s="362"/>
      <c r="AP351" s="362"/>
      <c r="AQ351" s="362"/>
      <c r="AR351" s="362"/>
      <c r="AS351" s="362"/>
    </row>
    <row r="352" spans="1:45" ht="15" customHeight="1" x14ac:dyDescent="0.3">
      <c r="A352" s="1"/>
      <c r="E352" s="169" t="str">
        <f xml:space="preserve"> E$89</f>
        <v>Copper matt incl Sens.</v>
      </c>
      <c r="F352" s="169" t="str">
        <f t="shared" ref="F352:AS352" si="334" xml:space="preserve"> F$89</f>
        <v>FS</v>
      </c>
      <c r="G352" s="169" t="str">
        <f t="shared" si="334"/>
        <v>KT Cu</v>
      </c>
      <c r="H352" s="169">
        <f t="shared" si="334"/>
        <v>0</v>
      </c>
      <c r="I352" s="169">
        <f t="shared" si="334"/>
        <v>40.88000000000001</v>
      </c>
      <c r="J352" s="169">
        <f t="shared" si="334"/>
        <v>0</v>
      </c>
      <c r="K352" s="169">
        <f t="shared" si="334"/>
        <v>0</v>
      </c>
      <c r="L352" s="169">
        <f t="shared" si="334"/>
        <v>0</v>
      </c>
      <c r="M352" s="169">
        <f t="shared" si="334"/>
        <v>0</v>
      </c>
      <c r="N352" s="169">
        <f t="shared" si="334"/>
        <v>0</v>
      </c>
      <c r="O352" s="169">
        <f t="shared" si="334"/>
        <v>0</v>
      </c>
      <c r="P352" s="169">
        <f t="shared" si="334"/>
        <v>0</v>
      </c>
      <c r="Q352" s="169">
        <f t="shared" si="334"/>
        <v>0</v>
      </c>
      <c r="R352" s="169">
        <f t="shared" si="334"/>
        <v>0</v>
      </c>
      <c r="S352" s="169">
        <f t="shared" si="334"/>
        <v>0</v>
      </c>
      <c r="T352" s="169">
        <f t="shared" si="334"/>
        <v>0</v>
      </c>
      <c r="U352" s="169">
        <f t="shared" si="334"/>
        <v>0</v>
      </c>
      <c r="V352" s="169">
        <f t="shared" si="334"/>
        <v>0.73499999999999999</v>
      </c>
      <c r="W352" s="169">
        <f t="shared" si="334"/>
        <v>4.0259999999999998</v>
      </c>
      <c r="X352" s="169">
        <f t="shared" si="334"/>
        <v>3.91</v>
      </c>
      <c r="Y352" s="169">
        <f t="shared" si="334"/>
        <v>3.6560000000000001</v>
      </c>
      <c r="Z352" s="169">
        <f t="shared" si="334"/>
        <v>1.8480000000000001</v>
      </c>
      <c r="AA352" s="169">
        <f t="shared" si="334"/>
        <v>2.2749999999999999</v>
      </c>
      <c r="AB352" s="169">
        <f t="shared" si="334"/>
        <v>3.5070000000000001</v>
      </c>
      <c r="AC352" s="169">
        <f t="shared" si="334"/>
        <v>2.6118333333333337</v>
      </c>
      <c r="AD352" s="169">
        <f t="shared" si="334"/>
        <v>2.6118333333333337</v>
      </c>
      <c r="AE352" s="169">
        <f t="shared" si="334"/>
        <v>2.6118333333333337</v>
      </c>
      <c r="AF352" s="169">
        <f t="shared" si="334"/>
        <v>2.6118333333333337</v>
      </c>
      <c r="AG352" s="169">
        <f t="shared" si="334"/>
        <v>2.6118333333333337</v>
      </c>
      <c r="AH352" s="169">
        <f t="shared" si="334"/>
        <v>2.6118333333333337</v>
      </c>
      <c r="AI352" s="169">
        <f t="shared" si="334"/>
        <v>2.1760000000000002</v>
      </c>
      <c r="AJ352" s="169">
        <f t="shared" si="334"/>
        <v>2.1760000000000002</v>
      </c>
      <c r="AK352" s="169">
        <f t="shared" si="334"/>
        <v>0.9</v>
      </c>
      <c r="AL352" s="169">
        <f t="shared" si="334"/>
        <v>0</v>
      </c>
      <c r="AM352" s="169">
        <f t="shared" si="334"/>
        <v>0</v>
      </c>
      <c r="AN352" s="169">
        <f t="shared" si="334"/>
        <v>0</v>
      </c>
      <c r="AO352" s="169">
        <f t="shared" si="334"/>
        <v>0</v>
      </c>
      <c r="AP352" s="169">
        <f t="shared" si="334"/>
        <v>0</v>
      </c>
      <c r="AQ352" s="169">
        <f t="shared" si="334"/>
        <v>0</v>
      </c>
      <c r="AR352" s="169">
        <f t="shared" si="334"/>
        <v>0</v>
      </c>
      <c r="AS352" s="169">
        <f t="shared" si="334"/>
        <v>0</v>
      </c>
    </row>
    <row r="353" spans="1:45" ht="15" customHeight="1" x14ac:dyDescent="0.3">
      <c r="A353" s="1"/>
      <c r="E353" s="40" t="str">
        <f xml:space="preserve"> E$238</f>
        <v>Copper matt price</v>
      </c>
      <c r="F353" s="40">
        <f t="shared" ref="F353:O353" si="335" xml:space="preserve"> F$238</f>
        <v>0</v>
      </c>
      <c r="G353" s="40" t="str">
        <f t="shared" si="335"/>
        <v>$ / tonne</v>
      </c>
      <c r="H353" s="40">
        <f t="shared" si="335"/>
        <v>0</v>
      </c>
      <c r="I353" s="40">
        <f t="shared" si="335"/>
        <v>0</v>
      </c>
      <c r="J353" s="40">
        <f t="shared" si="335"/>
        <v>0</v>
      </c>
      <c r="K353" s="40">
        <f t="shared" si="335"/>
        <v>0</v>
      </c>
      <c r="L353" s="40">
        <f t="shared" si="335"/>
        <v>0</v>
      </c>
      <c r="M353" s="40">
        <f t="shared" si="335"/>
        <v>0</v>
      </c>
      <c r="N353" s="40">
        <f t="shared" si="335"/>
        <v>0</v>
      </c>
      <c r="O353" s="40">
        <f t="shared" si="335"/>
        <v>0</v>
      </c>
      <c r="P353" s="40">
        <f t="shared" ref="P353:AS353" si="336" xml:space="preserve"> P$238</f>
        <v>0</v>
      </c>
      <c r="Q353" s="40">
        <f t="shared" si="336"/>
        <v>0</v>
      </c>
      <c r="R353" s="40">
        <f t="shared" si="336"/>
        <v>0</v>
      </c>
      <c r="S353" s="40">
        <f t="shared" si="336"/>
        <v>0</v>
      </c>
      <c r="T353" s="40">
        <f t="shared" si="336"/>
        <v>0</v>
      </c>
      <c r="U353" s="40">
        <f t="shared" si="336"/>
        <v>0</v>
      </c>
      <c r="V353" s="40">
        <f t="shared" si="336"/>
        <v>4296</v>
      </c>
      <c r="W353" s="40">
        <f t="shared" si="336"/>
        <v>4807</v>
      </c>
      <c r="X353" s="40">
        <f t="shared" si="336"/>
        <v>4428</v>
      </c>
      <c r="Y353" s="40">
        <f t="shared" si="336"/>
        <v>4799</v>
      </c>
      <c r="Z353" s="40">
        <f t="shared" si="336"/>
        <v>6688</v>
      </c>
      <c r="AA353" s="40">
        <f t="shared" si="336"/>
        <v>5455</v>
      </c>
      <c r="AB353" s="40">
        <f t="shared" si="336"/>
        <v>6511.8391616000008</v>
      </c>
      <c r="AC353" s="40">
        <f t="shared" si="336"/>
        <v>6559.6160864000012</v>
      </c>
      <c r="AD353" s="40">
        <f t="shared" si="336"/>
        <v>6647.6672672000004</v>
      </c>
      <c r="AE353" s="40">
        <f t="shared" si="336"/>
        <v>6659.6694656</v>
      </c>
      <c r="AF353" s="40">
        <f t="shared" si="336"/>
        <v>6652.8631999999998</v>
      </c>
      <c r="AG353" s="40">
        <f t="shared" si="336"/>
        <v>6643.2020000000011</v>
      </c>
      <c r="AH353" s="40">
        <f t="shared" si="336"/>
        <v>6653.4607999999998</v>
      </c>
      <c r="AI353" s="40">
        <f t="shared" si="336"/>
        <v>6803.6828186634248</v>
      </c>
      <c r="AJ353" s="40">
        <f t="shared" si="336"/>
        <v>6944.8284750366938</v>
      </c>
      <c r="AK353" s="40">
        <f t="shared" si="336"/>
        <v>7088.7970445374276</v>
      </c>
      <c r="AL353" s="40">
        <f t="shared" si="336"/>
        <v>7235.6449854281764</v>
      </c>
      <c r="AM353" s="40">
        <f t="shared" si="336"/>
        <v>7385.4298851367384</v>
      </c>
      <c r="AN353" s="40">
        <f t="shared" si="336"/>
        <v>7538.2104828394749</v>
      </c>
      <c r="AO353" s="40">
        <f t="shared" si="336"/>
        <v>7694.0466924962648</v>
      </c>
      <c r="AP353" s="40">
        <f t="shared" si="336"/>
        <v>7852.9996263461908</v>
      </c>
      <c r="AQ353" s="40">
        <f t="shared" si="336"/>
        <v>8015.1316188731162</v>
      </c>
      <c r="AR353" s="40">
        <f t="shared" si="336"/>
        <v>8180.5062512505792</v>
      </c>
      <c r="AS353" s="40">
        <f t="shared" si="336"/>
        <v>8349.1883762755879</v>
      </c>
    </row>
    <row r="354" spans="1:45" ht="15" customHeight="1" x14ac:dyDescent="0.3">
      <c r="A354" s="139"/>
      <c r="B354" s="180"/>
      <c r="C354" s="181"/>
      <c r="D354" s="36"/>
      <c r="E354" s="293" t="s">
        <v>422</v>
      </c>
      <c r="F354" s="293"/>
      <c r="G354" s="293" t="s">
        <v>346</v>
      </c>
      <c r="H354" s="293"/>
      <c r="I354" s="293">
        <f>SUM(K354:AS354)</f>
        <v>245.26641945085356</v>
      </c>
      <c r="J354" s="293"/>
      <c r="K354" s="293">
        <f>K352 * K353 * 10^-3</f>
        <v>0</v>
      </c>
      <c r="L354" s="293">
        <f t="shared" ref="L354:AS354" si="337">L352 * L353 * 10^-3</f>
        <v>0</v>
      </c>
      <c r="M354" s="293">
        <f t="shared" si="337"/>
        <v>0</v>
      </c>
      <c r="N354" s="293">
        <f t="shared" si="337"/>
        <v>0</v>
      </c>
      <c r="O354" s="293">
        <f t="shared" si="337"/>
        <v>0</v>
      </c>
      <c r="P354" s="293">
        <f t="shared" si="337"/>
        <v>0</v>
      </c>
      <c r="Q354" s="293">
        <f t="shared" si="337"/>
        <v>0</v>
      </c>
      <c r="R354" s="293">
        <f t="shared" si="337"/>
        <v>0</v>
      </c>
      <c r="S354" s="293">
        <f t="shared" si="337"/>
        <v>0</v>
      </c>
      <c r="T354" s="293">
        <f t="shared" si="337"/>
        <v>0</v>
      </c>
      <c r="U354" s="293">
        <f t="shared" si="337"/>
        <v>0</v>
      </c>
      <c r="V354" s="293">
        <f t="shared" si="337"/>
        <v>3.1575600000000001</v>
      </c>
      <c r="W354" s="293">
        <f t="shared" si="337"/>
        <v>19.352982000000001</v>
      </c>
      <c r="X354" s="293">
        <f t="shared" si="337"/>
        <v>17.313479999999998</v>
      </c>
      <c r="Y354" s="293">
        <f t="shared" si="337"/>
        <v>17.545144000000001</v>
      </c>
      <c r="Z354" s="293">
        <f t="shared" si="337"/>
        <v>12.359424000000001</v>
      </c>
      <c r="AA354" s="293">
        <f t="shared" si="337"/>
        <v>12.410125000000001</v>
      </c>
      <c r="AB354" s="293">
        <f t="shared" si="337"/>
        <v>22.837019939731203</v>
      </c>
      <c r="AC354" s="293">
        <f t="shared" si="337"/>
        <v>17.132623948329073</v>
      </c>
      <c r="AD354" s="293">
        <f t="shared" si="337"/>
        <v>17.36259895738187</v>
      </c>
      <c r="AE354" s="293">
        <f t="shared" si="337"/>
        <v>17.39394669923627</v>
      </c>
      <c r="AF354" s="293">
        <f t="shared" si="337"/>
        <v>17.376169867866668</v>
      </c>
      <c r="AG354" s="293">
        <f t="shared" si="337"/>
        <v>17.350936423666674</v>
      </c>
      <c r="AH354" s="293">
        <f t="shared" si="337"/>
        <v>17.377730699466667</v>
      </c>
      <c r="AI354" s="293">
        <f t="shared" si="337"/>
        <v>14.804813813411613</v>
      </c>
      <c r="AJ354" s="293">
        <f t="shared" si="337"/>
        <v>15.111946761679846</v>
      </c>
      <c r="AK354" s="293">
        <f t="shared" si="337"/>
        <v>6.3799173400836855</v>
      </c>
      <c r="AL354" s="293">
        <f t="shared" si="337"/>
        <v>0</v>
      </c>
      <c r="AM354" s="293">
        <f t="shared" si="337"/>
        <v>0</v>
      </c>
      <c r="AN354" s="293">
        <f t="shared" si="337"/>
        <v>0</v>
      </c>
      <c r="AO354" s="293">
        <f t="shared" si="337"/>
        <v>0</v>
      </c>
      <c r="AP354" s="293">
        <f t="shared" si="337"/>
        <v>0</v>
      </c>
      <c r="AQ354" s="293">
        <f t="shared" si="337"/>
        <v>0</v>
      </c>
      <c r="AR354" s="293">
        <f t="shared" si="337"/>
        <v>0</v>
      </c>
      <c r="AS354" s="293">
        <f t="shared" si="337"/>
        <v>0</v>
      </c>
    </row>
    <row r="355" spans="1:45" ht="15" customHeight="1" x14ac:dyDescent="0.3">
      <c r="A355" s="1"/>
      <c r="E355" s="362"/>
      <c r="F355" s="362"/>
      <c r="G355" s="362"/>
      <c r="H355" s="362"/>
      <c r="I355" s="362"/>
      <c r="J355" s="362"/>
      <c r="K355" s="362"/>
      <c r="L355" s="362"/>
      <c r="M355" s="362"/>
      <c r="N355" s="362"/>
      <c r="O355" s="362"/>
      <c r="P355" s="362"/>
      <c r="Q355" s="362"/>
      <c r="R355" s="362"/>
      <c r="S355" s="362"/>
      <c r="T355" s="362"/>
      <c r="U355" s="362"/>
      <c r="V355" s="362"/>
      <c r="W355" s="362"/>
      <c r="X355" s="362"/>
      <c r="Y355" s="362"/>
      <c r="Z355" s="362"/>
      <c r="AA355" s="362"/>
      <c r="AB355" s="362"/>
      <c r="AC355" s="362"/>
      <c r="AD355" s="362"/>
      <c r="AE355" s="362"/>
      <c r="AF355" s="362"/>
      <c r="AG355" s="362"/>
      <c r="AH355" s="362"/>
      <c r="AI355" s="362"/>
      <c r="AJ355" s="362"/>
      <c r="AK355" s="362"/>
      <c r="AL355" s="362"/>
      <c r="AM355" s="362"/>
      <c r="AN355" s="362"/>
      <c r="AO355" s="362"/>
      <c r="AP355" s="362"/>
      <c r="AQ355" s="362"/>
      <c r="AR355" s="362"/>
      <c r="AS355" s="362"/>
    </row>
    <row r="356" spans="1:45" ht="15" customHeight="1" x14ac:dyDescent="0.3">
      <c r="A356" s="1"/>
      <c r="E356" s="169" t="str">
        <f xml:space="preserve"> E$90</f>
        <v>Copper sulfide concentrates incl Sens.</v>
      </c>
      <c r="F356" s="169" t="str">
        <f t="shared" ref="F356:AS356" si="338" xml:space="preserve"> F$90</f>
        <v>FS</v>
      </c>
      <c r="G356" s="169" t="str">
        <f t="shared" si="338"/>
        <v>KT Cu</v>
      </c>
      <c r="H356" s="169">
        <f t="shared" si="338"/>
        <v>0</v>
      </c>
      <c r="I356" s="169">
        <f t="shared" si="338"/>
        <v>372.68899999999996</v>
      </c>
      <c r="J356" s="169">
        <f t="shared" si="338"/>
        <v>0</v>
      </c>
      <c r="K356" s="169">
        <f t="shared" si="338"/>
        <v>0</v>
      </c>
      <c r="L356" s="169">
        <f t="shared" si="338"/>
        <v>0</v>
      </c>
      <c r="M356" s="169">
        <f t="shared" si="338"/>
        <v>0</v>
      </c>
      <c r="N356" s="169">
        <f t="shared" si="338"/>
        <v>0</v>
      </c>
      <c r="O356" s="169">
        <f t="shared" si="338"/>
        <v>0</v>
      </c>
      <c r="P356" s="169">
        <f t="shared" si="338"/>
        <v>0</v>
      </c>
      <c r="Q356" s="169">
        <f t="shared" si="338"/>
        <v>0</v>
      </c>
      <c r="R356" s="169">
        <f t="shared" si="338"/>
        <v>0</v>
      </c>
      <c r="S356" s="169">
        <f t="shared" si="338"/>
        <v>0</v>
      </c>
      <c r="T356" s="169">
        <f t="shared" si="338"/>
        <v>0</v>
      </c>
      <c r="U356" s="169">
        <f t="shared" si="338"/>
        <v>0</v>
      </c>
      <c r="V356" s="169">
        <f t="shared" si="338"/>
        <v>22.146000000000001</v>
      </c>
      <c r="W356" s="169">
        <f t="shared" si="338"/>
        <v>71.510999999999996</v>
      </c>
      <c r="X356" s="169">
        <f t="shared" si="338"/>
        <v>61.17</v>
      </c>
      <c r="Y356" s="169">
        <f t="shared" si="338"/>
        <v>36.712000000000003</v>
      </c>
      <c r="Z356" s="169">
        <f t="shared" si="338"/>
        <v>116.22200000000001</v>
      </c>
      <c r="AA356" s="169">
        <f t="shared" si="338"/>
        <v>40.314</v>
      </c>
      <c r="AB356" s="169">
        <f t="shared" si="338"/>
        <v>24.614000000000001</v>
      </c>
      <c r="AC356" s="169">
        <f t="shared" si="338"/>
        <v>0</v>
      </c>
      <c r="AD356" s="169">
        <f t="shared" si="338"/>
        <v>0</v>
      </c>
      <c r="AE356" s="169">
        <f t="shared" si="338"/>
        <v>0</v>
      </c>
      <c r="AF356" s="169">
        <f t="shared" si="338"/>
        <v>0</v>
      </c>
      <c r="AG356" s="169">
        <f t="shared" si="338"/>
        <v>0</v>
      </c>
      <c r="AH356" s="169">
        <f t="shared" si="338"/>
        <v>0</v>
      </c>
      <c r="AI356" s="169">
        <f t="shared" si="338"/>
        <v>0</v>
      </c>
      <c r="AJ356" s="169">
        <f t="shared" si="338"/>
        <v>0</v>
      </c>
      <c r="AK356" s="169">
        <f t="shared" si="338"/>
        <v>0</v>
      </c>
      <c r="AL356" s="169">
        <f t="shared" si="338"/>
        <v>0</v>
      </c>
      <c r="AM356" s="169">
        <f t="shared" si="338"/>
        <v>0</v>
      </c>
      <c r="AN356" s="169">
        <f t="shared" si="338"/>
        <v>0</v>
      </c>
      <c r="AO356" s="169">
        <f t="shared" si="338"/>
        <v>0</v>
      </c>
      <c r="AP356" s="169">
        <f t="shared" si="338"/>
        <v>0</v>
      </c>
      <c r="AQ356" s="169">
        <f t="shared" si="338"/>
        <v>0</v>
      </c>
      <c r="AR356" s="169">
        <f t="shared" si="338"/>
        <v>0</v>
      </c>
      <c r="AS356" s="169">
        <f t="shared" si="338"/>
        <v>0</v>
      </c>
    </row>
    <row r="357" spans="1:45" ht="15" customHeight="1" x14ac:dyDescent="0.3">
      <c r="A357" s="1"/>
      <c r="E357" s="40" t="str">
        <f xml:space="preserve"> E$239</f>
        <v>Copper sulfide concentrates price</v>
      </c>
      <c r="F357" s="40">
        <f t="shared" ref="F357:O357" si="339" xml:space="preserve"> F$239</f>
        <v>0</v>
      </c>
      <c r="G357" s="40" t="str">
        <f t="shared" si="339"/>
        <v>$ / tonne</v>
      </c>
      <c r="H357" s="40">
        <f t="shared" si="339"/>
        <v>0</v>
      </c>
      <c r="I357" s="40">
        <f t="shared" si="339"/>
        <v>0</v>
      </c>
      <c r="J357" s="40">
        <f t="shared" si="339"/>
        <v>0</v>
      </c>
      <c r="K357" s="40">
        <f t="shared" si="339"/>
        <v>0</v>
      </c>
      <c r="L357" s="40">
        <f t="shared" si="339"/>
        <v>0</v>
      </c>
      <c r="M357" s="40">
        <f t="shared" si="339"/>
        <v>0</v>
      </c>
      <c r="N357" s="40">
        <f t="shared" si="339"/>
        <v>0</v>
      </c>
      <c r="O357" s="40">
        <f t="shared" si="339"/>
        <v>0</v>
      </c>
      <c r="P357" s="40">
        <f t="shared" ref="P357:AS357" si="340" xml:space="preserve"> P$239</f>
        <v>0</v>
      </c>
      <c r="Q357" s="40">
        <f t="shared" si="340"/>
        <v>0</v>
      </c>
      <c r="R357" s="40">
        <f t="shared" si="340"/>
        <v>0</v>
      </c>
      <c r="S357" s="40">
        <f t="shared" si="340"/>
        <v>0</v>
      </c>
      <c r="T357" s="40">
        <f t="shared" si="340"/>
        <v>0</v>
      </c>
      <c r="U357" s="40">
        <f t="shared" si="340"/>
        <v>0</v>
      </c>
      <c r="V357" s="40">
        <f t="shared" si="340"/>
        <v>1123</v>
      </c>
      <c r="W357" s="40">
        <f t="shared" si="340"/>
        <v>833</v>
      </c>
      <c r="X357" s="40">
        <f t="shared" si="340"/>
        <v>815</v>
      </c>
      <c r="Y357" s="40">
        <f t="shared" si="340"/>
        <v>2096</v>
      </c>
      <c r="Z357" s="40">
        <f t="shared" si="340"/>
        <v>2447</v>
      </c>
      <c r="AA357" s="40">
        <f t="shared" si="340"/>
        <v>6001</v>
      </c>
      <c r="AB357" s="40">
        <f t="shared" si="340"/>
        <v>7163.0230777600009</v>
      </c>
      <c r="AC357" s="40">
        <f t="shared" si="340"/>
        <v>7215.5776950400004</v>
      </c>
      <c r="AD357" s="40">
        <f t="shared" si="340"/>
        <v>7312.4339939199999</v>
      </c>
      <c r="AE357" s="40">
        <f t="shared" si="340"/>
        <v>7325.6364121599991</v>
      </c>
      <c r="AF357" s="40">
        <f t="shared" si="340"/>
        <v>7318.1495199999999</v>
      </c>
      <c r="AG357" s="40">
        <f t="shared" si="340"/>
        <v>7307.5222000000003</v>
      </c>
      <c r="AH357" s="40">
        <f t="shared" si="340"/>
        <v>7318.8068799999992</v>
      </c>
      <c r="AI357" s="40">
        <f t="shared" si="340"/>
        <v>7484.0511005297667</v>
      </c>
      <c r="AJ357" s="40">
        <f t="shared" si="340"/>
        <v>7639.3113225403622</v>
      </c>
      <c r="AK357" s="40">
        <f t="shared" si="340"/>
        <v>7797.6767489911699</v>
      </c>
      <c r="AL357" s="40">
        <f t="shared" si="340"/>
        <v>7959.2094839709935</v>
      </c>
      <c r="AM357" s="40">
        <f t="shared" si="340"/>
        <v>8123.9728736504112</v>
      </c>
      <c r="AN357" s="40">
        <f t="shared" si="340"/>
        <v>8292.0315311234226</v>
      </c>
      <c r="AO357" s="40">
        <f t="shared" si="340"/>
        <v>8463.4513617458906</v>
      </c>
      <c r="AP357" s="40">
        <f t="shared" si="340"/>
        <v>8638.2995889808099</v>
      </c>
      <c r="AQ357" s="40">
        <f t="shared" si="340"/>
        <v>8816.6447807604272</v>
      </c>
      <c r="AR357" s="40">
        <f t="shared" si="340"/>
        <v>8998.5568763756364</v>
      </c>
      <c r="AS357" s="40">
        <f t="shared" si="340"/>
        <v>9184.1072139031476</v>
      </c>
    </row>
    <row r="358" spans="1:45" ht="15" customHeight="1" x14ac:dyDescent="0.3">
      <c r="A358" s="139"/>
      <c r="B358" s="180"/>
      <c r="C358" s="181"/>
      <c r="D358" s="36"/>
      <c r="E358" s="293" t="s">
        <v>423</v>
      </c>
      <c r="F358" s="293"/>
      <c r="G358" s="293" t="s">
        <v>346</v>
      </c>
      <c r="H358" s="293"/>
      <c r="I358" s="293">
        <f>SUM(K358:AS358)</f>
        <v>913.87072103598462</v>
      </c>
      <c r="J358" s="293"/>
      <c r="K358" s="293"/>
      <c r="L358" s="293">
        <f>L356 * L357 * 10^-3</f>
        <v>0</v>
      </c>
      <c r="M358" s="293">
        <f t="shared" ref="M358:AS358" si="341">M356 * M357 * 10^-3</f>
        <v>0</v>
      </c>
      <c r="N358" s="293">
        <f t="shared" si="341"/>
        <v>0</v>
      </c>
      <c r="O358" s="293">
        <f t="shared" si="341"/>
        <v>0</v>
      </c>
      <c r="P358" s="293">
        <f t="shared" si="341"/>
        <v>0</v>
      </c>
      <c r="Q358" s="293">
        <f t="shared" si="341"/>
        <v>0</v>
      </c>
      <c r="R358" s="293">
        <f t="shared" si="341"/>
        <v>0</v>
      </c>
      <c r="S358" s="293">
        <f t="shared" si="341"/>
        <v>0</v>
      </c>
      <c r="T358" s="293">
        <f t="shared" si="341"/>
        <v>0</v>
      </c>
      <c r="U358" s="293">
        <f t="shared" si="341"/>
        <v>0</v>
      </c>
      <c r="V358" s="293">
        <f t="shared" si="341"/>
        <v>24.869958000000004</v>
      </c>
      <c r="W358" s="293">
        <f t="shared" si="341"/>
        <v>59.568662999999994</v>
      </c>
      <c r="X358" s="293">
        <f t="shared" si="341"/>
        <v>49.853550000000006</v>
      </c>
      <c r="Y358" s="293">
        <f t="shared" si="341"/>
        <v>76.948352000000014</v>
      </c>
      <c r="Z358" s="293">
        <f t="shared" si="341"/>
        <v>284.39523400000002</v>
      </c>
      <c r="AA358" s="293">
        <f t="shared" si="341"/>
        <v>241.92431400000001</v>
      </c>
      <c r="AB358" s="293">
        <f t="shared" si="341"/>
        <v>176.31065003598468</v>
      </c>
      <c r="AC358" s="293">
        <f t="shared" si="341"/>
        <v>0</v>
      </c>
      <c r="AD358" s="293">
        <f t="shared" si="341"/>
        <v>0</v>
      </c>
      <c r="AE358" s="293">
        <f t="shared" si="341"/>
        <v>0</v>
      </c>
      <c r="AF358" s="293">
        <f t="shared" si="341"/>
        <v>0</v>
      </c>
      <c r="AG358" s="293">
        <f t="shared" si="341"/>
        <v>0</v>
      </c>
      <c r="AH358" s="293">
        <f t="shared" si="341"/>
        <v>0</v>
      </c>
      <c r="AI358" s="293">
        <f t="shared" si="341"/>
        <v>0</v>
      </c>
      <c r="AJ358" s="293">
        <f t="shared" si="341"/>
        <v>0</v>
      </c>
      <c r="AK358" s="293">
        <f t="shared" si="341"/>
        <v>0</v>
      </c>
      <c r="AL358" s="293">
        <f t="shared" si="341"/>
        <v>0</v>
      </c>
      <c r="AM358" s="293">
        <f t="shared" si="341"/>
        <v>0</v>
      </c>
      <c r="AN358" s="293">
        <f t="shared" si="341"/>
        <v>0</v>
      </c>
      <c r="AO358" s="293">
        <f t="shared" si="341"/>
        <v>0</v>
      </c>
      <c r="AP358" s="293">
        <f t="shared" si="341"/>
        <v>0</v>
      </c>
      <c r="AQ358" s="293">
        <f t="shared" si="341"/>
        <v>0</v>
      </c>
      <c r="AR358" s="293">
        <f t="shared" si="341"/>
        <v>0</v>
      </c>
      <c r="AS358" s="293">
        <f t="shared" si="341"/>
        <v>0</v>
      </c>
    </row>
    <row r="359" spans="1:45" ht="15" customHeight="1" x14ac:dyDescent="0.3">
      <c r="A359" s="1"/>
      <c r="E359" s="362"/>
      <c r="F359" s="362"/>
      <c r="G359" s="362"/>
      <c r="H359" s="362"/>
      <c r="I359" s="362"/>
      <c r="J359" s="362"/>
      <c r="K359" s="362"/>
      <c r="L359" s="362"/>
      <c r="M359" s="362"/>
      <c r="N359" s="362"/>
      <c r="O359" s="362"/>
      <c r="P359" s="362"/>
      <c r="Q359" s="362"/>
      <c r="R359" s="362"/>
      <c r="S359" s="362"/>
      <c r="T359" s="362"/>
      <c r="U359" s="362"/>
      <c r="V359" s="362"/>
      <c r="W359" s="362"/>
      <c r="X359" s="362"/>
      <c r="Y359" s="362"/>
      <c r="Z359" s="362"/>
      <c r="AA359" s="362"/>
      <c r="AB359" s="362"/>
      <c r="AC359" s="362"/>
      <c r="AD359" s="362"/>
      <c r="AE359" s="362"/>
      <c r="AF359" s="362"/>
      <c r="AG359" s="362"/>
      <c r="AH359" s="362"/>
      <c r="AI359" s="362"/>
      <c r="AJ359" s="362"/>
      <c r="AK359" s="362"/>
      <c r="AL359" s="362"/>
      <c r="AM359" s="362"/>
      <c r="AN359" s="362"/>
      <c r="AO359" s="362"/>
      <c r="AP359" s="362"/>
      <c r="AQ359" s="362"/>
      <c r="AR359" s="362"/>
      <c r="AS359" s="362"/>
    </row>
    <row r="360" spans="1:45" ht="15" customHeight="1" x14ac:dyDescent="0.3">
      <c r="A360" s="1"/>
      <c r="E360" s="169" t="str">
        <f xml:space="preserve"> E$91</f>
        <v>Copper oxide concentrates incl Sens.</v>
      </c>
      <c r="F360" s="169" t="str">
        <f t="shared" ref="F360:AS360" si="342" xml:space="preserve"> F$91</f>
        <v>FS</v>
      </c>
      <c r="G360" s="169" t="str">
        <f t="shared" si="342"/>
        <v>KT Cu</v>
      </c>
      <c r="H360" s="169">
        <f t="shared" si="342"/>
        <v>0</v>
      </c>
      <c r="I360" s="169">
        <f t="shared" si="342"/>
        <v>50.935999999999993</v>
      </c>
      <c r="J360" s="169">
        <f t="shared" si="342"/>
        <v>0</v>
      </c>
      <c r="K360" s="169">
        <f t="shared" si="342"/>
        <v>0</v>
      </c>
      <c r="L360" s="169">
        <f t="shared" si="342"/>
        <v>0</v>
      </c>
      <c r="M360" s="169">
        <f t="shared" si="342"/>
        <v>0</v>
      </c>
      <c r="N360" s="169">
        <f t="shared" si="342"/>
        <v>0</v>
      </c>
      <c r="O360" s="169">
        <f t="shared" si="342"/>
        <v>0</v>
      </c>
      <c r="P360" s="169">
        <f t="shared" si="342"/>
        <v>0</v>
      </c>
      <c r="Q360" s="169">
        <f t="shared" si="342"/>
        <v>0</v>
      </c>
      <c r="R360" s="169">
        <f t="shared" si="342"/>
        <v>0</v>
      </c>
      <c r="S360" s="169">
        <f t="shared" si="342"/>
        <v>0</v>
      </c>
      <c r="T360" s="169">
        <f t="shared" si="342"/>
        <v>0</v>
      </c>
      <c r="U360" s="169">
        <f t="shared" si="342"/>
        <v>0</v>
      </c>
      <c r="V360" s="169">
        <f t="shared" si="342"/>
        <v>5.0030000000000001</v>
      </c>
      <c r="W360" s="169">
        <f t="shared" si="342"/>
        <v>7.3790000000000004</v>
      </c>
      <c r="X360" s="169">
        <f t="shared" si="342"/>
        <v>5.7940000000000005</v>
      </c>
      <c r="Y360" s="169">
        <f t="shared" si="342"/>
        <v>1.079</v>
      </c>
      <c r="Z360" s="169">
        <f t="shared" si="342"/>
        <v>12.902000000000001</v>
      </c>
      <c r="AA360" s="169">
        <f t="shared" si="342"/>
        <v>8.2200000000000006</v>
      </c>
      <c r="AB360" s="169">
        <f t="shared" si="342"/>
        <v>1.68</v>
      </c>
      <c r="AC360" s="169">
        <f t="shared" si="342"/>
        <v>1.4798333333333333</v>
      </c>
      <c r="AD360" s="169">
        <f t="shared" si="342"/>
        <v>1.4798333333333333</v>
      </c>
      <c r="AE360" s="169">
        <f t="shared" si="342"/>
        <v>1.4798333333333333</v>
      </c>
      <c r="AF360" s="169">
        <f t="shared" si="342"/>
        <v>1.4798333333333333</v>
      </c>
      <c r="AG360" s="169">
        <f t="shared" si="342"/>
        <v>1.4798333333333333</v>
      </c>
      <c r="AH360" s="169">
        <f t="shared" si="342"/>
        <v>1.4798333333333333</v>
      </c>
      <c r="AI360" s="169">
        <f t="shared" si="342"/>
        <v>0</v>
      </c>
      <c r="AJ360" s="169">
        <f t="shared" si="342"/>
        <v>0</v>
      </c>
      <c r="AK360" s="169">
        <f t="shared" si="342"/>
        <v>0</v>
      </c>
      <c r="AL360" s="169">
        <f t="shared" si="342"/>
        <v>0</v>
      </c>
      <c r="AM360" s="169">
        <f t="shared" si="342"/>
        <v>0</v>
      </c>
      <c r="AN360" s="169">
        <f t="shared" si="342"/>
        <v>0</v>
      </c>
      <c r="AO360" s="169">
        <f t="shared" si="342"/>
        <v>0</v>
      </c>
      <c r="AP360" s="169">
        <f t="shared" si="342"/>
        <v>0</v>
      </c>
      <c r="AQ360" s="169">
        <f t="shared" si="342"/>
        <v>0</v>
      </c>
      <c r="AR360" s="169">
        <f t="shared" si="342"/>
        <v>0</v>
      </c>
      <c r="AS360" s="169">
        <f t="shared" si="342"/>
        <v>0</v>
      </c>
    </row>
    <row r="361" spans="1:45" ht="15" customHeight="1" x14ac:dyDescent="0.3">
      <c r="A361" s="129"/>
      <c r="B361" s="129"/>
      <c r="C361" s="130"/>
      <c r="D361" s="106"/>
      <c r="E361" s="40" t="str">
        <f xml:space="preserve"> E$240</f>
        <v>Copper oxide concentrates price</v>
      </c>
      <c r="F361" s="40">
        <f t="shared" ref="F361:O361" si="343" xml:space="preserve"> F$240</f>
        <v>0</v>
      </c>
      <c r="G361" s="40" t="str">
        <f t="shared" si="343"/>
        <v>$ / tonne</v>
      </c>
      <c r="H361" s="40">
        <f t="shared" si="343"/>
        <v>0</v>
      </c>
      <c r="I361" s="40">
        <f t="shared" si="343"/>
        <v>0</v>
      </c>
      <c r="J361" s="40">
        <f t="shared" si="343"/>
        <v>0</v>
      </c>
      <c r="K361" s="40">
        <f t="shared" si="343"/>
        <v>0</v>
      </c>
      <c r="L361" s="40">
        <f t="shared" si="343"/>
        <v>0</v>
      </c>
      <c r="M361" s="40">
        <f t="shared" si="343"/>
        <v>0</v>
      </c>
      <c r="N361" s="40">
        <f t="shared" si="343"/>
        <v>0</v>
      </c>
      <c r="O361" s="40">
        <f t="shared" si="343"/>
        <v>0</v>
      </c>
      <c r="P361" s="40">
        <f t="shared" ref="P361:AS361" si="344" xml:space="preserve"> P$240</f>
        <v>0</v>
      </c>
      <c r="Q361" s="40">
        <f t="shared" si="344"/>
        <v>0</v>
      </c>
      <c r="R361" s="40">
        <f t="shared" si="344"/>
        <v>0</v>
      </c>
      <c r="S361" s="40">
        <f t="shared" si="344"/>
        <v>0</v>
      </c>
      <c r="T361" s="40">
        <f t="shared" si="344"/>
        <v>0</v>
      </c>
      <c r="U361" s="40">
        <f t="shared" si="344"/>
        <v>0</v>
      </c>
      <c r="V361" s="40">
        <f t="shared" si="344"/>
        <v>2685</v>
      </c>
      <c r="W361" s="40">
        <f t="shared" si="344"/>
        <v>3005</v>
      </c>
      <c r="X361" s="40">
        <f t="shared" si="344"/>
        <v>2768</v>
      </c>
      <c r="Y361" s="40">
        <f t="shared" si="344"/>
        <v>2999</v>
      </c>
      <c r="Z361" s="40">
        <f t="shared" si="344"/>
        <v>4180</v>
      </c>
      <c r="AA361" s="40">
        <f t="shared" si="344"/>
        <v>3409</v>
      </c>
      <c r="AB361" s="40">
        <f t="shared" si="344"/>
        <v>4069.8994760000005</v>
      </c>
      <c r="AC361" s="40">
        <f t="shared" si="344"/>
        <v>4099.7600540000003</v>
      </c>
      <c r="AD361" s="40">
        <f t="shared" si="344"/>
        <v>4154.792042</v>
      </c>
      <c r="AE361" s="40">
        <f t="shared" si="344"/>
        <v>4162.2934159999995</v>
      </c>
      <c r="AF361" s="40">
        <f t="shared" si="344"/>
        <v>4158.0394999999999</v>
      </c>
      <c r="AG361" s="40">
        <f t="shared" si="344"/>
        <v>4152.0012500000003</v>
      </c>
      <c r="AH361" s="40">
        <f t="shared" si="344"/>
        <v>4158.4129999999996</v>
      </c>
      <c r="AI361" s="40">
        <f t="shared" si="344"/>
        <v>4252.3017616646403</v>
      </c>
      <c r="AJ361" s="40">
        <f t="shared" si="344"/>
        <v>4340.5177968979333</v>
      </c>
      <c r="AK361" s="40">
        <f t="shared" si="344"/>
        <v>4430.4981528358921</v>
      </c>
      <c r="AL361" s="40">
        <f t="shared" si="344"/>
        <v>4522.27811589261</v>
      </c>
      <c r="AM361" s="40">
        <f t="shared" si="344"/>
        <v>4615.8936782104611</v>
      </c>
      <c r="AN361" s="40">
        <f t="shared" si="344"/>
        <v>4711.3815517746716</v>
      </c>
      <c r="AO361" s="40">
        <f t="shared" si="344"/>
        <v>4808.7791828101654</v>
      </c>
      <c r="AP361" s="40">
        <f t="shared" si="344"/>
        <v>4908.1247664663688</v>
      </c>
      <c r="AQ361" s="40">
        <f t="shared" si="344"/>
        <v>5009.4572617956974</v>
      </c>
      <c r="AR361" s="40">
        <f t="shared" si="344"/>
        <v>5112.8164070316116</v>
      </c>
      <c r="AS361" s="40">
        <f t="shared" si="344"/>
        <v>5218.2427351722426</v>
      </c>
    </row>
    <row r="362" spans="1:45" ht="15" customHeight="1" x14ac:dyDescent="0.3">
      <c r="A362" s="528"/>
      <c r="B362" s="528"/>
      <c r="C362" s="529"/>
      <c r="D362" s="264"/>
      <c r="E362" s="36" t="s">
        <v>424</v>
      </c>
      <c r="F362" s="264"/>
      <c r="G362" s="293" t="s">
        <v>346</v>
      </c>
      <c r="H362" s="185"/>
      <c r="I362" s="185">
        <f>SUM(K362:AS362)</f>
        <v>180.49652947756297</v>
      </c>
      <c r="J362" s="260"/>
      <c r="K362" s="264"/>
      <c r="L362" s="264"/>
      <c r="M362" s="293">
        <f>M360 * M361 * 10^-3</f>
        <v>0</v>
      </c>
      <c r="N362" s="293">
        <f t="shared" ref="N362:AS362" si="345">N360 * N361 * 10^-3</f>
        <v>0</v>
      </c>
      <c r="O362" s="293">
        <f t="shared" si="345"/>
        <v>0</v>
      </c>
      <c r="P362" s="293">
        <f t="shared" si="345"/>
        <v>0</v>
      </c>
      <c r="Q362" s="293">
        <f t="shared" si="345"/>
        <v>0</v>
      </c>
      <c r="R362" s="293">
        <f t="shared" si="345"/>
        <v>0</v>
      </c>
      <c r="S362" s="293">
        <f t="shared" si="345"/>
        <v>0</v>
      </c>
      <c r="T362" s="293">
        <f t="shared" si="345"/>
        <v>0</v>
      </c>
      <c r="U362" s="293">
        <f t="shared" si="345"/>
        <v>0</v>
      </c>
      <c r="V362" s="293">
        <f t="shared" si="345"/>
        <v>13.433055000000001</v>
      </c>
      <c r="W362" s="293">
        <f t="shared" si="345"/>
        <v>22.173895000000002</v>
      </c>
      <c r="X362" s="293">
        <f t="shared" si="345"/>
        <v>16.037792000000003</v>
      </c>
      <c r="Y362" s="293">
        <f t="shared" si="345"/>
        <v>3.2359209999999998</v>
      </c>
      <c r="Z362" s="293">
        <f t="shared" si="345"/>
        <v>53.930360000000007</v>
      </c>
      <c r="AA362" s="293">
        <f t="shared" si="345"/>
        <v>28.021980000000003</v>
      </c>
      <c r="AB362" s="293">
        <f t="shared" si="345"/>
        <v>6.8374311196800006</v>
      </c>
      <c r="AC362" s="293">
        <f t="shared" si="345"/>
        <v>6.0669615865776674</v>
      </c>
      <c r="AD362" s="293">
        <f t="shared" si="345"/>
        <v>6.1483997568196669</v>
      </c>
      <c r="AE362" s="293">
        <f t="shared" si="345"/>
        <v>6.1595005401106668</v>
      </c>
      <c r="AF362" s="293">
        <f t="shared" si="345"/>
        <v>6.1532054534166667</v>
      </c>
      <c r="AG362" s="293">
        <f t="shared" si="345"/>
        <v>6.1442698497916677</v>
      </c>
      <c r="AH362" s="293">
        <f t="shared" si="345"/>
        <v>6.1537581711666665</v>
      </c>
      <c r="AI362" s="293">
        <f t="shared" si="345"/>
        <v>0</v>
      </c>
      <c r="AJ362" s="293">
        <f t="shared" si="345"/>
        <v>0</v>
      </c>
      <c r="AK362" s="293">
        <f t="shared" si="345"/>
        <v>0</v>
      </c>
      <c r="AL362" s="293">
        <f t="shared" si="345"/>
        <v>0</v>
      </c>
      <c r="AM362" s="293">
        <f t="shared" si="345"/>
        <v>0</v>
      </c>
      <c r="AN362" s="293">
        <f t="shared" si="345"/>
        <v>0</v>
      </c>
      <c r="AO362" s="293">
        <f t="shared" si="345"/>
        <v>0</v>
      </c>
      <c r="AP362" s="293">
        <f t="shared" si="345"/>
        <v>0</v>
      </c>
      <c r="AQ362" s="293">
        <f t="shared" si="345"/>
        <v>0</v>
      </c>
      <c r="AR362" s="293">
        <f t="shared" si="345"/>
        <v>0</v>
      </c>
      <c r="AS362" s="293">
        <f t="shared" si="345"/>
        <v>0</v>
      </c>
    </row>
    <row r="363" spans="1:45" ht="15" customHeight="1" x14ac:dyDescent="0.3">
      <c r="A363" s="528"/>
      <c r="B363" s="528"/>
      <c r="C363" s="529"/>
      <c r="D363" s="264"/>
      <c r="E363" s="36"/>
      <c r="F363" s="264"/>
      <c r="G363" s="293"/>
      <c r="H363" s="185"/>
      <c r="I363" s="185"/>
      <c r="J363" s="260"/>
      <c r="K363" s="264"/>
      <c r="L363" s="264"/>
      <c r="M363" s="264"/>
      <c r="N363" s="264"/>
      <c r="O363" s="264"/>
      <c r="P363" s="264"/>
      <c r="Q363" s="264"/>
      <c r="R363" s="264"/>
      <c r="S363" s="264"/>
      <c r="T363" s="264"/>
      <c r="U363" s="293"/>
      <c r="V363" s="293"/>
      <c r="W363" s="293"/>
      <c r="X363" s="293"/>
      <c r="Y363" s="293"/>
      <c r="Z363" s="293"/>
      <c r="AA363" s="293"/>
      <c r="AB363" s="293"/>
      <c r="AC363" s="293"/>
      <c r="AD363" s="293"/>
      <c r="AE363" s="293"/>
      <c r="AF363" s="293"/>
      <c r="AG363" s="293"/>
      <c r="AH363" s="293"/>
      <c r="AI363" s="293"/>
      <c r="AJ363" s="293"/>
      <c r="AK363" s="293"/>
      <c r="AL363" s="293"/>
      <c r="AM363" s="293"/>
      <c r="AN363" s="293"/>
      <c r="AO363" s="293"/>
      <c r="AP363" s="293"/>
      <c r="AQ363" s="293"/>
      <c r="AR363" s="293"/>
      <c r="AS363" s="293"/>
    </row>
    <row r="364" spans="1:45" ht="15" customHeight="1" x14ac:dyDescent="0.3">
      <c r="A364" s="129"/>
      <c r="B364" s="129"/>
      <c r="C364" s="130"/>
      <c r="D364" s="106"/>
      <c r="E364" s="169" t="str">
        <f xml:space="preserve"> E$346</f>
        <v>Copper cathode revenue</v>
      </c>
      <c r="F364" s="169">
        <f t="shared" ref="F364:O364" si="346" xml:space="preserve"> F$346</f>
        <v>0</v>
      </c>
      <c r="G364" s="169" t="str">
        <f t="shared" si="346"/>
        <v>$ mn</v>
      </c>
      <c r="H364" s="169">
        <f t="shared" si="346"/>
        <v>0</v>
      </c>
      <c r="I364" s="169">
        <f t="shared" si="346"/>
        <v>7384.727123508419</v>
      </c>
      <c r="J364" s="169">
        <f t="shared" si="346"/>
        <v>0</v>
      </c>
      <c r="K364" s="169">
        <f t="shared" si="346"/>
        <v>0</v>
      </c>
      <c r="L364" s="169">
        <f t="shared" si="346"/>
        <v>0</v>
      </c>
      <c r="M364" s="169">
        <f t="shared" si="346"/>
        <v>0</v>
      </c>
      <c r="N364" s="169">
        <f t="shared" si="346"/>
        <v>0</v>
      </c>
      <c r="O364" s="169">
        <f t="shared" si="346"/>
        <v>0</v>
      </c>
      <c r="P364" s="169">
        <f t="shared" ref="P364:AS364" si="347" xml:space="preserve"> P$346</f>
        <v>0</v>
      </c>
      <c r="Q364" s="169">
        <f t="shared" si="347"/>
        <v>0</v>
      </c>
      <c r="R364" s="169">
        <f t="shared" si="347"/>
        <v>0</v>
      </c>
      <c r="S364" s="169">
        <f t="shared" si="347"/>
        <v>0</v>
      </c>
      <c r="T364" s="169">
        <f t="shared" si="347"/>
        <v>0</v>
      </c>
      <c r="U364" s="169">
        <f t="shared" si="347"/>
        <v>0</v>
      </c>
      <c r="V364" s="169">
        <f t="shared" si="347"/>
        <v>0</v>
      </c>
      <c r="W364" s="169">
        <f t="shared" si="347"/>
        <v>0</v>
      </c>
      <c r="X364" s="169">
        <f t="shared" si="347"/>
        <v>144.71257500000002</v>
      </c>
      <c r="Y364" s="169">
        <f t="shared" si="347"/>
        <v>344.22522000000004</v>
      </c>
      <c r="Z364" s="169">
        <f t="shared" si="347"/>
        <v>500.75564000000003</v>
      </c>
      <c r="AA364" s="169">
        <f t="shared" si="347"/>
        <v>503.596788</v>
      </c>
      <c r="AB364" s="169">
        <f t="shared" si="347"/>
        <v>593.56227937879214</v>
      </c>
      <c r="AC364" s="169">
        <f t="shared" si="347"/>
        <v>425.66988688671205</v>
      </c>
      <c r="AD364" s="169">
        <f t="shared" si="347"/>
        <v>686.82036287893595</v>
      </c>
      <c r="AE364" s="169">
        <f t="shared" si="347"/>
        <v>688.06040001212796</v>
      </c>
      <c r="AF364" s="169">
        <f t="shared" si="347"/>
        <v>687.35719366599994</v>
      </c>
      <c r="AG364" s="169">
        <f t="shared" si="347"/>
        <v>686.35902263500009</v>
      </c>
      <c r="AH364" s="169">
        <f t="shared" si="347"/>
        <v>687.41893620399992</v>
      </c>
      <c r="AI364" s="169">
        <f t="shared" si="347"/>
        <v>585.78008147987418</v>
      </c>
      <c r="AJ364" s="169">
        <f t="shared" si="347"/>
        <v>597.93236962947174</v>
      </c>
      <c r="AK364" s="169">
        <f t="shared" si="347"/>
        <v>252.47636773750617</v>
      </c>
      <c r="AL364" s="169">
        <f t="shared" si="347"/>
        <v>0</v>
      </c>
      <c r="AM364" s="169">
        <f t="shared" si="347"/>
        <v>0</v>
      </c>
      <c r="AN364" s="169">
        <f t="shared" si="347"/>
        <v>0</v>
      </c>
      <c r="AO364" s="169">
        <f t="shared" si="347"/>
        <v>0</v>
      </c>
      <c r="AP364" s="169">
        <f t="shared" si="347"/>
        <v>0</v>
      </c>
      <c r="AQ364" s="169">
        <f t="shared" si="347"/>
        <v>0</v>
      </c>
      <c r="AR364" s="169">
        <f t="shared" si="347"/>
        <v>0</v>
      </c>
      <c r="AS364" s="169">
        <f t="shared" si="347"/>
        <v>0</v>
      </c>
    </row>
    <row r="365" spans="1:45" ht="15" customHeight="1" x14ac:dyDescent="0.3">
      <c r="A365" s="129"/>
      <c r="B365" s="129"/>
      <c r="C365" s="130"/>
      <c r="D365" s="106"/>
      <c r="E365" s="169" t="str">
        <f xml:space="preserve"> E$350</f>
        <v>Blister copper revenue</v>
      </c>
      <c r="F365" s="169">
        <f t="shared" ref="F365:O365" si="348" xml:space="preserve"> F$350</f>
        <v>0</v>
      </c>
      <c r="G365" s="169" t="str">
        <f t="shared" si="348"/>
        <v>$ mn</v>
      </c>
      <c r="H365" s="169">
        <f t="shared" si="348"/>
        <v>0</v>
      </c>
      <c r="I365" s="169">
        <f t="shared" si="348"/>
        <v>2727.1287125468639</v>
      </c>
      <c r="J365" s="169">
        <f t="shared" si="348"/>
        <v>0</v>
      </c>
      <c r="K365" s="169">
        <f t="shared" si="348"/>
        <v>0</v>
      </c>
      <c r="L365" s="169">
        <f t="shared" si="348"/>
        <v>0</v>
      </c>
      <c r="M365" s="169">
        <f t="shared" si="348"/>
        <v>0</v>
      </c>
      <c r="N365" s="169">
        <f t="shared" si="348"/>
        <v>0</v>
      </c>
      <c r="O365" s="169">
        <f t="shared" si="348"/>
        <v>0</v>
      </c>
      <c r="P365" s="169">
        <f t="shared" ref="P365:AS365" si="349" xml:space="preserve"> P$350</f>
        <v>0</v>
      </c>
      <c r="Q365" s="169">
        <f t="shared" si="349"/>
        <v>0</v>
      </c>
      <c r="R365" s="169">
        <f t="shared" si="349"/>
        <v>0</v>
      </c>
      <c r="S365" s="169">
        <f t="shared" si="349"/>
        <v>0</v>
      </c>
      <c r="T365" s="169">
        <f t="shared" si="349"/>
        <v>0</v>
      </c>
      <c r="U365" s="169">
        <f t="shared" si="349"/>
        <v>0</v>
      </c>
      <c r="V365" s="169">
        <f t="shared" si="349"/>
        <v>63.220032000000003</v>
      </c>
      <c r="W365" s="169">
        <f t="shared" si="349"/>
        <v>174.026568</v>
      </c>
      <c r="X365" s="169">
        <f t="shared" si="349"/>
        <v>188.93192700000003</v>
      </c>
      <c r="Y365" s="169">
        <f t="shared" si="349"/>
        <v>193.81778</v>
      </c>
      <c r="Z365" s="169">
        <f t="shared" si="349"/>
        <v>207.74154000000001</v>
      </c>
      <c r="AA365" s="169">
        <f t="shared" si="349"/>
        <v>152.49953399999998</v>
      </c>
      <c r="AB365" s="169">
        <f t="shared" si="349"/>
        <v>173.36073805698615</v>
      </c>
      <c r="AC365" s="169">
        <f t="shared" si="349"/>
        <v>192.15016849119979</v>
      </c>
      <c r="AD365" s="169">
        <f t="shared" si="349"/>
        <v>194.7294427968481</v>
      </c>
      <c r="AE365" s="169">
        <f t="shared" si="349"/>
        <v>195.08102197685628</v>
      </c>
      <c r="AF365" s="169">
        <f t="shared" si="349"/>
        <v>194.88164672918782</v>
      </c>
      <c r="AG365" s="169">
        <f t="shared" si="349"/>
        <v>194.59864217779713</v>
      </c>
      <c r="AH365" s="169">
        <f t="shared" si="349"/>
        <v>194.8991521653563</v>
      </c>
      <c r="AI365" s="169">
        <f t="shared" si="349"/>
        <v>166.07993020381628</v>
      </c>
      <c r="AJ365" s="169">
        <f t="shared" si="349"/>
        <v>169.52533784315258</v>
      </c>
      <c r="AK365" s="169">
        <f t="shared" si="349"/>
        <v>71.585251105663886</v>
      </c>
      <c r="AL365" s="169">
        <f t="shared" si="349"/>
        <v>0</v>
      </c>
      <c r="AM365" s="169">
        <f t="shared" si="349"/>
        <v>0</v>
      </c>
      <c r="AN365" s="169">
        <f t="shared" si="349"/>
        <v>0</v>
      </c>
      <c r="AO365" s="169">
        <f t="shared" si="349"/>
        <v>0</v>
      </c>
      <c r="AP365" s="169">
        <f t="shared" si="349"/>
        <v>0</v>
      </c>
      <c r="AQ365" s="169">
        <f t="shared" si="349"/>
        <v>0</v>
      </c>
      <c r="AR365" s="169">
        <f t="shared" si="349"/>
        <v>0</v>
      </c>
      <c r="AS365" s="169">
        <f t="shared" si="349"/>
        <v>0</v>
      </c>
    </row>
    <row r="366" spans="1:45" ht="15" customHeight="1" x14ac:dyDescent="0.3">
      <c r="A366" s="129"/>
      <c r="B366" s="129"/>
      <c r="C366" s="130"/>
      <c r="D366" s="106"/>
      <c r="E366" s="169" t="str">
        <f xml:space="preserve"> E$354</f>
        <v>Copper matt revenue</v>
      </c>
      <c r="F366" s="169">
        <f t="shared" ref="F366:O366" si="350" xml:space="preserve"> F$354</f>
        <v>0</v>
      </c>
      <c r="G366" s="169" t="str">
        <f t="shared" si="350"/>
        <v>$ mn</v>
      </c>
      <c r="H366" s="169">
        <f t="shared" si="350"/>
        <v>0</v>
      </c>
      <c r="I366" s="169">
        <f t="shared" si="350"/>
        <v>245.26641945085356</v>
      </c>
      <c r="J366" s="169">
        <f t="shared" si="350"/>
        <v>0</v>
      </c>
      <c r="K366" s="169">
        <f t="shared" si="350"/>
        <v>0</v>
      </c>
      <c r="L366" s="169">
        <f t="shared" si="350"/>
        <v>0</v>
      </c>
      <c r="M366" s="169">
        <f t="shared" si="350"/>
        <v>0</v>
      </c>
      <c r="N366" s="169">
        <f t="shared" si="350"/>
        <v>0</v>
      </c>
      <c r="O366" s="169">
        <f t="shared" si="350"/>
        <v>0</v>
      </c>
      <c r="P366" s="169">
        <f t="shared" ref="P366:AS366" si="351" xml:space="preserve"> P$354</f>
        <v>0</v>
      </c>
      <c r="Q366" s="169">
        <f t="shared" si="351"/>
        <v>0</v>
      </c>
      <c r="R366" s="169">
        <f t="shared" si="351"/>
        <v>0</v>
      </c>
      <c r="S366" s="169">
        <f t="shared" si="351"/>
        <v>0</v>
      </c>
      <c r="T366" s="169">
        <f t="shared" si="351"/>
        <v>0</v>
      </c>
      <c r="U366" s="169">
        <f t="shared" si="351"/>
        <v>0</v>
      </c>
      <c r="V366" s="169">
        <f t="shared" si="351"/>
        <v>3.1575600000000001</v>
      </c>
      <c r="W366" s="169">
        <f t="shared" si="351"/>
        <v>19.352982000000001</v>
      </c>
      <c r="X366" s="169">
        <f t="shared" si="351"/>
        <v>17.313479999999998</v>
      </c>
      <c r="Y366" s="169">
        <f t="shared" si="351"/>
        <v>17.545144000000001</v>
      </c>
      <c r="Z366" s="169">
        <f t="shared" si="351"/>
        <v>12.359424000000001</v>
      </c>
      <c r="AA366" s="169">
        <f t="shared" si="351"/>
        <v>12.410125000000001</v>
      </c>
      <c r="AB366" s="169">
        <f t="shared" si="351"/>
        <v>22.837019939731203</v>
      </c>
      <c r="AC366" s="169">
        <f t="shared" si="351"/>
        <v>17.132623948329073</v>
      </c>
      <c r="AD366" s="169">
        <f t="shared" si="351"/>
        <v>17.36259895738187</v>
      </c>
      <c r="AE366" s="169">
        <f t="shared" si="351"/>
        <v>17.39394669923627</v>
      </c>
      <c r="AF366" s="169">
        <f t="shared" si="351"/>
        <v>17.376169867866668</v>
      </c>
      <c r="AG366" s="169">
        <f t="shared" si="351"/>
        <v>17.350936423666674</v>
      </c>
      <c r="AH366" s="169">
        <f t="shared" si="351"/>
        <v>17.377730699466667</v>
      </c>
      <c r="AI366" s="169">
        <f t="shared" si="351"/>
        <v>14.804813813411613</v>
      </c>
      <c r="AJ366" s="169">
        <f t="shared" si="351"/>
        <v>15.111946761679846</v>
      </c>
      <c r="AK366" s="169">
        <f t="shared" si="351"/>
        <v>6.3799173400836855</v>
      </c>
      <c r="AL366" s="169">
        <f t="shared" si="351"/>
        <v>0</v>
      </c>
      <c r="AM366" s="169">
        <f t="shared" si="351"/>
        <v>0</v>
      </c>
      <c r="AN366" s="169">
        <f t="shared" si="351"/>
        <v>0</v>
      </c>
      <c r="AO366" s="169">
        <f t="shared" si="351"/>
        <v>0</v>
      </c>
      <c r="AP366" s="169">
        <f t="shared" si="351"/>
        <v>0</v>
      </c>
      <c r="AQ366" s="169">
        <f t="shared" si="351"/>
        <v>0</v>
      </c>
      <c r="AR366" s="169">
        <f t="shared" si="351"/>
        <v>0</v>
      </c>
      <c r="AS366" s="169">
        <f t="shared" si="351"/>
        <v>0</v>
      </c>
    </row>
    <row r="367" spans="1:45" ht="15" customHeight="1" x14ac:dyDescent="0.3">
      <c r="A367" s="129"/>
      <c r="B367" s="129"/>
      <c r="C367" s="130"/>
      <c r="D367" s="106"/>
      <c r="E367" s="169" t="str">
        <f xml:space="preserve"> E$358</f>
        <v>Copper sulfide concentrates revenue</v>
      </c>
      <c r="F367" s="169">
        <f t="shared" ref="F367:O367" si="352" xml:space="preserve"> F$358</f>
        <v>0</v>
      </c>
      <c r="G367" s="169" t="str">
        <f t="shared" si="352"/>
        <v>$ mn</v>
      </c>
      <c r="H367" s="169">
        <f t="shared" si="352"/>
        <v>0</v>
      </c>
      <c r="I367" s="169">
        <f t="shared" si="352"/>
        <v>913.87072103598462</v>
      </c>
      <c r="J367" s="169">
        <f t="shared" si="352"/>
        <v>0</v>
      </c>
      <c r="K367" s="169">
        <f t="shared" si="352"/>
        <v>0</v>
      </c>
      <c r="L367" s="169">
        <f t="shared" si="352"/>
        <v>0</v>
      </c>
      <c r="M367" s="169">
        <f t="shared" si="352"/>
        <v>0</v>
      </c>
      <c r="N367" s="169">
        <f t="shared" si="352"/>
        <v>0</v>
      </c>
      <c r="O367" s="169">
        <f t="shared" si="352"/>
        <v>0</v>
      </c>
      <c r="P367" s="169">
        <f t="shared" ref="P367:AS367" si="353" xml:space="preserve"> P$358</f>
        <v>0</v>
      </c>
      <c r="Q367" s="169">
        <f t="shared" si="353"/>
        <v>0</v>
      </c>
      <c r="R367" s="169">
        <f t="shared" si="353"/>
        <v>0</v>
      </c>
      <c r="S367" s="169">
        <f t="shared" si="353"/>
        <v>0</v>
      </c>
      <c r="T367" s="169">
        <f t="shared" si="353"/>
        <v>0</v>
      </c>
      <c r="U367" s="169">
        <f t="shared" si="353"/>
        <v>0</v>
      </c>
      <c r="V367" s="169">
        <f t="shared" si="353"/>
        <v>24.869958000000004</v>
      </c>
      <c r="W367" s="169">
        <f t="shared" si="353"/>
        <v>59.568662999999994</v>
      </c>
      <c r="X367" s="169">
        <f t="shared" si="353"/>
        <v>49.853550000000006</v>
      </c>
      <c r="Y367" s="169">
        <f t="shared" si="353"/>
        <v>76.948352000000014</v>
      </c>
      <c r="Z367" s="169">
        <f t="shared" si="353"/>
        <v>284.39523400000002</v>
      </c>
      <c r="AA367" s="169">
        <f t="shared" si="353"/>
        <v>241.92431400000001</v>
      </c>
      <c r="AB367" s="169">
        <f t="shared" si="353"/>
        <v>176.31065003598468</v>
      </c>
      <c r="AC367" s="169">
        <f t="shared" si="353"/>
        <v>0</v>
      </c>
      <c r="AD367" s="169">
        <f t="shared" si="353"/>
        <v>0</v>
      </c>
      <c r="AE367" s="169">
        <f t="shared" si="353"/>
        <v>0</v>
      </c>
      <c r="AF367" s="169">
        <f t="shared" si="353"/>
        <v>0</v>
      </c>
      <c r="AG367" s="169">
        <f t="shared" si="353"/>
        <v>0</v>
      </c>
      <c r="AH367" s="169">
        <f t="shared" si="353"/>
        <v>0</v>
      </c>
      <c r="AI367" s="169">
        <f t="shared" si="353"/>
        <v>0</v>
      </c>
      <c r="AJ367" s="169">
        <f t="shared" si="353"/>
        <v>0</v>
      </c>
      <c r="AK367" s="169">
        <f t="shared" si="353"/>
        <v>0</v>
      </c>
      <c r="AL367" s="169">
        <f t="shared" si="353"/>
        <v>0</v>
      </c>
      <c r="AM367" s="169">
        <f t="shared" si="353"/>
        <v>0</v>
      </c>
      <c r="AN367" s="169">
        <f t="shared" si="353"/>
        <v>0</v>
      </c>
      <c r="AO367" s="169">
        <f t="shared" si="353"/>
        <v>0</v>
      </c>
      <c r="AP367" s="169">
        <f t="shared" si="353"/>
        <v>0</v>
      </c>
      <c r="AQ367" s="169">
        <f t="shared" si="353"/>
        <v>0</v>
      </c>
      <c r="AR367" s="169">
        <f t="shared" si="353"/>
        <v>0</v>
      </c>
      <c r="AS367" s="169">
        <f t="shared" si="353"/>
        <v>0</v>
      </c>
    </row>
    <row r="368" spans="1:45" ht="15" customHeight="1" x14ac:dyDescent="0.3">
      <c r="A368" s="129"/>
      <c r="B368" s="129"/>
      <c r="C368" s="130"/>
      <c r="D368" s="106"/>
      <c r="E368" s="40" t="str">
        <f xml:space="preserve"> E$362</f>
        <v>Copper oxide concentrates revenue</v>
      </c>
      <c r="F368" s="40">
        <f t="shared" ref="F368:O368" si="354" xml:space="preserve"> F$362</f>
        <v>0</v>
      </c>
      <c r="G368" s="40" t="str">
        <f t="shared" si="354"/>
        <v>$ mn</v>
      </c>
      <c r="H368" s="40">
        <f t="shared" si="354"/>
        <v>0</v>
      </c>
      <c r="I368" s="40">
        <f t="shared" si="354"/>
        <v>180.49652947756297</v>
      </c>
      <c r="J368" s="40">
        <f t="shared" si="354"/>
        <v>0</v>
      </c>
      <c r="K368" s="40">
        <f t="shared" si="354"/>
        <v>0</v>
      </c>
      <c r="L368" s="40">
        <f t="shared" si="354"/>
        <v>0</v>
      </c>
      <c r="M368" s="40">
        <f t="shared" si="354"/>
        <v>0</v>
      </c>
      <c r="N368" s="40">
        <f t="shared" si="354"/>
        <v>0</v>
      </c>
      <c r="O368" s="40">
        <f t="shared" si="354"/>
        <v>0</v>
      </c>
      <c r="P368" s="40">
        <f t="shared" ref="P368:AS368" si="355" xml:space="preserve"> P$362</f>
        <v>0</v>
      </c>
      <c r="Q368" s="40">
        <f t="shared" si="355"/>
        <v>0</v>
      </c>
      <c r="R368" s="40">
        <f t="shared" si="355"/>
        <v>0</v>
      </c>
      <c r="S368" s="40">
        <f t="shared" si="355"/>
        <v>0</v>
      </c>
      <c r="T368" s="40">
        <f t="shared" si="355"/>
        <v>0</v>
      </c>
      <c r="U368" s="40">
        <f t="shared" si="355"/>
        <v>0</v>
      </c>
      <c r="V368" s="40">
        <f t="shared" si="355"/>
        <v>13.433055000000001</v>
      </c>
      <c r="W368" s="40">
        <f t="shared" si="355"/>
        <v>22.173895000000002</v>
      </c>
      <c r="X368" s="40">
        <f t="shared" si="355"/>
        <v>16.037792000000003</v>
      </c>
      <c r="Y368" s="40">
        <f t="shared" si="355"/>
        <v>3.2359209999999998</v>
      </c>
      <c r="Z368" s="40">
        <f t="shared" si="355"/>
        <v>53.930360000000007</v>
      </c>
      <c r="AA368" s="40">
        <f t="shared" si="355"/>
        <v>28.021980000000003</v>
      </c>
      <c r="AB368" s="40">
        <f t="shared" si="355"/>
        <v>6.8374311196800006</v>
      </c>
      <c r="AC368" s="40">
        <f t="shared" si="355"/>
        <v>6.0669615865776674</v>
      </c>
      <c r="AD368" s="40">
        <f t="shared" si="355"/>
        <v>6.1483997568196669</v>
      </c>
      <c r="AE368" s="40">
        <f t="shared" si="355"/>
        <v>6.1595005401106668</v>
      </c>
      <c r="AF368" s="40">
        <f t="shared" si="355"/>
        <v>6.1532054534166667</v>
      </c>
      <c r="AG368" s="40">
        <f t="shared" si="355"/>
        <v>6.1442698497916677</v>
      </c>
      <c r="AH368" s="40">
        <f t="shared" si="355"/>
        <v>6.1537581711666665</v>
      </c>
      <c r="AI368" s="40">
        <f t="shared" si="355"/>
        <v>0</v>
      </c>
      <c r="AJ368" s="40">
        <f t="shared" si="355"/>
        <v>0</v>
      </c>
      <c r="AK368" s="40">
        <f t="shared" si="355"/>
        <v>0</v>
      </c>
      <c r="AL368" s="40">
        <f t="shared" si="355"/>
        <v>0</v>
      </c>
      <c r="AM368" s="40">
        <f t="shared" si="355"/>
        <v>0</v>
      </c>
      <c r="AN368" s="40">
        <f t="shared" si="355"/>
        <v>0</v>
      </c>
      <c r="AO368" s="40">
        <f t="shared" si="355"/>
        <v>0</v>
      </c>
      <c r="AP368" s="40">
        <f t="shared" si="355"/>
        <v>0</v>
      </c>
      <c r="AQ368" s="40">
        <f t="shared" si="355"/>
        <v>0</v>
      </c>
      <c r="AR368" s="40">
        <f t="shared" si="355"/>
        <v>0</v>
      </c>
      <c r="AS368" s="40">
        <f t="shared" si="355"/>
        <v>0</v>
      </c>
    </row>
    <row r="369" spans="1:45" ht="15" customHeight="1" x14ac:dyDescent="0.3">
      <c r="A369" s="533"/>
      <c r="B369" s="533"/>
      <c r="C369" s="534"/>
      <c r="D369" s="535"/>
      <c r="E369" s="535" t="s">
        <v>554</v>
      </c>
      <c r="F369" s="535"/>
      <c r="G369" s="109" t="s">
        <v>346</v>
      </c>
      <c r="H369" s="204"/>
      <c r="I369" s="204">
        <f>SUM(K369:AS369)</f>
        <v>11451.489506019687</v>
      </c>
      <c r="J369" s="536"/>
      <c r="K369" s="535">
        <f t="shared" ref="K369:O369" si="356">SUM(K364:K368)</f>
        <v>0</v>
      </c>
      <c r="L369" s="535">
        <f t="shared" si="356"/>
        <v>0</v>
      </c>
      <c r="M369" s="535">
        <f t="shared" si="356"/>
        <v>0</v>
      </c>
      <c r="N369" s="535">
        <f t="shared" si="356"/>
        <v>0</v>
      </c>
      <c r="O369" s="535">
        <f t="shared" si="356"/>
        <v>0</v>
      </c>
      <c r="P369" s="535">
        <f t="shared" ref="P369:R369" si="357">SUM(P364:P368)</f>
        <v>0</v>
      </c>
      <c r="Q369" s="535">
        <f t="shared" si="357"/>
        <v>0</v>
      </c>
      <c r="R369" s="535">
        <f t="shared" si="357"/>
        <v>0</v>
      </c>
      <c r="S369" s="535">
        <f>SUM(S364:S368)</f>
        <v>0</v>
      </c>
      <c r="T369" s="535">
        <f t="shared" ref="T369:AS369" si="358">SUM(T364:T368)</f>
        <v>0</v>
      </c>
      <c r="U369" s="535">
        <f t="shared" si="358"/>
        <v>0</v>
      </c>
      <c r="V369" s="535">
        <f t="shared" si="358"/>
        <v>104.68060500000001</v>
      </c>
      <c r="W369" s="535">
        <f t="shared" si="358"/>
        <v>275.12210799999997</v>
      </c>
      <c r="X369" s="535">
        <f t="shared" si="358"/>
        <v>416.84932400000002</v>
      </c>
      <c r="Y369" s="535">
        <f t="shared" si="358"/>
        <v>635.77241700000002</v>
      </c>
      <c r="Z369" s="535">
        <f t="shared" si="358"/>
        <v>1059.1821980000002</v>
      </c>
      <c r="AA369" s="535">
        <f t="shared" si="358"/>
        <v>938.45274099999995</v>
      </c>
      <c r="AB369" s="535">
        <f t="shared" si="358"/>
        <v>972.90811853117418</v>
      </c>
      <c r="AC369" s="535">
        <f t="shared" si="358"/>
        <v>641.01964091281855</v>
      </c>
      <c r="AD369" s="535">
        <f t="shared" si="358"/>
        <v>905.06080438998561</v>
      </c>
      <c r="AE369" s="535">
        <f t="shared" si="358"/>
        <v>906.69486922833119</v>
      </c>
      <c r="AF369" s="535">
        <f t="shared" si="358"/>
        <v>905.7682157164711</v>
      </c>
      <c r="AG369" s="535">
        <f t="shared" si="358"/>
        <v>904.45287108625553</v>
      </c>
      <c r="AH369" s="535">
        <f t="shared" si="358"/>
        <v>905.84957723998957</v>
      </c>
      <c r="AI369" s="535">
        <f t="shared" si="358"/>
        <v>766.66482549710213</v>
      </c>
      <c r="AJ369" s="535">
        <f t="shared" si="358"/>
        <v>782.56965423430415</v>
      </c>
      <c r="AK369" s="535">
        <f t="shared" si="358"/>
        <v>330.44153618325373</v>
      </c>
      <c r="AL369" s="535">
        <f t="shared" si="358"/>
        <v>0</v>
      </c>
      <c r="AM369" s="535">
        <f t="shared" si="358"/>
        <v>0</v>
      </c>
      <c r="AN369" s="535">
        <f t="shared" si="358"/>
        <v>0</v>
      </c>
      <c r="AO369" s="535">
        <f t="shared" si="358"/>
        <v>0</v>
      </c>
      <c r="AP369" s="535">
        <f t="shared" si="358"/>
        <v>0</v>
      </c>
      <c r="AQ369" s="535">
        <f t="shared" si="358"/>
        <v>0</v>
      </c>
      <c r="AR369" s="535">
        <f t="shared" si="358"/>
        <v>0</v>
      </c>
      <c r="AS369" s="535">
        <f t="shared" si="358"/>
        <v>0</v>
      </c>
    </row>
    <row r="370" spans="1:45" ht="15" customHeight="1" x14ac:dyDescent="0.3">
      <c r="A370" s="528"/>
      <c r="B370" s="528"/>
      <c r="C370" s="529"/>
      <c r="D370" s="264"/>
      <c r="E370" s="36"/>
      <c r="F370" s="264"/>
      <c r="G370" s="293"/>
      <c r="H370" s="185"/>
      <c r="I370" s="185"/>
      <c r="J370" s="260"/>
      <c r="K370" s="264"/>
      <c r="L370" s="264"/>
      <c r="M370" s="264"/>
      <c r="N370" s="264"/>
      <c r="O370" s="264"/>
      <c r="P370" s="264"/>
      <c r="Q370" s="264"/>
      <c r="R370" s="264"/>
      <c r="S370" s="264"/>
      <c r="T370" s="264"/>
      <c r="U370" s="293"/>
      <c r="V370" s="293"/>
      <c r="W370" s="293"/>
      <c r="X370" s="293"/>
      <c r="Y370" s="293"/>
      <c r="Z370" s="293"/>
      <c r="AA370" s="293"/>
      <c r="AB370" s="293"/>
      <c r="AC370" s="293"/>
      <c r="AD370" s="293"/>
      <c r="AE370" s="293"/>
      <c r="AF370" s="293"/>
      <c r="AG370" s="293"/>
      <c r="AH370" s="293"/>
      <c r="AI370" s="293"/>
      <c r="AJ370" s="293"/>
      <c r="AK370" s="293"/>
      <c r="AL370" s="293"/>
      <c r="AM370" s="293"/>
      <c r="AN370" s="293"/>
      <c r="AO370" s="293"/>
      <c r="AP370" s="293"/>
      <c r="AQ370" s="293"/>
      <c r="AR370" s="293"/>
      <c r="AS370" s="293"/>
    </row>
    <row r="371" spans="1:45" ht="15" customHeight="1" x14ac:dyDescent="0.3">
      <c r="A371" s="528"/>
      <c r="B371" s="528" t="s">
        <v>1052</v>
      </c>
      <c r="C371" s="529"/>
      <c r="D371" s="264"/>
      <c r="E371" s="36"/>
      <c r="F371" s="264"/>
      <c r="G371" s="293"/>
      <c r="H371" s="185"/>
      <c r="I371" s="185"/>
      <c r="J371" s="260"/>
      <c r="K371" s="264"/>
      <c r="L371" s="264"/>
      <c r="M371" s="264"/>
      <c r="N371" s="264"/>
      <c r="O371" s="264"/>
      <c r="P371" s="264"/>
      <c r="Q371" s="264"/>
      <c r="R371" s="264"/>
      <c r="S371" s="264"/>
      <c r="T371" s="264"/>
      <c r="U371" s="293"/>
      <c r="V371" s="293"/>
      <c r="W371" s="293"/>
      <c r="X371" s="293"/>
      <c r="Y371" s="293"/>
      <c r="Z371" s="293"/>
      <c r="AA371" s="293"/>
      <c r="AB371" s="293"/>
      <c r="AC371" s="293"/>
      <c r="AD371" s="293"/>
      <c r="AE371" s="293"/>
      <c r="AF371" s="293"/>
      <c r="AG371" s="293"/>
      <c r="AH371" s="293"/>
      <c r="AI371" s="293"/>
      <c r="AJ371" s="293"/>
      <c r="AK371" s="293"/>
      <c r="AL371" s="293"/>
      <c r="AM371" s="293"/>
      <c r="AN371" s="293"/>
      <c r="AO371" s="293"/>
      <c r="AP371" s="293"/>
      <c r="AQ371" s="293"/>
      <c r="AR371" s="293"/>
      <c r="AS371" s="293"/>
    </row>
    <row r="372" spans="1:45" ht="15" customHeight="1" x14ac:dyDescent="0.3">
      <c r="A372" s="528"/>
      <c r="B372" s="528"/>
      <c r="C372" s="529"/>
      <c r="D372" s="264"/>
      <c r="E372" s="40" t="str">
        <f xml:space="preserve"> E$341</f>
        <v>Copper revenue: Original</v>
      </c>
      <c r="F372" s="40">
        <f t="shared" ref="F372:AS372" si="359" xml:space="preserve"> F$341</f>
        <v>0</v>
      </c>
      <c r="G372" s="40" t="str">
        <f t="shared" si="359"/>
        <v>$ mn</v>
      </c>
      <c r="H372" s="40">
        <f t="shared" si="359"/>
        <v>0</v>
      </c>
      <c r="I372" s="40">
        <f t="shared" si="359"/>
        <v>0</v>
      </c>
      <c r="J372" s="40">
        <f t="shared" si="359"/>
        <v>0</v>
      </c>
      <c r="K372" s="40">
        <f t="shared" si="359"/>
        <v>0</v>
      </c>
      <c r="L372" s="40">
        <f t="shared" si="359"/>
        <v>0</v>
      </c>
      <c r="M372" s="40">
        <f t="shared" si="359"/>
        <v>0</v>
      </c>
      <c r="N372" s="40">
        <f t="shared" si="359"/>
        <v>0</v>
      </c>
      <c r="O372" s="40">
        <f t="shared" si="359"/>
        <v>0</v>
      </c>
      <c r="P372" s="40">
        <f t="shared" si="359"/>
        <v>0</v>
      </c>
      <c r="Q372" s="40">
        <f t="shared" si="359"/>
        <v>0</v>
      </c>
      <c r="R372" s="40">
        <f t="shared" si="359"/>
        <v>0</v>
      </c>
      <c r="S372" s="40">
        <f t="shared" si="359"/>
        <v>0</v>
      </c>
      <c r="T372" s="40">
        <f t="shared" si="359"/>
        <v>0</v>
      </c>
      <c r="U372" s="40">
        <f t="shared" si="359"/>
        <v>0</v>
      </c>
      <c r="V372" s="40">
        <f t="shared" si="359"/>
        <v>0</v>
      </c>
      <c r="W372" s="40">
        <f t="shared" si="359"/>
        <v>0</v>
      </c>
      <c r="X372" s="40">
        <f t="shared" si="359"/>
        <v>0</v>
      </c>
      <c r="Y372" s="40">
        <f t="shared" si="359"/>
        <v>0</v>
      </c>
      <c r="Z372" s="40">
        <f t="shared" si="359"/>
        <v>0</v>
      </c>
      <c r="AA372" s="40">
        <f t="shared" si="359"/>
        <v>0</v>
      </c>
      <c r="AB372" s="40">
        <f t="shared" si="359"/>
        <v>0</v>
      </c>
      <c r="AC372" s="40">
        <f t="shared" si="359"/>
        <v>0</v>
      </c>
      <c r="AD372" s="40">
        <f t="shared" si="359"/>
        <v>0</v>
      </c>
      <c r="AE372" s="40">
        <f t="shared" si="359"/>
        <v>0</v>
      </c>
      <c r="AF372" s="40">
        <f t="shared" si="359"/>
        <v>0</v>
      </c>
      <c r="AG372" s="40">
        <f t="shared" si="359"/>
        <v>0</v>
      </c>
      <c r="AH372" s="40">
        <f t="shared" si="359"/>
        <v>0</v>
      </c>
      <c r="AI372" s="40">
        <f t="shared" si="359"/>
        <v>0</v>
      </c>
      <c r="AJ372" s="40">
        <f t="shared" si="359"/>
        <v>0</v>
      </c>
      <c r="AK372" s="40">
        <f t="shared" si="359"/>
        <v>0</v>
      </c>
      <c r="AL372" s="40">
        <f t="shared" si="359"/>
        <v>0</v>
      </c>
      <c r="AM372" s="40">
        <f t="shared" si="359"/>
        <v>0</v>
      </c>
      <c r="AN372" s="40">
        <f t="shared" si="359"/>
        <v>0</v>
      </c>
      <c r="AO372" s="40">
        <f t="shared" si="359"/>
        <v>0</v>
      </c>
      <c r="AP372" s="40">
        <f t="shared" si="359"/>
        <v>0</v>
      </c>
      <c r="AQ372" s="40">
        <f t="shared" si="359"/>
        <v>0</v>
      </c>
      <c r="AR372" s="40">
        <f t="shared" si="359"/>
        <v>0</v>
      </c>
      <c r="AS372" s="40">
        <f t="shared" si="359"/>
        <v>0</v>
      </c>
    </row>
    <row r="373" spans="1:45" ht="15" customHeight="1" x14ac:dyDescent="0.3">
      <c r="A373" s="528"/>
      <c r="B373" s="528"/>
      <c r="C373" s="529"/>
      <c r="D373" s="264"/>
      <c r="E373" s="40" t="str">
        <f xml:space="preserve"> E$369</f>
        <v>Copper revenue: FS</v>
      </c>
      <c r="F373" s="40">
        <f t="shared" ref="F373:AS373" si="360" xml:space="preserve"> F$369</f>
        <v>0</v>
      </c>
      <c r="G373" s="40" t="str">
        <f t="shared" si="360"/>
        <v>$ mn</v>
      </c>
      <c r="H373" s="40">
        <f t="shared" si="360"/>
        <v>0</v>
      </c>
      <c r="I373" s="40">
        <f t="shared" si="360"/>
        <v>11451.489506019687</v>
      </c>
      <c r="J373" s="40">
        <f t="shared" si="360"/>
        <v>0</v>
      </c>
      <c r="K373" s="40">
        <f t="shared" si="360"/>
        <v>0</v>
      </c>
      <c r="L373" s="40">
        <f t="shared" si="360"/>
        <v>0</v>
      </c>
      <c r="M373" s="40">
        <f t="shared" si="360"/>
        <v>0</v>
      </c>
      <c r="N373" s="40">
        <f t="shared" si="360"/>
        <v>0</v>
      </c>
      <c r="O373" s="40">
        <f t="shared" si="360"/>
        <v>0</v>
      </c>
      <c r="P373" s="40">
        <f t="shared" si="360"/>
        <v>0</v>
      </c>
      <c r="Q373" s="40">
        <f t="shared" si="360"/>
        <v>0</v>
      </c>
      <c r="R373" s="40">
        <f t="shared" si="360"/>
        <v>0</v>
      </c>
      <c r="S373" s="40">
        <f t="shared" si="360"/>
        <v>0</v>
      </c>
      <c r="T373" s="40">
        <f t="shared" si="360"/>
        <v>0</v>
      </c>
      <c r="U373" s="40">
        <f t="shared" si="360"/>
        <v>0</v>
      </c>
      <c r="V373" s="40">
        <f t="shared" si="360"/>
        <v>104.68060500000001</v>
      </c>
      <c r="W373" s="40">
        <f t="shared" si="360"/>
        <v>275.12210799999997</v>
      </c>
      <c r="X373" s="40">
        <f t="shared" si="360"/>
        <v>416.84932400000002</v>
      </c>
      <c r="Y373" s="40">
        <f t="shared" si="360"/>
        <v>635.77241700000002</v>
      </c>
      <c r="Z373" s="40">
        <f t="shared" si="360"/>
        <v>1059.1821980000002</v>
      </c>
      <c r="AA373" s="40">
        <f t="shared" si="360"/>
        <v>938.45274099999995</v>
      </c>
      <c r="AB373" s="40">
        <f t="shared" si="360"/>
        <v>972.90811853117418</v>
      </c>
      <c r="AC373" s="40">
        <f t="shared" si="360"/>
        <v>641.01964091281855</v>
      </c>
      <c r="AD373" s="40">
        <f t="shared" si="360"/>
        <v>905.06080438998561</v>
      </c>
      <c r="AE373" s="40">
        <f t="shared" si="360"/>
        <v>906.69486922833119</v>
      </c>
      <c r="AF373" s="40">
        <f t="shared" si="360"/>
        <v>905.7682157164711</v>
      </c>
      <c r="AG373" s="40">
        <f t="shared" si="360"/>
        <v>904.45287108625553</v>
      </c>
      <c r="AH373" s="40">
        <f t="shared" si="360"/>
        <v>905.84957723998957</v>
      </c>
      <c r="AI373" s="40">
        <f t="shared" si="360"/>
        <v>766.66482549710213</v>
      </c>
      <c r="AJ373" s="40">
        <f t="shared" si="360"/>
        <v>782.56965423430415</v>
      </c>
      <c r="AK373" s="40">
        <f t="shared" si="360"/>
        <v>330.44153618325373</v>
      </c>
      <c r="AL373" s="40">
        <f t="shared" si="360"/>
        <v>0</v>
      </c>
      <c r="AM373" s="40">
        <f t="shared" si="360"/>
        <v>0</v>
      </c>
      <c r="AN373" s="40">
        <f t="shared" si="360"/>
        <v>0</v>
      </c>
      <c r="AO373" s="40">
        <f t="shared" si="360"/>
        <v>0</v>
      </c>
      <c r="AP373" s="40">
        <f t="shared" si="360"/>
        <v>0</v>
      </c>
      <c r="AQ373" s="40">
        <f t="shared" si="360"/>
        <v>0</v>
      </c>
      <c r="AR373" s="40">
        <f t="shared" si="360"/>
        <v>0</v>
      </c>
      <c r="AS373" s="40">
        <f t="shared" si="360"/>
        <v>0</v>
      </c>
    </row>
    <row r="374" spans="1:45" ht="15" customHeight="1" x14ac:dyDescent="0.3">
      <c r="A374" s="528"/>
      <c r="B374" s="528"/>
      <c r="C374" s="529"/>
      <c r="D374" s="264"/>
      <c r="E374" s="40"/>
      <c r="F374" s="40"/>
      <c r="G374" s="40"/>
      <c r="H374" s="40"/>
      <c r="I374" s="40"/>
      <c r="J374" s="40"/>
      <c r="K374" s="40"/>
      <c r="L374" s="40"/>
      <c r="M374" s="40"/>
      <c r="N374" s="40"/>
      <c r="O374" s="40"/>
      <c r="P374" s="40"/>
      <c r="Q374" s="40"/>
      <c r="R374" s="40"/>
      <c r="S374" s="40"/>
      <c r="T374" s="40"/>
      <c r="U374" s="40"/>
      <c r="V374" s="40"/>
      <c r="W374" s="40"/>
      <c r="X374" s="40"/>
      <c r="Y374" s="40"/>
      <c r="Z374" s="40"/>
      <c r="AA374" s="40"/>
      <c r="AB374" s="40"/>
      <c r="AC374" s="40"/>
      <c r="AD374" s="40"/>
      <c r="AE374" s="40"/>
      <c r="AF374" s="40"/>
      <c r="AG374" s="40"/>
      <c r="AH374" s="40"/>
      <c r="AI374" s="40"/>
      <c r="AJ374" s="40"/>
      <c r="AK374" s="40"/>
      <c r="AL374" s="40"/>
      <c r="AM374" s="40"/>
      <c r="AN374" s="40"/>
      <c r="AO374" s="40"/>
      <c r="AP374" s="40"/>
      <c r="AQ374" s="40"/>
      <c r="AR374" s="40"/>
      <c r="AS374" s="40"/>
    </row>
    <row r="375" spans="1:45" s="85" customFormat="1" ht="15" customHeight="1" x14ac:dyDescent="0.3">
      <c r="A375" s="1099"/>
      <c r="B375" s="1100"/>
      <c r="C375" s="1101"/>
      <c r="D375" s="1099"/>
      <c r="E375" s="1099" t="s">
        <v>656</v>
      </c>
      <c r="F375" s="1099"/>
      <c r="G375" s="1099" t="s">
        <v>346</v>
      </c>
      <c r="H375" s="1099"/>
      <c r="I375" s="1099">
        <f>SUM(K375:AS375)</f>
        <v>11451.489506019687</v>
      </c>
      <c r="J375" s="1099"/>
      <c r="K375" s="540">
        <f xml:space="preserve"> K372 + K373</f>
        <v>0</v>
      </c>
      <c r="L375" s="540">
        <f t="shared" ref="L375:AS375" si="361" xml:space="preserve"> L372 + L373</f>
        <v>0</v>
      </c>
      <c r="M375" s="540">
        <f t="shared" si="361"/>
        <v>0</v>
      </c>
      <c r="N375" s="540">
        <f t="shared" si="361"/>
        <v>0</v>
      </c>
      <c r="O375" s="540">
        <f t="shared" si="361"/>
        <v>0</v>
      </c>
      <c r="P375" s="540">
        <f t="shared" si="361"/>
        <v>0</v>
      </c>
      <c r="Q375" s="540">
        <f t="shared" si="361"/>
        <v>0</v>
      </c>
      <c r="R375" s="540">
        <f t="shared" si="361"/>
        <v>0</v>
      </c>
      <c r="S375" s="540">
        <f t="shared" si="361"/>
        <v>0</v>
      </c>
      <c r="T375" s="540">
        <f t="shared" si="361"/>
        <v>0</v>
      </c>
      <c r="U375" s="540">
        <f t="shared" si="361"/>
        <v>0</v>
      </c>
      <c r="V375" s="540">
        <f t="shared" si="361"/>
        <v>104.68060500000001</v>
      </c>
      <c r="W375" s="540">
        <f t="shared" si="361"/>
        <v>275.12210799999997</v>
      </c>
      <c r="X375" s="540">
        <f t="shared" si="361"/>
        <v>416.84932400000002</v>
      </c>
      <c r="Y375" s="540">
        <f t="shared" si="361"/>
        <v>635.77241700000002</v>
      </c>
      <c r="Z375" s="540">
        <f t="shared" si="361"/>
        <v>1059.1821980000002</v>
      </c>
      <c r="AA375" s="540">
        <f t="shared" si="361"/>
        <v>938.45274099999995</v>
      </c>
      <c r="AB375" s="540">
        <f t="shared" si="361"/>
        <v>972.90811853117418</v>
      </c>
      <c r="AC375" s="540">
        <f t="shared" si="361"/>
        <v>641.01964091281855</v>
      </c>
      <c r="AD375" s="540">
        <f t="shared" si="361"/>
        <v>905.06080438998561</v>
      </c>
      <c r="AE375" s="540">
        <f t="shared" si="361"/>
        <v>906.69486922833119</v>
      </c>
      <c r="AF375" s="540">
        <f t="shared" si="361"/>
        <v>905.7682157164711</v>
      </c>
      <c r="AG375" s="540">
        <f t="shared" si="361"/>
        <v>904.45287108625553</v>
      </c>
      <c r="AH375" s="540">
        <f t="shared" si="361"/>
        <v>905.84957723998957</v>
      </c>
      <c r="AI375" s="540">
        <f t="shared" si="361"/>
        <v>766.66482549710213</v>
      </c>
      <c r="AJ375" s="540">
        <f t="shared" si="361"/>
        <v>782.56965423430415</v>
      </c>
      <c r="AK375" s="540">
        <f t="shared" si="361"/>
        <v>330.44153618325373</v>
      </c>
      <c r="AL375" s="540">
        <f t="shared" si="361"/>
        <v>0</v>
      </c>
      <c r="AM375" s="540">
        <f t="shared" si="361"/>
        <v>0</v>
      </c>
      <c r="AN375" s="540">
        <f t="shared" si="361"/>
        <v>0</v>
      </c>
      <c r="AO375" s="540">
        <f t="shared" si="361"/>
        <v>0</v>
      </c>
      <c r="AP375" s="540">
        <f t="shared" si="361"/>
        <v>0</v>
      </c>
      <c r="AQ375" s="540">
        <f t="shared" si="361"/>
        <v>0</v>
      </c>
      <c r="AR375" s="540">
        <f t="shared" si="361"/>
        <v>0</v>
      </c>
      <c r="AS375" s="540">
        <f t="shared" si="361"/>
        <v>0</v>
      </c>
    </row>
    <row r="376" spans="1:45" ht="15" customHeight="1" x14ac:dyDescent="0.3">
      <c r="A376" s="528"/>
      <c r="B376" s="528"/>
      <c r="C376" s="529"/>
      <c r="D376" s="264"/>
      <c r="E376" s="36"/>
      <c r="F376" s="264"/>
      <c r="G376" s="293"/>
      <c r="H376" s="185"/>
      <c r="I376" s="185"/>
      <c r="J376" s="260"/>
      <c r="K376" s="264"/>
      <c r="L376" s="264"/>
      <c r="M376" s="264"/>
      <c r="N376" s="264"/>
      <c r="O376" s="264"/>
      <c r="P376" s="264"/>
      <c r="Q376" s="264"/>
      <c r="R376" s="264"/>
      <c r="S376" s="264"/>
      <c r="T376" s="264"/>
      <c r="U376" s="293"/>
      <c r="V376" s="293"/>
      <c r="W376" s="293"/>
      <c r="X376" s="293"/>
      <c r="Y376" s="293"/>
      <c r="Z376" s="293"/>
      <c r="AA376" s="293"/>
      <c r="AB376" s="293"/>
      <c r="AC376" s="293"/>
      <c r="AD376" s="293"/>
      <c r="AE376" s="293"/>
      <c r="AF376" s="293"/>
      <c r="AG376" s="293"/>
      <c r="AH376" s="293"/>
      <c r="AI376" s="293"/>
      <c r="AJ376" s="293"/>
      <c r="AK376" s="293"/>
      <c r="AL376" s="293"/>
      <c r="AM376" s="293"/>
      <c r="AN376" s="293"/>
      <c r="AO376" s="293"/>
      <c r="AP376" s="293"/>
      <c r="AQ376" s="293"/>
      <c r="AR376" s="293"/>
      <c r="AS376" s="293"/>
    </row>
    <row r="377" spans="1:45" ht="15" customHeight="1" x14ac:dyDescent="0.3">
      <c r="A377" s="528"/>
      <c r="B377" s="528" t="s">
        <v>109</v>
      </c>
      <c r="C377" s="529"/>
      <c r="D377" s="264"/>
      <c r="E377" s="36"/>
      <c r="F377" s="264"/>
      <c r="G377" s="293"/>
      <c r="H377" s="185"/>
      <c r="I377" s="185"/>
      <c r="J377" s="260"/>
      <c r="K377" s="264"/>
      <c r="L377" s="264"/>
      <c r="M377" s="264"/>
      <c r="N377" s="264"/>
      <c r="O377" s="264"/>
      <c r="P377" s="264"/>
      <c r="Q377" s="264"/>
      <c r="R377" s="264"/>
      <c r="S377" s="264"/>
      <c r="T377" s="264"/>
      <c r="U377" s="293"/>
      <c r="V377" s="293"/>
      <c r="W377" s="293"/>
      <c r="X377" s="293"/>
      <c r="Y377" s="293"/>
      <c r="Z377" s="293"/>
      <c r="AA377" s="293"/>
      <c r="AB377" s="293"/>
      <c r="AC377" s="293"/>
      <c r="AD377" s="293"/>
      <c r="AE377" s="293"/>
      <c r="AF377" s="293"/>
      <c r="AG377" s="293"/>
      <c r="AH377" s="293"/>
      <c r="AI377" s="293"/>
      <c r="AJ377" s="293"/>
      <c r="AK377" s="293"/>
      <c r="AL377" s="293"/>
      <c r="AM377" s="293"/>
      <c r="AN377" s="293"/>
      <c r="AO377" s="293"/>
      <c r="AP377" s="293"/>
      <c r="AQ377" s="293"/>
      <c r="AR377" s="293"/>
      <c r="AS377" s="293"/>
    </row>
    <row r="378" spans="1:45" ht="15" customHeight="1" x14ac:dyDescent="0.3">
      <c r="A378" s="528"/>
      <c r="B378" s="528"/>
      <c r="C378" s="529"/>
      <c r="D378" s="264"/>
      <c r="E378" s="169" t="str">
        <f xml:space="preserve"> E$126</f>
        <v>Cobalt production incl Sens.</v>
      </c>
      <c r="F378" s="169">
        <f t="shared" ref="F378:AS378" si="362" xml:space="preserve"> F$126</f>
        <v>0</v>
      </c>
      <c r="G378" s="169" t="str">
        <f t="shared" si="362"/>
        <v>KT Co</v>
      </c>
      <c r="H378" s="169">
        <f t="shared" si="362"/>
        <v>0</v>
      </c>
      <c r="I378" s="169">
        <f t="shared" si="362"/>
        <v>21.822532857142861</v>
      </c>
      <c r="J378" s="169">
        <f t="shared" si="362"/>
        <v>0</v>
      </c>
      <c r="K378" s="169">
        <f t="shared" si="362"/>
        <v>0</v>
      </c>
      <c r="L378" s="169">
        <f t="shared" si="362"/>
        <v>0</v>
      </c>
      <c r="M378" s="169">
        <f t="shared" si="362"/>
        <v>0</v>
      </c>
      <c r="N378" s="169">
        <f t="shared" si="362"/>
        <v>0</v>
      </c>
      <c r="O378" s="169">
        <f t="shared" si="362"/>
        <v>0</v>
      </c>
      <c r="P378" s="169">
        <f t="shared" si="362"/>
        <v>0</v>
      </c>
      <c r="Q378" s="169">
        <f t="shared" si="362"/>
        <v>0</v>
      </c>
      <c r="R378" s="169">
        <f t="shared" si="362"/>
        <v>0</v>
      </c>
      <c r="S378" s="169">
        <f t="shared" si="362"/>
        <v>0</v>
      </c>
      <c r="T378" s="169">
        <f t="shared" si="362"/>
        <v>0</v>
      </c>
      <c r="U378" s="169">
        <f t="shared" si="362"/>
        <v>0</v>
      </c>
      <c r="V378" s="169">
        <f t="shared" si="362"/>
        <v>0</v>
      </c>
      <c r="W378" s="169">
        <f t="shared" si="362"/>
        <v>0</v>
      </c>
      <c r="X378" s="169">
        <f t="shared" si="362"/>
        <v>0.70802999999999994</v>
      </c>
      <c r="Y378" s="169">
        <f t="shared" si="362"/>
        <v>1.4230799999999999</v>
      </c>
      <c r="Z378" s="169">
        <f t="shared" si="362"/>
        <v>1.6069300000000002</v>
      </c>
      <c r="AA378" s="169">
        <f t="shared" si="362"/>
        <v>2.5061800000000001</v>
      </c>
      <c r="AB378" s="169">
        <f t="shared" si="362"/>
        <v>2.306</v>
      </c>
      <c r="AC378" s="169">
        <f t="shared" si="362"/>
        <v>0.77815000000000001</v>
      </c>
      <c r="AD378" s="169">
        <f t="shared" si="362"/>
        <v>1.7336771428571429</v>
      </c>
      <c r="AE378" s="169">
        <f t="shared" si="362"/>
        <v>1.7336771428571429</v>
      </c>
      <c r="AF378" s="169">
        <f t="shared" si="362"/>
        <v>1.7336771428571429</v>
      </c>
      <c r="AG378" s="169">
        <f t="shared" si="362"/>
        <v>1.7336771428571429</v>
      </c>
      <c r="AH378" s="169">
        <f t="shared" si="362"/>
        <v>1.7336771428571429</v>
      </c>
      <c r="AI378" s="169">
        <f t="shared" si="362"/>
        <v>1.7336771428571429</v>
      </c>
      <c r="AJ378" s="169">
        <f t="shared" si="362"/>
        <v>1.4799100000000001</v>
      </c>
      <c r="AK378" s="169">
        <f t="shared" si="362"/>
        <v>0.61219000000000001</v>
      </c>
      <c r="AL378" s="169">
        <f t="shared" si="362"/>
        <v>0</v>
      </c>
      <c r="AM378" s="169">
        <f t="shared" si="362"/>
        <v>0</v>
      </c>
      <c r="AN378" s="169">
        <f t="shared" si="362"/>
        <v>0</v>
      </c>
      <c r="AO378" s="169">
        <f t="shared" si="362"/>
        <v>0</v>
      </c>
      <c r="AP378" s="169">
        <f t="shared" si="362"/>
        <v>0</v>
      </c>
      <c r="AQ378" s="169">
        <f t="shared" si="362"/>
        <v>0</v>
      </c>
      <c r="AR378" s="169">
        <f t="shared" si="362"/>
        <v>0</v>
      </c>
      <c r="AS378" s="169">
        <f t="shared" si="362"/>
        <v>0</v>
      </c>
    </row>
    <row r="379" spans="1:45" ht="15" customHeight="1" x14ac:dyDescent="0.3">
      <c r="A379" s="528"/>
      <c r="B379" s="528"/>
      <c r="C379" s="529"/>
      <c r="D379" s="264"/>
      <c r="E379" s="40" t="str">
        <f xml:space="preserve"> E$323</f>
        <v>Cobalt realized price: FS</v>
      </c>
      <c r="F379" s="40" t="str">
        <f t="shared" ref="F379:O379" si="363" xml:space="preserve"> F$323</f>
        <v>FS</v>
      </c>
      <c r="G379" s="40" t="str">
        <f t="shared" si="363"/>
        <v>$ / tonne</v>
      </c>
      <c r="H379" s="40">
        <f t="shared" si="363"/>
        <v>0</v>
      </c>
      <c r="I379" s="40">
        <f t="shared" si="363"/>
        <v>0</v>
      </c>
      <c r="J379" s="40">
        <f t="shared" si="363"/>
        <v>0</v>
      </c>
      <c r="K379" s="40">
        <f t="shared" si="363"/>
        <v>0</v>
      </c>
      <c r="L379" s="40">
        <f t="shared" si="363"/>
        <v>0</v>
      </c>
      <c r="M379" s="40">
        <f t="shared" si="363"/>
        <v>0</v>
      </c>
      <c r="N379" s="40">
        <f t="shared" si="363"/>
        <v>0</v>
      </c>
      <c r="O379" s="40">
        <f t="shared" si="363"/>
        <v>0</v>
      </c>
      <c r="P379" s="40">
        <f t="shared" ref="P379:AS379" si="364" xml:space="preserve"> P$323</f>
        <v>0</v>
      </c>
      <c r="Q379" s="40">
        <f t="shared" si="364"/>
        <v>0</v>
      </c>
      <c r="R379" s="40">
        <f t="shared" si="364"/>
        <v>0</v>
      </c>
      <c r="S379" s="40">
        <f t="shared" si="364"/>
        <v>0</v>
      </c>
      <c r="T379" s="40">
        <f t="shared" si="364"/>
        <v>0</v>
      </c>
      <c r="U379" s="40">
        <f t="shared" si="364"/>
        <v>0</v>
      </c>
      <c r="V379" s="40">
        <f t="shared" si="364"/>
        <v>27778.212</v>
      </c>
      <c r="W379" s="40">
        <f t="shared" si="364"/>
        <v>27778.212</v>
      </c>
      <c r="X379" s="40">
        <f t="shared" si="364"/>
        <v>24691.743999999999</v>
      </c>
      <c r="Y379" s="40">
        <f t="shared" si="364"/>
        <v>23148.51</v>
      </c>
      <c r="Z379" s="40">
        <f t="shared" si="364"/>
        <v>37037.615999999995</v>
      </c>
      <c r="AA379" s="40">
        <f t="shared" si="364"/>
        <v>41667.317999999992</v>
      </c>
      <c r="AB379" s="40">
        <f t="shared" si="364"/>
        <v>21960.215870915901</v>
      </c>
      <c r="AC379" s="40">
        <f t="shared" si="364"/>
        <v>16436.525108406309</v>
      </c>
      <c r="AD379" s="40">
        <f t="shared" si="364"/>
        <v>25938.833026931141</v>
      </c>
      <c r="AE379" s="40">
        <f t="shared" si="364"/>
        <v>25938.833026931141</v>
      </c>
      <c r="AF379" s="40">
        <f t="shared" si="364"/>
        <v>25938.833026931141</v>
      </c>
      <c r="AG379" s="40">
        <f t="shared" si="364"/>
        <v>25938.833026931141</v>
      </c>
      <c r="AH379" s="40">
        <f t="shared" si="364"/>
        <v>25938.833026931141</v>
      </c>
      <c r="AI379" s="40">
        <f t="shared" si="364"/>
        <v>26543.42185053225</v>
      </c>
      <c r="AJ379" s="40">
        <f t="shared" si="364"/>
        <v>27111.481627004272</v>
      </c>
      <c r="AK379" s="40">
        <f t="shared" si="364"/>
        <v>27690.902599005734</v>
      </c>
      <c r="AL379" s="40">
        <f t="shared" si="364"/>
        <v>28281.911990447228</v>
      </c>
      <c r="AM379" s="40">
        <f t="shared" si="364"/>
        <v>28884.741569717542</v>
      </c>
      <c r="AN379" s="40">
        <f t="shared" si="364"/>
        <v>29499.627740573273</v>
      </c>
      <c r="AO379" s="40">
        <f t="shared" si="364"/>
        <v>30126.811634846119</v>
      </c>
      <c r="AP379" s="40">
        <f t="shared" si="364"/>
        <v>30766.539207004422</v>
      </c>
      <c r="AQ379" s="40">
        <f t="shared" si="364"/>
        <v>31419.061330605895</v>
      </c>
      <c r="AR379" s="40">
        <f t="shared" si="364"/>
        <v>32084.633896679392</v>
      </c>
      <c r="AS379" s="40">
        <f t="shared" si="364"/>
        <v>32763.517914074346</v>
      </c>
    </row>
    <row r="380" spans="1:45" ht="15" customHeight="1" x14ac:dyDescent="0.3">
      <c r="A380" s="765"/>
      <c r="B380" s="766"/>
      <c r="C380" s="767"/>
      <c r="D380" s="765"/>
      <c r="E380" s="765" t="s">
        <v>657</v>
      </c>
      <c r="F380" s="765"/>
      <c r="G380" s="765" t="s">
        <v>346</v>
      </c>
      <c r="H380" s="765"/>
      <c r="I380" s="765">
        <f>SUM(K380:AS380)</f>
        <v>605.73785207875858</v>
      </c>
      <c r="J380" s="765"/>
      <c r="K380" s="540">
        <f t="shared" ref="K380:AS380" si="365">K378 * K379 * 10^-3</f>
        <v>0</v>
      </c>
      <c r="L380" s="540">
        <f t="shared" si="365"/>
        <v>0</v>
      </c>
      <c r="M380" s="540">
        <f t="shared" si="365"/>
        <v>0</v>
      </c>
      <c r="N380" s="540">
        <f t="shared" si="365"/>
        <v>0</v>
      </c>
      <c r="O380" s="540">
        <f t="shared" si="365"/>
        <v>0</v>
      </c>
      <c r="P380" s="540">
        <f t="shared" si="365"/>
        <v>0</v>
      </c>
      <c r="Q380" s="540">
        <f t="shared" si="365"/>
        <v>0</v>
      </c>
      <c r="R380" s="540">
        <f t="shared" si="365"/>
        <v>0</v>
      </c>
      <c r="S380" s="540">
        <f t="shared" si="365"/>
        <v>0</v>
      </c>
      <c r="T380" s="540">
        <f t="shared" si="365"/>
        <v>0</v>
      </c>
      <c r="U380" s="540">
        <f t="shared" si="365"/>
        <v>0</v>
      </c>
      <c r="V380" s="540">
        <f t="shared" si="365"/>
        <v>0</v>
      </c>
      <c r="W380" s="540">
        <f t="shared" si="365"/>
        <v>0</v>
      </c>
      <c r="X380" s="540">
        <f t="shared" si="365"/>
        <v>17.482495504319999</v>
      </c>
      <c r="Y380" s="540">
        <f t="shared" si="365"/>
        <v>32.942181610799999</v>
      </c>
      <c r="Z380" s="540">
        <f t="shared" si="365"/>
        <v>59.516856278879999</v>
      </c>
      <c r="AA380" s="540">
        <f t="shared" si="365"/>
        <v>104.42579902523998</v>
      </c>
      <c r="AB380" s="540">
        <f t="shared" si="365"/>
        <v>50.640257798332065</v>
      </c>
      <c r="AC380" s="540">
        <f t="shared" si="365"/>
        <v>12.790082013106371</v>
      </c>
      <c r="AD380" s="540">
        <f t="shared" si="365"/>
        <v>44.969561931178475</v>
      </c>
      <c r="AE380" s="540">
        <f t="shared" si="365"/>
        <v>44.969561931178475</v>
      </c>
      <c r="AF380" s="540">
        <f t="shared" si="365"/>
        <v>44.969561931178475</v>
      </c>
      <c r="AG380" s="540">
        <f t="shared" si="365"/>
        <v>44.969561931178475</v>
      </c>
      <c r="AH380" s="540">
        <f t="shared" si="365"/>
        <v>44.969561931178475</v>
      </c>
      <c r="AI380" s="540">
        <f t="shared" si="365"/>
        <v>46.017723755482606</v>
      </c>
      <c r="AJ380" s="540">
        <f t="shared" si="365"/>
        <v>40.122552774619891</v>
      </c>
      <c r="AK380" s="540">
        <f t="shared" si="365"/>
        <v>16.952093662085321</v>
      </c>
      <c r="AL380" s="540">
        <f t="shared" si="365"/>
        <v>0</v>
      </c>
      <c r="AM380" s="540">
        <f t="shared" si="365"/>
        <v>0</v>
      </c>
      <c r="AN380" s="540">
        <f t="shared" si="365"/>
        <v>0</v>
      </c>
      <c r="AO380" s="540">
        <f t="shared" si="365"/>
        <v>0</v>
      </c>
      <c r="AP380" s="540">
        <f t="shared" si="365"/>
        <v>0</v>
      </c>
      <c r="AQ380" s="540">
        <f t="shared" si="365"/>
        <v>0</v>
      </c>
      <c r="AR380" s="540">
        <f t="shared" si="365"/>
        <v>0</v>
      </c>
      <c r="AS380" s="540">
        <f t="shared" si="365"/>
        <v>0</v>
      </c>
    </row>
    <row r="381" spans="1:45" ht="15" customHeight="1" x14ac:dyDescent="0.3">
      <c r="A381" s="528"/>
      <c r="B381" s="528"/>
      <c r="C381" s="529"/>
      <c r="D381" s="264"/>
      <c r="E381" s="36"/>
      <c r="F381" s="264"/>
      <c r="G381" s="293"/>
      <c r="H381" s="185"/>
      <c r="I381" s="185"/>
      <c r="J381" s="260"/>
      <c r="K381" s="293"/>
      <c r="L381" s="293"/>
      <c r="M381" s="293"/>
      <c r="N381" s="293"/>
      <c r="O381" s="293"/>
      <c r="P381" s="293"/>
      <c r="Q381" s="293"/>
      <c r="R381" s="293"/>
      <c r="S381" s="293"/>
      <c r="T381" s="293"/>
      <c r="U381" s="293"/>
      <c r="V381" s="293"/>
      <c r="W381" s="293"/>
      <c r="X381" s="293"/>
      <c r="Y381" s="293"/>
      <c r="Z381" s="293"/>
      <c r="AA381" s="293"/>
      <c r="AB381" s="293"/>
      <c r="AC381" s="293"/>
      <c r="AD381" s="293"/>
      <c r="AE381" s="293"/>
      <c r="AF381" s="293"/>
      <c r="AG381" s="293"/>
      <c r="AH381" s="293"/>
      <c r="AI381" s="293"/>
      <c r="AJ381" s="293"/>
      <c r="AK381" s="293"/>
      <c r="AL381" s="293"/>
      <c r="AM381" s="293"/>
      <c r="AN381" s="293"/>
      <c r="AO381" s="293"/>
      <c r="AP381" s="293"/>
      <c r="AQ381" s="293"/>
      <c r="AR381" s="293"/>
      <c r="AS381" s="293"/>
    </row>
    <row r="382" spans="1:45" ht="15" customHeight="1" x14ac:dyDescent="0.3">
      <c r="A382" s="528"/>
      <c r="B382" s="528" t="s">
        <v>178</v>
      </c>
      <c r="C382" s="529"/>
      <c r="D382" s="264"/>
      <c r="E382" s="36"/>
      <c r="F382" s="264"/>
      <c r="G382" s="293"/>
      <c r="H382" s="185"/>
      <c r="I382" s="185"/>
      <c r="J382" s="260"/>
      <c r="K382" s="264"/>
      <c r="L382" s="264"/>
      <c r="M382" s="264"/>
      <c r="N382" s="264"/>
      <c r="O382" s="264"/>
      <c r="P382" s="264"/>
      <c r="Q382" s="264"/>
      <c r="R382" s="264"/>
      <c r="S382" s="264"/>
      <c r="T382" s="264"/>
      <c r="U382" s="293"/>
      <c r="V382" s="293"/>
      <c r="W382" s="293"/>
      <c r="X382" s="293"/>
      <c r="Y382" s="293"/>
      <c r="Z382" s="293"/>
      <c r="AA382" s="293"/>
      <c r="AB382" s="293"/>
      <c r="AC382" s="293"/>
      <c r="AD382" s="293"/>
      <c r="AE382" s="293"/>
      <c r="AF382" s="293"/>
      <c r="AG382" s="293"/>
      <c r="AH382" s="293"/>
      <c r="AI382" s="293"/>
      <c r="AJ382" s="293"/>
      <c r="AK382" s="293"/>
      <c r="AL382" s="293"/>
      <c r="AM382" s="293"/>
      <c r="AN382" s="293"/>
      <c r="AO382" s="293"/>
      <c r="AP382" s="293"/>
      <c r="AQ382" s="293"/>
      <c r="AR382" s="293"/>
      <c r="AS382" s="293"/>
    </row>
    <row r="383" spans="1:45" ht="15" customHeight="1" x14ac:dyDescent="0.3">
      <c r="A383" s="528"/>
      <c r="B383" s="528"/>
      <c r="C383" s="529"/>
      <c r="D383" s="264"/>
      <c r="E383" s="538" t="str">
        <f xml:space="preserve"> E$375</f>
        <v>Copper gross revenue</v>
      </c>
      <c r="F383" s="538">
        <f t="shared" ref="F383:AS383" si="366" xml:space="preserve"> F$375</f>
        <v>0</v>
      </c>
      <c r="G383" s="538" t="str">
        <f t="shared" si="366"/>
        <v>$ mn</v>
      </c>
      <c r="H383" s="538">
        <f t="shared" si="366"/>
        <v>0</v>
      </c>
      <c r="I383" s="538">
        <f t="shared" si="366"/>
        <v>11451.489506019687</v>
      </c>
      <c r="J383" s="538">
        <f t="shared" si="366"/>
        <v>0</v>
      </c>
      <c r="K383" s="538">
        <f t="shared" si="366"/>
        <v>0</v>
      </c>
      <c r="L383" s="538">
        <f t="shared" si="366"/>
        <v>0</v>
      </c>
      <c r="M383" s="538">
        <f t="shared" si="366"/>
        <v>0</v>
      </c>
      <c r="N383" s="538">
        <f t="shared" si="366"/>
        <v>0</v>
      </c>
      <c r="O383" s="538">
        <f t="shared" si="366"/>
        <v>0</v>
      </c>
      <c r="P383" s="538">
        <f t="shared" si="366"/>
        <v>0</v>
      </c>
      <c r="Q383" s="538">
        <f t="shared" si="366"/>
        <v>0</v>
      </c>
      <c r="R383" s="538">
        <f t="shared" si="366"/>
        <v>0</v>
      </c>
      <c r="S383" s="538">
        <f t="shared" si="366"/>
        <v>0</v>
      </c>
      <c r="T383" s="538">
        <f t="shared" si="366"/>
        <v>0</v>
      </c>
      <c r="U383" s="538">
        <f t="shared" si="366"/>
        <v>0</v>
      </c>
      <c r="V383" s="538">
        <f t="shared" si="366"/>
        <v>104.68060500000001</v>
      </c>
      <c r="W383" s="538">
        <f t="shared" si="366"/>
        <v>275.12210799999997</v>
      </c>
      <c r="X383" s="538">
        <f t="shared" si="366"/>
        <v>416.84932400000002</v>
      </c>
      <c r="Y383" s="538">
        <f t="shared" si="366"/>
        <v>635.77241700000002</v>
      </c>
      <c r="Z383" s="538">
        <f t="shared" si="366"/>
        <v>1059.1821980000002</v>
      </c>
      <c r="AA383" s="538">
        <f t="shared" si="366"/>
        <v>938.45274099999995</v>
      </c>
      <c r="AB383" s="538">
        <f t="shared" si="366"/>
        <v>972.90811853117418</v>
      </c>
      <c r="AC383" s="538">
        <f t="shared" si="366"/>
        <v>641.01964091281855</v>
      </c>
      <c r="AD383" s="538">
        <f t="shared" si="366"/>
        <v>905.06080438998561</v>
      </c>
      <c r="AE383" s="538">
        <f t="shared" si="366"/>
        <v>906.69486922833119</v>
      </c>
      <c r="AF383" s="538">
        <f t="shared" si="366"/>
        <v>905.7682157164711</v>
      </c>
      <c r="AG383" s="538">
        <f t="shared" si="366"/>
        <v>904.45287108625553</v>
      </c>
      <c r="AH383" s="538">
        <f t="shared" si="366"/>
        <v>905.84957723998957</v>
      </c>
      <c r="AI383" s="538">
        <f t="shared" si="366"/>
        <v>766.66482549710213</v>
      </c>
      <c r="AJ383" s="538">
        <f t="shared" si="366"/>
        <v>782.56965423430415</v>
      </c>
      <c r="AK383" s="538">
        <f t="shared" si="366"/>
        <v>330.44153618325373</v>
      </c>
      <c r="AL383" s="538">
        <f t="shared" si="366"/>
        <v>0</v>
      </c>
      <c r="AM383" s="538">
        <f t="shared" si="366"/>
        <v>0</v>
      </c>
      <c r="AN383" s="538">
        <f t="shared" si="366"/>
        <v>0</v>
      </c>
      <c r="AO383" s="538">
        <f t="shared" si="366"/>
        <v>0</v>
      </c>
      <c r="AP383" s="538">
        <f t="shared" si="366"/>
        <v>0</v>
      </c>
      <c r="AQ383" s="538">
        <f t="shared" si="366"/>
        <v>0</v>
      </c>
      <c r="AR383" s="538">
        <f t="shared" si="366"/>
        <v>0</v>
      </c>
      <c r="AS383" s="538">
        <f t="shared" si="366"/>
        <v>0</v>
      </c>
    </row>
    <row r="384" spans="1:45" ht="15" customHeight="1" x14ac:dyDescent="0.3">
      <c r="A384" s="129"/>
      <c r="B384" s="129"/>
      <c r="C384" s="130"/>
      <c r="D384" s="106"/>
      <c r="E384" s="538" t="str">
        <f xml:space="preserve"> E$380</f>
        <v>Cobalt gross revenue</v>
      </c>
      <c r="F384" s="538">
        <f t="shared" ref="F384:AS384" si="367" xml:space="preserve"> F$380</f>
        <v>0</v>
      </c>
      <c r="G384" s="538" t="str">
        <f t="shared" si="367"/>
        <v>$ mn</v>
      </c>
      <c r="H384" s="538">
        <f t="shared" si="367"/>
        <v>0</v>
      </c>
      <c r="I384" s="538">
        <f t="shared" si="367"/>
        <v>605.73785207875858</v>
      </c>
      <c r="J384" s="538">
        <f t="shared" si="367"/>
        <v>0</v>
      </c>
      <c r="K384" s="538">
        <f t="shared" si="367"/>
        <v>0</v>
      </c>
      <c r="L384" s="538">
        <f t="shared" si="367"/>
        <v>0</v>
      </c>
      <c r="M384" s="538">
        <f t="shared" si="367"/>
        <v>0</v>
      </c>
      <c r="N384" s="538">
        <f t="shared" si="367"/>
        <v>0</v>
      </c>
      <c r="O384" s="538">
        <f t="shared" si="367"/>
        <v>0</v>
      </c>
      <c r="P384" s="538">
        <f t="shared" si="367"/>
        <v>0</v>
      </c>
      <c r="Q384" s="538">
        <f t="shared" si="367"/>
        <v>0</v>
      </c>
      <c r="R384" s="538">
        <f t="shared" si="367"/>
        <v>0</v>
      </c>
      <c r="S384" s="538">
        <f t="shared" si="367"/>
        <v>0</v>
      </c>
      <c r="T384" s="538">
        <f t="shared" si="367"/>
        <v>0</v>
      </c>
      <c r="U384" s="538">
        <f t="shared" si="367"/>
        <v>0</v>
      </c>
      <c r="V384" s="538">
        <f t="shared" si="367"/>
        <v>0</v>
      </c>
      <c r="W384" s="538">
        <f t="shared" si="367"/>
        <v>0</v>
      </c>
      <c r="X384" s="538">
        <f t="shared" si="367"/>
        <v>17.482495504319999</v>
      </c>
      <c r="Y384" s="538">
        <f t="shared" si="367"/>
        <v>32.942181610799999</v>
      </c>
      <c r="Z384" s="538">
        <f t="shared" si="367"/>
        <v>59.516856278879999</v>
      </c>
      <c r="AA384" s="538">
        <f t="shared" si="367"/>
        <v>104.42579902523998</v>
      </c>
      <c r="AB384" s="538">
        <f t="shared" si="367"/>
        <v>50.640257798332065</v>
      </c>
      <c r="AC384" s="538">
        <f t="shared" si="367"/>
        <v>12.790082013106371</v>
      </c>
      <c r="AD384" s="538">
        <f t="shared" si="367"/>
        <v>44.969561931178475</v>
      </c>
      <c r="AE384" s="538">
        <f t="shared" si="367"/>
        <v>44.969561931178475</v>
      </c>
      <c r="AF384" s="538">
        <f t="shared" si="367"/>
        <v>44.969561931178475</v>
      </c>
      <c r="AG384" s="538">
        <f t="shared" si="367"/>
        <v>44.969561931178475</v>
      </c>
      <c r="AH384" s="538">
        <f t="shared" si="367"/>
        <v>44.969561931178475</v>
      </c>
      <c r="AI384" s="538">
        <f t="shared" si="367"/>
        <v>46.017723755482606</v>
      </c>
      <c r="AJ384" s="538">
        <f t="shared" si="367"/>
        <v>40.122552774619891</v>
      </c>
      <c r="AK384" s="538">
        <f t="shared" si="367"/>
        <v>16.952093662085321</v>
      </c>
      <c r="AL384" s="538">
        <f t="shared" si="367"/>
        <v>0</v>
      </c>
      <c r="AM384" s="538">
        <f t="shared" si="367"/>
        <v>0</v>
      </c>
      <c r="AN384" s="538">
        <f t="shared" si="367"/>
        <v>0</v>
      </c>
      <c r="AO384" s="538">
        <f t="shared" si="367"/>
        <v>0</v>
      </c>
      <c r="AP384" s="538">
        <f t="shared" si="367"/>
        <v>0</v>
      </c>
      <c r="AQ384" s="538">
        <f t="shared" si="367"/>
        <v>0</v>
      </c>
      <c r="AR384" s="538">
        <f t="shared" si="367"/>
        <v>0</v>
      </c>
      <c r="AS384" s="538">
        <f t="shared" si="367"/>
        <v>0</v>
      </c>
    </row>
    <row r="385" spans="1:45" s="1102" customFormat="1" ht="15" customHeight="1" x14ac:dyDescent="0.3">
      <c r="A385" s="768"/>
      <c r="B385" s="769"/>
      <c r="C385" s="770"/>
      <c r="D385" s="768"/>
      <c r="E385" s="768" t="s">
        <v>668</v>
      </c>
      <c r="F385" s="768"/>
      <c r="G385" s="768" t="s">
        <v>346</v>
      </c>
      <c r="H385" s="768"/>
      <c r="I385" s="768">
        <f>SUM(K385:AS385)</f>
        <v>12057.227358098444</v>
      </c>
      <c r="J385" s="768"/>
      <c r="K385" s="548">
        <f t="shared" ref="K385:AS385" si="368">SUM(K383:K384)</f>
        <v>0</v>
      </c>
      <c r="L385" s="548">
        <f t="shared" si="368"/>
        <v>0</v>
      </c>
      <c r="M385" s="548">
        <f t="shared" si="368"/>
        <v>0</v>
      </c>
      <c r="N385" s="548">
        <f t="shared" si="368"/>
        <v>0</v>
      </c>
      <c r="O385" s="548">
        <f t="shared" si="368"/>
        <v>0</v>
      </c>
      <c r="P385" s="548">
        <f t="shared" si="368"/>
        <v>0</v>
      </c>
      <c r="Q385" s="548">
        <f t="shared" si="368"/>
        <v>0</v>
      </c>
      <c r="R385" s="548">
        <f t="shared" si="368"/>
        <v>0</v>
      </c>
      <c r="S385" s="548">
        <f t="shared" si="368"/>
        <v>0</v>
      </c>
      <c r="T385" s="548">
        <f t="shared" si="368"/>
        <v>0</v>
      </c>
      <c r="U385" s="548">
        <f t="shared" si="368"/>
        <v>0</v>
      </c>
      <c r="V385" s="548">
        <f t="shared" si="368"/>
        <v>104.68060500000001</v>
      </c>
      <c r="W385" s="548">
        <f t="shared" si="368"/>
        <v>275.12210799999997</v>
      </c>
      <c r="X385" s="548">
        <f t="shared" si="368"/>
        <v>434.33181950432004</v>
      </c>
      <c r="Y385" s="548">
        <f t="shared" si="368"/>
        <v>668.71459861080007</v>
      </c>
      <c r="Z385" s="548">
        <f t="shared" si="368"/>
        <v>1118.6990542788801</v>
      </c>
      <c r="AA385" s="548">
        <f t="shared" si="368"/>
        <v>1042.87854002524</v>
      </c>
      <c r="AB385" s="548">
        <f t="shared" si="368"/>
        <v>1023.5483763295063</v>
      </c>
      <c r="AC385" s="548">
        <f t="shared" si="368"/>
        <v>653.80972292592492</v>
      </c>
      <c r="AD385" s="548">
        <f t="shared" si="368"/>
        <v>950.03036632116414</v>
      </c>
      <c r="AE385" s="548">
        <f t="shared" si="368"/>
        <v>951.6644311595096</v>
      </c>
      <c r="AF385" s="548">
        <f t="shared" si="368"/>
        <v>950.73777764764964</v>
      </c>
      <c r="AG385" s="548">
        <f t="shared" si="368"/>
        <v>949.42243301743406</v>
      </c>
      <c r="AH385" s="548">
        <f t="shared" si="368"/>
        <v>950.81913917116799</v>
      </c>
      <c r="AI385" s="548">
        <f t="shared" si="368"/>
        <v>812.68254925258475</v>
      </c>
      <c r="AJ385" s="548">
        <f t="shared" si="368"/>
        <v>822.69220700892402</v>
      </c>
      <c r="AK385" s="548">
        <f t="shared" si="368"/>
        <v>347.39362984533904</v>
      </c>
      <c r="AL385" s="548">
        <f t="shared" si="368"/>
        <v>0</v>
      </c>
      <c r="AM385" s="548">
        <f t="shared" si="368"/>
        <v>0</v>
      </c>
      <c r="AN385" s="548">
        <f t="shared" si="368"/>
        <v>0</v>
      </c>
      <c r="AO385" s="548">
        <f t="shared" si="368"/>
        <v>0</v>
      </c>
      <c r="AP385" s="548">
        <f t="shared" si="368"/>
        <v>0</v>
      </c>
      <c r="AQ385" s="548">
        <f t="shared" si="368"/>
        <v>0</v>
      </c>
      <c r="AR385" s="548">
        <f t="shared" si="368"/>
        <v>0</v>
      </c>
      <c r="AS385" s="548">
        <f t="shared" si="368"/>
        <v>0</v>
      </c>
    </row>
    <row r="386" spans="1:45" ht="15" customHeight="1" x14ac:dyDescent="0.3">
      <c r="A386" s="530"/>
      <c r="B386" s="531"/>
      <c r="C386" s="532"/>
      <c r="D386" s="257"/>
      <c r="E386" s="257"/>
      <c r="F386" s="257"/>
      <c r="G386" s="257"/>
      <c r="H386" s="257"/>
      <c r="I386" s="257"/>
      <c r="J386" s="257"/>
      <c r="K386" s="257"/>
      <c r="L386" s="257"/>
      <c r="M386" s="257"/>
      <c r="N386" s="257"/>
      <c r="O386" s="257"/>
      <c r="P386" s="257"/>
      <c r="Q386" s="257"/>
      <c r="R386" s="257"/>
      <c r="S386" s="257"/>
      <c r="T386" s="257"/>
      <c r="U386" s="257"/>
      <c r="V386" s="257"/>
      <c r="W386" s="257"/>
      <c r="X386" s="257"/>
      <c r="Y386" s="257"/>
      <c r="Z386" s="257"/>
      <c r="AA386" s="257">
        <f>SUM(V385:AA385)</f>
        <v>3644.42672541924</v>
      </c>
      <c r="AB386" s="257"/>
      <c r="AC386" s="257"/>
      <c r="AD386" s="257"/>
      <c r="AE386" s="257"/>
      <c r="AF386" s="257"/>
      <c r="AG386" s="257"/>
      <c r="AH386" s="257"/>
      <c r="AI386" s="257"/>
      <c r="AJ386" s="257"/>
      <c r="AK386" s="257"/>
      <c r="AL386" s="257"/>
      <c r="AM386" s="257"/>
      <c r="AN386" s="257"/>
      <c r="AO386" s="257"/>
      <c r="AP386" s="257"/>
      <c r="AQ386" s="257"/>
      <c r="AR386" s="257"/>
      <c r="AS386" s="257"/>
    </row>
    <row r="387" spans="1:45" ht="15" customHeight="1" collapsed="1" x14ac:dyDescent="0.3">
      <c r="A387" s="15" t="s">
        <v>793</v>
      </c>
      <c r="B387" s="119"/>
      <c r="C387" s="120"/>
      <c r="D387" s="121"/>
      <c r="E387" s="119"/>
      <c r="F387" s="119"/>
      <c r="G387" s="119"/>
      <c r="H387" s="119"/>
      <c r="I387" s="119"/>
      <c r="J387" s="16"/>
      <c r="K387" s="16"/>
      <c r="L387" s="16"/>
      <c r="M387" s="16"/>
      <c r="N387" s="16"/>
      <c r="O387" s="16"/>
      <c r="P387" s="16"/>
      <c r="Q387" s="16"/>
      <c r="R387" s="16"/>
      <c r="S387" s="16"/>
      <c r="T387" s="16"/>
      <c r="U387" s="16"/>
      <c r="V387" s="16"/>
      <c r="W387" s="16"/>
      <c r="X387" s="16"/>
      <c r="Y387" s="16"/>
      <c r="Z387" s="16"/>
      <c r="AA387" s="16"/>
      <c r="AB387" s="16"/>
      <c r="AC387" s="16"/>
      <c r="AD387" s="16"/>
      <c r="AE387" s="16"/>
      <c r="AF387" s="16"/>
      <c r="AG387" s="16"/>
      <c r="AH387" s="16"/>
      <c r="AI387" s="16"/>
      <c r="AJ387" s="16"/>
      <c r="AK387" s="16"/>
      <c r="AL387" s="16"/>
      <c r="AM387" s="16"/>
      <c r="AN387" s="16"/>
      <c r="AO387" s="16"/>
      <c r="AP387" s="16"/>
      <c r="AQ387" s="16"/>
      <c r="AR387" s="16"/>
      <c r="AS387" s="16"/>
    </row>
    <row r="388" spans="1:45" ht="15" customHeight="1" x14ac:dyDescent="0.3">
      <c r="A388" s="765"/>
      <c r="B388" s="766"/>
      <c r="C388" s="767"/>
      <c r="D388" s="765"/>
      <c r="E388" s="765"/>
      <c r="F388" s="765"/>
      <c r="G388" s="765"/>
      <c r="H388" s="765"/>
      <c r="I388" s="765"/>
      <c r="J388" s="765"/>
      <c r="K388" s="540"/>
      <c r="L388" s="540"/>
      <c r="M388" s="540"/>
      <c r="N388" s="540"/>
      <c r="O388" s="540"/>
      <c r="P388" s="540"/>
      <c r="Q388" s="540"/>
      <c r="R388" s="540"/>
      <c r="S388" s="540"/>
      <c r="T388" s="540"/>
      <c r="U388" s="540"/>
      <c r="V388" s="540"/>
      <c r="W388" s="540"/>
      <c r="X388" s="540"/>
      <c r="Y388" s="540"/>
      <c r="Z388" s="540"/>
      <c r="AA388" s="540"/>
      <c r="AB388" s="540"/>
      <c r="AC388" s="540"/>
      <c r="AD388" s="540"/>
      <c r="AE388" s="540"/>
      <c r="AF388" s="540"/>
      <c r="AG388" s="540"/>
      <c r="AH388" s="540"/>
      <c r="AI388" s="540"/>
      <c r="AJ388" s="540"/>
      <c r="AK388" s="540"/>
      <c r="AL388" s="540"/>
      <c r="AM388" s="540"/>
      <c r="AN388" s="540"/>
      <c r="AO388" s="540"/>
      <c r="AP388" s="540"/>
      <c r="AQ388" s="540"/>
      <c r="AR388" s="540"/>
      <c r="AS388" s="540"/>
    </row>
    <row r="389" spans="1:45" ht="15" customHeight="1" x14ac:dyDescent="0.3">
      <c r="A389" s="765"/>
      <c r="B389" s="766"/>
      <c r="C389" s="696" t="s">
        <v>794</v>
      </c>
      <c r="D389" s="765"/>
      <c r="E389" s="765"/>
      <c r="F389" s="765"/>
      <c r="G389" s="765"/>
      <c r="H389" s="765"/>
      <c r="I389" s="765"/>
      <c r="J389" s="765"/>
      <c r="K389" s="540"/>
      <c r="L389" s="540"/>
      <c r="M389" s="540"/>
      <c r="N389" s="540"/>
      <c r="O389" s="540"/>
      <c r="P389" s="540"/>
      <c r="Q389" s="540"/>
      <c r="R389" s="540"/>
      <c r="S389" s="540"/>
      <c r="T389" s="540"/>
      <c r="U389" s="540"/>
      <c r="V389" s="540"/>
      <c r="W389" s="540"/>
      <c r="X389" s="540"/>
      <c r="Y389" s="540"/>
      <c r="Z389" s="540"/>
      <c r="AA389" s="540"/>
      <c r="AB389" s="540"/>
      <c r="AC389" s="540"/>
      <c r="AD389" s="540"/>
      <c r="AE389" s="540"/>
      <c r="AF389" s="540"/>
      <c r="AG389" s="540"/>
      <c r="AH389" s="540"/>
      <c r="AI389" s="540"/>
      <c r="AJ389" s="540"/>
      <c r="AK389" s="540"/>
      <c r="AL389" s="540"/>
      <c r="AM389" s="540"/>
      <c r="AN389" s="540"/>
      <c r="AO389" s="540"/>
      <c r="AP389" s="540"/>
      <c r="AQ389" s="540"/>
      <c r="AR389" s="540"/>
      <c r="AS389" s="540"/>
    </row>
    <row r="390" spans="1:45" ht="15" customHeight="1" x14ac:dyDescent="0.3">
      <c r="A390" s="765"/>
      <c r="B390" s="766"/>
      <c r="C390" s="696"/>
      <c r="D390" s="765"/>
      <c r="E390" s="657" t="str">
        <f xml:space="preserve"> Inputs_Con!E$46</f>
        <v>Apply selling costs FS23</v>
      </c>
      <c r="F390" s="827" t="str">
        <f xml:space="preserve"> Inputs_Con!F$46</f>
        <v>no</v>
      </c>
      <c r="G390" s="657" t="str">
        <f xml:space="preserve"> Inputs_Con!G$46</f>
        <v>selected</v>
      </c>
      <c r="H390" s="765"/>
      <c r="I390" s="765"/>
      <c r="J390" s="765"/>
      <c r="K390" s="540"/>
      <c r="L390" s="540"/>
      <c r="M390" s="540"/>
      <c r="N390" s="540"/>
      <c r="O390" s="540"/>
      <c r="P390" s="540"/>
      <c r="Q390" s="540"/>
      <c r="R390" s="540"/>
      <c r="S390" s="540"/>
      <c r="T390" s="540"/>
      <c r="U390" s="540"/>
      <c r="V390" s="540"/>
      <c r="W390" s="540"/>
      <c r="X390" s="540"/>
      <c r="Y390" s="540"/>
      <c r="Z390" s="540"/>
      <c r="AA390" s="540"/>
      <c r="AB390" s="540"/>
      <c r="AC390" s="540"/>
      <c r="AD390" s="540"/>
      <c r="AE390" s="540"/>
      <c r="AF390" s="540"/>
      <c r="AG390" s="540"/>
      <c r="AH390" s="540"/>
      <c r="AI390" s="540"/>
      <c r="AJ390" s="540"/>
      <c r="AK390" s="540"/>
      <c r="AL390" s="540"/>
      <c r="AM390" s="540"/>
      <c r="AN390" s="540"/>
      <c r="AO390" s="540"/>
      <c r="AP390" s="540"/>
      <c r="AQ390" s="540"/>
      <c r="AR390" s="540"/>
      <c r="AS390" s="540"/>
    </row>
    <row r="391" spans="1:45" ht="15" customHeight="1" x14ac:dyDescent="0.3">
      <c r="A391" s="765"/>
      <c r="B391" s="766"/>
      <c r="C391" s="696"/>
      <c r="D391" s="765"/>
      <c r="E391" s="880" t="str">
        <f xml:space="preserve"> Inputs_Con!E$14</f>
        <v>Operating costs: FS or original</v>
      </c>
      <c r="F391" s="656" t="str">
        <f xml:space="preserve"> Inputs_Con!F$14</f>
        <v>FS</v>
      </c>
      <c r="G391" s="880" t="str">
        <f xml:space="preserve"> Inputs_Con!G$14</f>
        <v>selected</v>
      </c>
      <c r="H391" s="765"/>
      <c r="I391" s="765"/>
      <c r="J391" s="765"/>
      <c r="K391" s="540"/>
      <c r="L391" s="540"/>
      <c r="M391" s="540"/>
      <c r="N391" s="540"/>
      <c r="O391" s="540"/>
      <c r="P391" s="540"/>
      <c r="Q391" s="540"/>
      <c r="R391" s="540"/>
      <c r="S391" s="540"/>
      <c r="T391" s="540"/>
      <c r="U391" s="540"/>
      <c r="V391" s="540"/>
      <c r="W391" s="540"/>
      <c r="X391" s="540"/>
      <c r="Y391" s="540"/>
      <c r="Z391" s="540"/>
      <c r="AA391" s="540"/>
      <c r="AB391" s="540"/>
      <c r="AC391" s="540"/>
      <c r="AD391" s="540"/>
      <c r="AE391" s="540"/>
      <c r="AF391" s="540"/>
      <c r="AG391" s="540"/>
      <c r="AH391" s="540"/>
      <c r="AI391" s="540"/>
      <c r="AJ391" s="540"/>
      <c r="AK391" s="540"/>
      <c r="AL391" s="540"/>
      <c r="AM391" s="540"/>
      <c r="AN391" s="540"/>
      <c r="AO391" s="540"/>
      <c r="AP391" s="540"/>
      <c r="AQ391" s="540"/>
      <c r="AR391" s="540"/>
      <c r="AS391" s="540"/>
    </row>
    <row r="392" spans="1:45" ht="15" customHeight="1" x14ac:dyDescent="0.3">
      <c r="A392" s="830"/>
      <c r="B392" s="830"/>
      <c r="C392" s="831"/>
      <c r="D392" s="148"/>
      <c r="E392" s="550" t="str">
        <f xml:space="preserve"> COMMUS_23FS_Model!E$154</f>
        <v>Selling costs</v>
      </c>
      <c r="F392" s="550">
        <f xml:space="preserve"> COMMUS_23FS_Model!F$154</f>
        <v>0</v>
      </c>
      <c r="G392" s="550" t="str">
        <f xml:space="preserve"> COMMUS_23FS_Model!G$154</f>
        <v>$ mn</v>
      </c>
      <c r="H392" s="550">
        <f xml:space="preserve"> COMMUS_23FS_Model!H$154</f>
        <v>0</v>
      </c>
      <c r="I392" s="550">
        <f xml:space="preserve"> COMMUS_23FS_Model!I$154</f>
        <v>1007.0272200000003</v>
      </c>
      <c r="J392" s="550">
        <f xml:space="preserve"> COMMUS_23FS_Model!J$154</f>
        <v>0</v>
      </c>
      <c r="K392" s="550">
        <f xml:space="preserve"> COMMUS_23FS_Model!K$154</f>
        <v>0</v>
      </c>
      <c r="L392" s="550">
        <f xml:space="preserve"> COMMUS_23FS_Model!L$154</f>
        <v>0</v>
      </c>
      <c r="M392" s="550">
        <f xml:space="preserve"> COMMUS_23FS_Model!M$154</f>
        <v>0</v>
      </c>
      <c r="N392" s="550">
        <f xml:space="preserve"> COMMUS_23FS_Model!N$154</f>
        <v>0</v>
      </c>
      <c r="O392" s="550">
        <f xml:space="preserve"> COMMUS_23FS_Model!O$154</f>
        <v>0</v>
      </c>
      <c r="P392" s="550">
        <f xml:space="preserve"> COMMUS_23FS_Model!P$154</f>
        <v>0</v>
      </c>
      <c r="Q392" s="550">
        <f xml:space="preserve"> COMMUS_23FS_Model!Q$154</f>
        <v>0</v>
      </c>
      <c r="R392" s="550">
        <f xml:space="preserve"> COMMUS_23FS_Model!R$154</f>
        <v>0</v>
      </c>
      <c r="S392" s="550">
        <f xml:space="preserve"> COMMUS_23FS_Model!S$154</f>
        <v>0</v>
      </c>
      <c r="T392" s="550">
        <f xml:space="preserve"> COMMUS_23FS_Model!T$154</f>
        <v>0</v>
      </c>
      <c r="U392" s="550">
        <f xml:space="preserve"> COMMUS_23FS_Model!U$154</f>
        <v>0</v>
      </c>
      <c r="V392" s="550">
        <f xml:space="preserve"> COMMUS_23FS_Model!V$154</f>
        <v>18.271809999999999</v>
      </c>
      <c r="W392" s="550">
        <f xml:space="preserve"> COMMUS_23FS_Model!W$154</f>
        <v>52.600679999999997</v>
      </c>
      <c r="X392" s="550">
        <f xml:space="preserve"> COMMUS_23FS_Model!X$154</f>
        <v>67.747399999999999</v>
      </c>
      <c r="Y392" s="550">
        <f xml:space="preserve"> COMMUS_23FS_Model!Y$154</f>
        <v>76.065920000000006</v>
      </c>
      <c r="Z392" s="550">
        <f xml:space="preserve"> COMMUS_23FS_Model!Z$154</f>
        <v>106.92619000000001</v>
      </c>
      <c r="AA392" s="550">
        <f xml:space="preserve"> COMMUS_23FS_Model!AA$154</f>
        <v>82.362870000000001</v>
      </c>
      <c r="AB392" s="550">
        <f xml:space="preserve"> COMMUS_23FS_Model!AB$154</f>
        <v>67.318399999999997</v>
      </c>
      <c r="AC392" s="550">
        <f xml:space="preserve"> COMMUS_23FS_Model!AC$154</f>
        <v>65.279364285714308</v>
      </c>
      <c r="AD392" s="550">
        <f xml:space="preserve"> COMMUS_23FS_Model!AD$154</f>
        <v>65.279364285714308</v>
      </c>
      <c r="AE392" s="550">
        <f xml:space="preserve"> COMMUS_23FS_Model!AE$154</f>
        <v>65.279364285714308</v>
      </c>
      <c r="AF392" s="550">
        <f xml:space="preserve"> COMMUS_23FS_Model!AF$154</f>
        <v>65.279364285714308</v>
      </c>
      <c r="AG392" s="550">
        <f xml:space="preserve"> COMMUS_23FS_Model!AG$154</f>
        <v>65.279364285714308</v>
      </c>
      <c r="AH392" s="550">
        <f xml:space="preserve"> COMMUS_23FS_Model!AH$154</f>
        <v>65.279364285714308</v>
      </c>
      <c r="AI392" s="550">
        <f xml:space="preserve"> COMMUS_23FS_Model!AI$154</f>
        <v>65.279364285714308</v>
      </c>
      <c r="AJ392" s="550">
        <f xml:space="preserve"> COMMUS_23FS_Model!AJ$154</f>
        <v>55.726289999999999</v>
      </c>
      <c r="AK392" s="550">
        <f xml:space="preserve"> COMMUS_23FS_Model!AK$154</f>
        <v>23.052109999999999</v>
      </c>
      <c r="AL392" s="550">
        <f xml:space="preserve"> COMMUS_23FS_Model!AL$154</f>
        <v>0</v>
      </c>
      <c r="AM392" s="550">
        <f xml:space="preserve"> COMMUS_23FS_Model!AM$154</f>
        <v>0</v>
      </c>
      <c r="AN392" s="550">
        <f xml:space="preserve"> COMMUS_23FS_Model!AN$154</f>
        <v>0</v>
      </c>
      <c r="AO392" s="550">
        <f xml:space="preserve"> COMMUS_23FS_Model!AO$154</f>
        <v>0</v>
      </c>
      <c r="AP392" s="550">
        <f xml:space="preserve"> COMMUS_23FS_Model!AP$154</f>
        <v>0</v>
      </c>
      <c r="AQ392" s="550">
        <f xml:space="preserve"> COMMUS_23FS_Model!AQ$154</f>
        <v>0</v>
      </c>
      <c r="AR392" s="550">
        <f xml:space="preserve"> COMMUS_23FS_Model!AR$154</f>
        <v>0</v>
      </c>
      <c r="AS392" s="550">
        <f xml:space="preserve"> COMMUS_23FS_Model!AS$154</f>
        <v>0</v>
      </c>
    </row>
    <row r="393" spans="1:45" ht="15" customHeight="1" x14ac:dyDescent="0.3">
      <c r="A393" s="830"/>
      <c r="B393" s="830"/>
      <c r="C393" s="831"/>
      <c r="D393" s="148"/>
      <c r="E393" s="1078" t="str">
        <f xml:space="preserve"> 'T&amp;E'!E$38</f>
        <v>USD CPI Inflation (incl forecast) from 2025</v>
      </c>
      <c r="F393" s="1078">
        <f xml:space="preserve"> 'T&amp;E'!F$38</f>
        <v>0</v>
      </c>
      <c r="G393" s="1078" t="str">
        <f xml:space="preserve"> 'T&amp;E'!G$38</f>
        <v>index</v>
      </c>
      <c r="H393" s="1078">
        <f xml:space="preserve"> 'T&amp;E'!H$38</f>
        <v>0</v>
      </c>
      <c r="I393" s="1078">
        <f xml:space="preserve"> 'T&amp;E'!I$38</f>
        <v>0</v>
      </c>
      <c r="J393" s="1078">
        <f xml:space="preserve"> 'T&amp;E'!J$38</f>
        <v>0</v>
      </c>
      <c r="K393" s="1079">
        <f xml:space="preserve"> 'T&amp;E'!K$38</f>
        <v>1</v>
      </c>
      <c r="L393" s="1079">
        <f xml:space="preserve"> 'T&amp;E'!L$38</f>
        <v>1</v>
      </c>
      <c r="M393" s="1079">
        <f xml:space="preserve"> 'T&amp;E'!M$38</f>
        <v>1</v>
      </c>
      <c r="N393" s="1079">
        <f xml:space="preserve"> 'T&amp;E'!N$38</f>
        <v>1</v>
      </c>
      <c r="O393" s="1079">
        <f xml:space="preserve"> 'T&amp;E'!O$38</f>
        <v>1</v>
      </c>
      <c r="P393" s="1079">
        <f xml:space="preserve"> 'T&amp;E'!P$38</f>
        <v>1</v>
      </c>
      <c r="Q393" s="1079">
        <f xml:space="preserve"> 'T&amp;E'!Q$38</f>
        <v>1</v>
      </c>
      <c r="R393" s="1079">
        <f xml:space="preserve"> 'T&amp;E'!R$38</f>
        <v>1</v>
      </c>
      <c r="S393" s="1079">
        <f xml:space="preserve"> 'T&amp;E'!S$38</f>
        <v>1</v>
      </c>
      <c r="T393" s="1079">
        <f xml:space="preserve"> 'T&amp;E'!T$38</f>
        <v>1</v>
      </c>
      <c r="U393" s="1079">
        <f xml:space="preserve"> 'T&amp;E'!U$38</f>
        <v>1</v>
      </c>
      <c r="V393" s="1079">
        <f xml:space="preserve"> 'T&amp;E'!V$38</f>
        <v>1</v>
      </c>
      <c r="W393" s="1079">
        <f xml:space="preserve"> 'T&amp;E'!W$38</f>
        <v>1</v>
      </c>
      <c r="X393" s="1079">
        <f xml:space="preserve"> 'T&amp;E'!X$38</f>
        <v>1</v>
      </c>
      <c r="Y393" s="1079">
        <f xml:space="preserve"> 'T&amp;E'!Y$38</f>
        <v>1</v>
      </c>
      <c r="Z393" s="1079">
        <f xml:space="preserve"> 'T&amp;E'!Z$38</f>
        <v>1</v>
      </c>
      <c r="AA393" s="1079">
        <f xml:space="preserve"> 'T&amp;E'!AA$38</f>
        <v>1</v>
      </c>
      <c r="AB393" s="1079">
        <f xml:space="preserve"> 'T&amp;E'!AB$38</f>
        <v>1</v>
      </c>
      <c r="AC393" s="1079">
        <f xml:space="preserve"> 'T&amp;E'!AC$38</f>
        <v>1</v>
      </c>
      <c r="AD393" s="1079">
        <f xml:space="preserve"> 'T&amp;E'!AD$38</f>
        <v>1</v>
      </c>
      <c r="AE393" s="1079">
        <f xml:space="preserve"> 'T&amp;E'!AE$38</f>
        <v>1.0246540997307085</v>
      </c>
      <c r="AF393" s="1079">
        <f xml:space="preserve"> 'T&amp;E'!AF$38</f>
        <v>1.0462778964311141</v>
      </c>
      <c r="AG393" s="1079">
        <f xml:space="preserve"> 'T&amp;E'!AG$38</f>
        <v>1.0688302844584765</v>
      </c>
      <c r="AH393" s="1079">
        <f xml:space="preserve"> 'T&amp;E'!AH$38</f>
        <v>1.0920141145881699</v>
      </c>
      <c r="AI393" s="1079">
        <f xml:space="preserve"> 'T&amp;E'!AI$38</f>
        <v>1.1157643854273069</v>
      </c>
      <c r="AJ393" s="1079">
        <f xml:space="preserve"> 'T&amp;E'!AJ$38</f>
        <v>1.1380796731358531</v>
      </c>
      <c r="AK393" s="1079">
        <f xml:space="preserve"> 'T&amp;E'!AK$38</f>
        <v>1.1608412665985701</v>
      </c>
      <c r="AL393" s="1079">
        <f xml:space="preserve"> 'T&amp;E'!AL$38</f>
        <v>1.1840580919305417</v>
      </c>
      <c r="AM393" s="1079">
        <f xml:space="preserve"> 'T&amp;E'!AM$38</f>
        <v>1.2077392537691523</v>
      </c>
      <c r="AN393" s="1079">
        <f xml:space="preserve"> 'T&amp;E'!AN$38</f>
        <v>1.2318940388445354</v>
      </c>
      <c r="AO393" s="1079">
        <f xml:space="preserve"> 'T&amp;E'!AO$38</f>
        <v>1.2565319196214262</v>
      </c>
      <c r="AP393" s="1079">
        <f xml:space="preserve"> 'T&amp;E'!AP$38</f>
        <v>1.2816625580138548</v>
      </c>
      <c r="AQ393" s="1079">
        <f xml:space="preserve"> 'T&amp;E'!AQ$38</f>
        <v>1.307295809174132</v>
      </c>
      <c r="AR393" s="1079">
        <f xml:space="preserve"> 'T&amp;E'!AR$38</f>
        <v>1.3334417253576147</v>
      </c>
      <c r="AS393" s="1079">
        <f xml:space="preserve"> 'T&amp;E'!AS$38</f>
        <v>1.3601105598647669</v>
      </c>
    </row>
    <row r="394" spans="1:45" ht="15" customHeight="1" x14ac:dyDescent="0.3">
      <c r="A394" s="693"/>
      <c r="B394" s="693"/>
      <c r="C394" s="694"/>
      <c r="D394" s="260"/>
      <c r="E394" s="294" t="s">
        <v>377</v>
      </c>
      <c r="F394" s="294">
        <v>0</v>
      </c>
      <c r="G394" s="294" t="s">
        <v>346</v>
      </c>
      <c r="H394" s="294">
        <v>0</v>
      </c>
      <c r="I394" s="294">
        <f>SUM(K394:AS394)</f>
        <v>0</v>
      </c>
      <c r="J394" s="294">
        <f xml:space="preserve"> COMMUS_23FS_Model!J$154</f>
        <v>0</v>
      </c>
      <c r="K394" s="294">
        <f xml:space="preserve"> K392 * ($F390 = "Yes") * ($F391 = "FS") * K393</f>
        <v>0</v>
      </c>
      <c r="L394" s="294">
        <f t="shared" ref="L394:AS394" si="369" xml:space="preserve"> L392 * ($F390 = "Yes") * ($F391 = "FS") * L393</f>
        <v>0</v>
      </c>
      <c r="M394" s="294">
        <f t="shared" si="369"/>
        <v>0</v>
      </c>
      <c r="N394" s="294">
        <f t="shared" si="369"/>
        <v>0</v>
      </c>
      <c r="O394" s="294">
        <f t="shared" si="369"/>
        <v>0</v>
      </c>
      <c r="P394" s="294">
        <f t="shared" si="369"/>
        <v>0</v>
      </c>
      <c r="Q394" s="294">
        <f t="shared" si="369"/>
        <v>0</v>
      </c>
      <c r="R394" s="294">
        <f t="shared" si="369"/>
        <v>0</v>
      </c>
      <c r="S394" s="294">
        <f t="shared" si="369"/>
        <v>0</v>
      </c>
      <c r="T394" s="294">
        <f t="shared" si="369"/>
        <v>0</v>
      </c>
      <c r="U394" s="294">
        <f t="shared" si="369"/>
        <v>0</v>
      </c>
      <c r="V394" s="294">
        <f t="shared" si="369"/>
        <v>0</v>
      </c>
      <c r="W394" s="294">
        <f t="shared" si="369"/>
        <v>0</v>
      </c>
      <c r="X394" s="294">
        <f t="shared" si="369"/>
        <v>0</v>
      </c>
      <c r="Y394" s="294">
        <f t="shared" si="369"/>
        <v>0</v>
      </c>
      <c r="Z394" s="294">
        <f t="shared" si="369"/>
        <v>0</v>
      </c>
      <c r="AA394" s="294">
        <f t="shared" si="369"/>
        <v>0</v>
      </c>
      <c r="AB394" s="294">
        <f t="shared" si="369"/>
        <v>0</v>
      </c>
      <c r="AC394" s="294">
        <f t="shared" si="369"/>
        <v>0</v>
      </c>
      <c r="AD394" s="294">
        <f t="shared" si="369"/>
        <v>0</v>
      </c>
      <c r="AE394" s="294">
        <f t="shared" si="369"/>
        <v>0</v>
      </c>
      <c r="AF394" s="294">
        <f t="shared" si="369"/>
        <v>0</v>
      </c>
      <c r="AG394" s="294">
        <f t="shared" si="369"/>
        <v>0</v>
      </c>
      <c r="AH394" s="294">
        <f t="shared" si="369"/>
        <v>0</v>
      </c>
      <c r="AI394" s="294">
        <f t="shared" si="369"/>
        <v>0</v>
      </c>
      <c r="AJ394" s="294">
        <f t="shared" si="369"/>
        <v>0</v>
      </c>
      <c r="AK394" s="294">
        <f t="shared" si="369"/>
        <v>0</v>
      </c>
      <c r="AL394" s="294">
        <f t="shared" si="369"/>
        <v>0</v>
      </c>
      <c r="AM394" s="294">
        <f t="shared" si="369"/>
        <v>0</v>
      </c>
      <c r="AN394" s="294">
        <f t="shared" si="369"/>
        <v>0</v>
      </c>
      <c r="AO394" s="294">
        <f t="shared" si="369"/>
        <v>0</v>
      </c>
      <c r="AP394" s="294">
        <f t="shared" si="369"/>
        <v>0</v>
      </c>
      <c r="AQ394" s="294">
        <f t="shared" si="369"/>
        <v>0</v>
      </c>
      <c r="AR394" s="294">
        <f t="shared" si="369"/>
        <v>0</v>
      </c>
      <c r="AS394" s="294">
        <f t="shared" si="369"/>
        <v>0</v>
      </c>
    </row>
    <row r="395" spans="1:45" ht="15" customHeight="1" x14ac:dyDescent="0.3">
      <c r="A395" s="765"/>
      <c r="B395" s="766"/>
      <c r="C395" s="767"/>
      <c r="D395" s="765"/>
      <c r="E395" s="765"/>
      <c r="F395" s="765"/>
      <c r="G395" s="765"/>
      <c r="H395" s="765"/>
      <c r="I395" s="765"/>
      <c r="J395" s="765"/>
      <c r="K395" s="540"/>
      <c r="L395" s="540"/>
      <c r="M395" s="540"/>
      <c r="N395" s="540"/>
      <c r="O395" s="540"/>
      <c r="P395" s="540"/>
      <c r="Q395" s="540"/>
      <c r="R395" s="540"/>
      <c r="S395" s="540"/>
      <c r="T395" s="540"/>
      <c r="U395" s="540"/>
      <c r="V395" s="540"/>
      <c r="W395" s="540"/>
      <c r="X395" s="540"/>
      <c r="Y395" s="540"/>
      <c r="Z395" s="540"/>
      <c r="AA395" s="540"/>
      <c r="AB395" s="540"/>
      <c r="AC395" s="540"/>
      <c r="AD395" s="540"/>
      <c r="AE395" s="540"/>
      <c r="AF395" s="540"/>
      <c r="AG395" s="540"/>
      <c r="AH395" s="540"/>
      <c r="AI395" s="540"/>
      <c r="AJ395" s="540"/>
      <c r="AK395" s="540"/>
      <c r="AL395" s="540"/>
      <c r="AM395" s="540"/>
      <c r="AN395" s="540"/>
      <c r="AO395" s="540"/>
      <c r="AP395" s="540"/>
      <c r="AQ395" s="540"/>
      <c r="AR395" s="540"/>
      <c r="AS395" s="540"/>
    </row>
    <row r="396" spans="1:45" ht="15" customHeight="1" x14ac:dyDescent="0.3">
      <c r="A396" s="522"/>
      <c r="B396" s="695"/>
      <c r="C396" s="696"/>
      <c r="D396" s="522"/>
      <c r="E396" s="257" t="str">
        <f t="shared" ref="E396:AS396" si="370" xml:space="preserve"> E$375</f>
        <v>Copper gross revenue</v>
      </c>
      <c r="F396" s="257">
        <f t="shared" si="370"/>
        <v>0</v>
      </c>
      <c r="G396" s="257" t="str">
        <f t="shared" si="370"/>
        <v>$ mn</v>
      </c>
      <c r="H396" s="257">
        <f t="shared" si="370"/>
        <v>0</v>
      </c>
      <c r="I396" s="257">
        <f t="shared" si="370"/>
        <v>11451.489506019687</v>
      </c>
      <c r="J396" s="257">
        <f t="shared" si="370"/>
        <v>0</v>
      </c>
      <c r="K396" s="257">
        <f t="shared" si="370"/>
        <v>0</v>
      </c>
      <c r="L396" s="257">
        <f t="shared" si="370"/>
        <v>0</v>
      </c>
      <c r="M396" s="257">
        <f t="shared" si="370"/>
        <v>0</v>
      </c>
      <c r="N396" s="257">
        <f t="shared" si="370"/>
        <v>0</v>
      </c>
      <c r="O396" s="257">
        <f t="shared" si="370"/>
        <v>0</v>
      </c>
      <c r="P396" s="257">
        <f t="shared" si="370"/>
        <v>0</v>
      </c>
      <c r="Q396" s="257">
        <f t="shared" si="370"/>
        <v>0</v>
      </c>
      <c r="R396" s="257">
        <f t="shared" si="370"/>
        <v>0</v>
      </c>
      <c r="S396" s="257">
        <f t="shared" si="370"/>
        <v>0</v>
      </c>
      <c r="T396" s="257">
        <f t="shared" si="370"/>
        <v>0</v>
      </c>
      <c r="U396" s="257">
        <f t="shared" si="370"/>
        <v>0</v>
      </c>
      <c r="V396" s="257">
        <f t="shared" si="370"/>
        <v>104.68060500000001</v>
      </c>
      <c r="W396" s="257">
        <f t="shared" si="370"/>
        <v>275.12210799999997</v>
      </c>
      <c r="X396" s="257">
        <f t="shared" si="370"/>
        <v>416.84932400000002</v>
      </c>
      <c r="Y396" s="257">
        <f t="shared" si="370"/>
        <v>635.77241700000002</v>
      </c>
      <c r="Z396" s="257">
        <f t="shared" si="370"/>
        <v>1059.1821980000002</v>
      </c>
      <c r="AA396" s="257">
        <f t="shared" si="370"/>
        <v>938.45274099999995</v>
      </c>
      <c r="AB396" s="257">
        <f t="shared" si="370"/>
        <v>972.90811853117418</v>
      </c>
      <c r="AC396" s="257">
        <f t="shared" si="370"/>
        <v>641.01964091281855</v>
      </c>
      <c r="AD396" s="257">
        <f t="shared" si="370"/>
        <v>905.06080438998561</v>
      </c>
      <c r="AE396" s="257">
        <f t="shared" si="370"/>
        <v>906.69486922833119</v>
      </c>
      <c r="AF396" s="257">
        <f t="shared" si="370"/>
        <v>905.7682157164711</v>
      </c>
      <c r="AG396" s="257">
        <f t="shared" si="370"/>
        <v>904.45287108625553</v>
      </c>
      <c r="AH396" s="257">
        <f t="shared" si="370"/>
        <v>905.84957723998957</v>
      </c>
      <c r="AI396" s="257">
        <f t="shared" si="370"/>
        <v>766.66482549710213</v>
      </c>
      <c r="AJ396" s="257">
        <f t="shared" si="370"/>
        <v>782.56965423430415</v>
      </c>
      <c r="AK396" s="257">
        <f t="shared" si="370"/>
        <v>330.44153618325373</v>
      </c>
      <c r="AL396" s="257">
        <f t="shared" si="370"/>
        <v>0</v>
      </c>
      <c r="AM396" s="257">
        <f t="shared" si="370"/>
        <v>0</v>
      </c>
      <c r="AN396" s="257">
        <f t="shared" si="370"/>
        <v>0</v>
      </c>
      <c r="AO396" s="257">
        <f t="shared" si="370"/>
        <v>0</v>
      </c>
      <c r="AP396" s="257">
        <f t="shared" si="370"/>
        <v>0</v>
      </c>
      <c r="AQ396" s="257">
        <f t="shared" si="370"/>
        <v>0</v>
      </c>
      <c r="AR396" s="257">
        <f t="shared" si="370"/>
        <v>0</v>
      </c>
      <c r="AS396" s="257">
        <f t="shared" si="370"/>
        <v>0</v>
      </c>
    </row>
    <row r="397" spans="1:45" ht="15" customHeight="1" x14ac:dyDescent="0.3">
      <c r="A397" s="522"/>
      <c r="B397" s="695"/>
      <c r="C397" s="696"/>
      <c r="D397" s="522"/>
      <c r="E397" s="257" t="str">
        <f t="shared" ref="E397:AS397" si="371" xml:space="preserve"> E$380</f>
        <v>Cobalt gross revenue</v>
      </c>
      <c r="F397" s="257">
        <f t="shared" si="371"/>
        <v>0</v>
      </c>
      <c r="G397" s="257" t="str">
        <f t="shared" si="371"/>
        <v>$ mn</v>
      </c>
      <c r="H397" s="257">
        <f t="shared" si="371"/>
        <v>0</v>
      </c>
      <c r="I397" s="257">
        <f t="shared" si="371"/>
        <v>605.73785207875858</v>
      </c>
      <c r="J397" s="257">
        <f t="shared" si="371"/>
        <v>0</v>
      </c>
      <c r="K397" s="257">
        <f t="shared" si="371"/>
        <v>0</v>
      </c>
      <c r="L397" s="257">
        <f t="shared" si="371"/>
        <v>0</v>
      </c>
      <c r="M397" s="257">
        <f t="shared" si="371"/>
        <v>0</v>
      </c>
      <c r="N397" s="257">
        <f t="shared" si="371"/>
        <v>0</v>
      </c>
      <c r="O397" s="257">
        <f t="shared" si="371"/>
        <v>0</v>
      </c>
      <c r="P397" s="257">
        <f t="shared" si="371"/>
        <v>0</v>
      </c>
      <c r="Q397" s="257">
        <f t="shared" si="371"/>
        <v>0</v>
      </c>
      <c r="R397" s="257">
        <f t="shared" si="371"/>
        <v>0</v>
      </c>
      <c r="S397" s="257">
        <f t="shared" si="371"/>
        <v>0</v>
      </c>
      <c r="T397" s="257">
        <f t="shared" si="371"/>
        <v>0</v>
      </c>
      <c r="U397" s="257">
        <f t="shared" si="371"/>
        <v>0</v>
      </c>
      <c r="V397" s="257">
        <f t="shared" si="371"/>
        <v>0</v>
      </c>
      <c r="W397" s="257">
        <f t="shared" si="371"/>
        <v>0</v>
      </c>
      <c r="X397" s="257">
        <f t="shared" si="371"/>
        <v>17.482495504319999</v>
      </c>
      <c r="Y397" s="257">
        <f t="shared" si="371"/>
        <v>32.942181610799999</v>
      </c>
      <c r="Z397" s="257">
        <f t="shared" si="371"/>
        <v>59.516856278879999</v>
      </c>
      <c r="AA397" s="257">
        <f t="shared" si="371"/>
        <v>104.42579902523998</v>
      </c>
      <c r="AB397" s="257">
        <f t="shared" si="371"/>
        <v>50.640257798332065</v>
      </c>
      <c r="AC397" s="257">
        <f t="shared" si="371"/>
        <v>12.790082013106371</v>
      </c>
      <c r="AD397" s="257">
        <f t="shared" si="371"/>
        <v>44.969561931178475</v>
      </c>
      <c r="AE397" s="257">
        <f t="shared" si="371"/>
        <v>44.969561931178475</v>
      </c>
      <c r="AF397" s="257">
        <f t="shared" si="371"/>
        <v>44.969561931178475</v>
      </c>
      <c r="AG397" s="257">
        <f t="shared" si="371"/>
        <v>44.969561931178475</v>
      </c>
      <c r="AH397" s="257">
        <f t="shared" si="371"/>
        <v>44.969561931178475</v>
      </c>
      <c r="AI397" s="257">
        <f t="shared" si="371"/>
        <v>46.017723755482606</v>
      </c>
      <c r="AJ397" s="257">
        <f t="shared" si="371"/>
        <v>40.122552774619891</v>
      </c>
      <c r="AK397" s="257">
        <f t="shared" si="371"/>
        <v>16.952093662085321</v>
      </c>
      <c r="AL397" s="257">
        <f t="shared" si="371"/>
        <v>0</v>
      </c>
      <c r="AM397" s="257">
        <f t="shared" si="371"/>
        <v>0</v>
      </c>
      <c r="AN397" s="257">
        <f t="shared" si="371"/>
        <v>0</v>
      </c>
      <c r="AO397" s="257">
        <f t="shared" si="371"/>
        <v>0</v>
      </c>
      <c r="AP397" s="257">
        <f t="shared" si="371"/>
        <v>0</v>
      </c>
      <c r="AQ397" s="257">
        <f t="shared" si="371"/>
        <v>0</v>
      </c>
      <c r="AR397" s="257">
        <f t="shared" si="371"/>
        <v>0</v>
      </c>
      <c r="AS397" s="257">
        <f t="shared" si="371"/>
        <v>0</v>
      </c>
    </row>
    <row r="398" spans="1:45" ht="15" customHeight="1" x14ac:dyDescent="0.3">
      <c r="A398" s="522"/>
      <c r="B398" s="695"/>
      <c r="C398" s="696"/>
      <c r="D398" s="522"/>
      <c r="E398" s="257" t="str">
        <f xml:space="preserve"> E$385</f>
        <v>Total gross revenue</v>
      </c>
      <c r="F398" s="257">
        <f t="shared" ref="F398:O398" si="372" xml:space="preserve"> F$385</f>
        <v>0</v>
      </c>
      <c r="G398" s="257" t="str">
        <f t="shared" si="372"/>
        <v>$ mn</v>
      </c>
      <c r="H398" s="257">
        <f t="shared" si="372"/>
        <v>0</v>
      </c>
      <c r="I398" s="257">
        <f t="shared" si="372"/>
        <v>12057.227358098444</v>
      </c>
      <c r="J398" s="257">
        <f t="shared" si="372"/>
        <v>0</v>
      </c>
      <c r="K398" s="257">
        <f t="shared" si="372"/>
        <v>0</v>
      </c>
      <c r="L398" s="257">
        <f t="shared" si="372"/>
        <v>0</v>
      </c>
      <c r="M398" s="257">
        <f t="shared" si="372"/>
        <v>0</v>
      </c>
      <c r="N398" s="257">
        <f t="shared" si="372"/>
        <v>0</v>
      </c>
      <c r="O398" s="257">
        <f t="shared" si="372"/>
        <v>0</v>
      </c>
      <c r="P398" s="257">
        <f t="shared" ref="P398:AS398" si="373" xml:space="preserve"> P$385</f>
        <v>0</v>
      </c>
      <c r="Q398" s="257">
        <f t="shared" si="373"/>
        <v>0</v>
      </c>
      <c r="R398" s="257">
        <f t="shared" si="373"/>
        <v>0</v>
      </c>
      <c r="S398" s="257">
        <f t="shared" si="373"/>
        <v>0</v>
      </c>
      <c r="T398" s="257">
        <f t="shared" si="373"/>
        <v>0</v>
      </c>
      <c r="U398" s="257">
        <f t="shared" si="373"/>
        <v>0</v>
      </c>
      <c r="V398" s="257">
        <f t="shared" si="373"/>
        <v>104.68060500000001</v>
      </c>
      <c r="W398" s="257">
        <f t="shared" si="373"/>
        <v>275.12210799999997</v>
      </c>
      <c r="X398" s="257">
        <f t="shared" si="373"/>
        <v>434.33181950432004</v>
      </c>
      <c r="Y398" s="257">
        <f t="shared" si="373"/>
        <v>668.71459861080007</v>
      </c>
      <c r="Z398" s="257">
        <f t="shared" si="373"/>
        <v>1118.6990542788801</v>
      </c>
      <c r="AA398" s="257">
        <f t="shared" si="373"/>
        <v>1042.87854002524</v>
      </c>
      <c r="AB398" s="257">
        <f t="shared" si="373"/>
        <v>1023.5483763295063</v>
      </c>
      <c r="AC398" s="257">
        <f t="shared" si="373"/>
        <v>653.80972292592492</v>
      </c>
      <c r="AD398" s="257">
        <f t="shared" si="373"/>
        <v>950.03036632116414</v>
      </c>
      <c r="AE398" s="257">
        <f t="shared" si="373"/>
        <v>951.6644311595096</v>
      </c>
      <c r="AF398" s="257">
        <f t="shared" si="373"/>
        <v>950.73777764764964</v>
      </c>
      <c r="AG398" s="257">
        <f t="shared" si="373"/>
        <v>949.42243301743406</v>
      </c>
      <c r="AH398" s="257">
        <f t="shared" si="373"/>
        <v>950.81913917116799</v>
      </c>
      <c r="AI398" s="257">
        <f t="shared" si="373"/>
        <v>812.68254925258475</v>
      </c>
      <c r="AJ398" s="257">
        <f t="shared" si="373"/>
        <v>822.69220700892402</v>
      </c>
      <c r="AK398" s="257">
        <f t="shared" si="373"/>
        <v>347.39362984533904</v>
      </c>
      <c r="AL398" s="257">
        <f t="shared" si="373"/>
        <v>0</v>
      </c>
      <c r="AM398" s="257">
        <f t="shared" si="373"/>
        <v>0</v>
      </c>
      <c r="AN398" s="257">
        <f t="shared" si="373"/>
        <v>0</v>
      </c>
      <c r="AO398" s="257">
        <f t="shared" si="373"/>
        <v>0</v>
      </c>
      <c r="AP398" s="257">
        <f t="shared" si="373"/>
        <v>0</v>
      </c>
      <c r="AQ398" s="257">
        <f t="shared" si="373"/>
        <v>0</v>
      </c>
      <c r="AR398" s="257">
        <f t="shared" si="373"/>
        <v>0</v>
      </c>
      <c r="AS398" s="257">
        <f t="shared" si="373"/>
        <v>0</v>
      </c>
    </row>
    <row r="399" spans="1:45" ht="15" customHeight="1" x14ac:dyDescent="0.3">
      <c r="A399" s="522"/>
      <c r="B399" s="695"/>
      <c r="C399" s="696"/>
      <c r="D399" s="522"/>
      <c r="E399" s="257"/>
      <c r="F399" s="257"/>
      <c r="G399" s="257"/>
      <c r="H399" s="257"/>
      <c r="I399" s="257"/>
      <c r="J399" s="257"/>
      <c r="K399" s="257"/>
      <c r="L399" s="257"/>
      <c r="M399" s="257"/>
      <c r="N399" s="257"/>
      <c r="O399" s="257"/>
      <c r="P399" s="257"/>
      <c r="Q399" s="257"/>
      <c r="R399" s="257"/>
      <c r="S399" s="257"/>
      <c r="T399" s="257"/>
      <c r="U399" s="257"/>
      <c r="V399" s="257"/>
      <c r="W399" s="257"/>
      <c r="X399" s="257"/>
      <c r="Y399" s="257"/>
      <c r="Z399" s="257"/>
      <c r="AA399" s="257"/>
      <c r="AB399" s="257"/>
      <c r="AC399" s="257"/>
      <c r="AD399" s="257"/>
      <c r="AE399" s="257"/>
      <c r="AF399" s="257"/>
      <c r="AG399" s="257"/>
      <c r="AH399" s="257"/>
      <c r="AI399" s="257"/>
      <c r="AJ399" s="257"/>
      <c r="AK399" s="257"/>
      <c r="AL399" s="257"/>
      <c r="AM399" s="257"/>
      <c r="AN399" s="257"/>
      <c r="AO399" s="257"/>
      <c r="AP399" s="257"/>
      <c r="AQ399" s="257"/>
      <c r="AR399" s="257"/>
      <c r="AS399" s="257"/>
    </row>
    <row r="400" spans="1:45" ht="15" customHeight="1" x14ac:dyDescent="0.3">
      <c r="A400" s="522"/>
      <c r="B400" s="695"/>
      <c r="C400" s="696"/>
      <c r="D400" s="522"/>
      <c r="E400" s="522" t="s">
        <v>796</v>
      </c>
      <c r="F400" s="469">
        <f>I396 / I$398</f>
        <v>0.94976143070969776</v>
      </c>
      <c r="G400" s="522"/>
      <c r="H400" s="522"/>
      <c r="I400" s="522"/>
      <c r="J400" s="522"/>
      <c r="K400" s="264"/>
      <c r="L400" s="264"/>
      <c r="M400" s="264"/>
      <c r="N400" s="264"/>
      <c r="O400" s="264"/>
      <c r="P400" s="264"/>
      <c r="Q400" s="264"/>
      <c r="R400" s="264"/>
      <c r="S400" s="264"/>
      <c r="T400" s="264"/>
      <c r="U400" s="264"/>
      <c r="V400" s="264"/>
      <c r="W400" s="264"/>
      <c r="X400" s="264"/>
      <c r="Y400" s="264"/>
      <c r="Z400" s="264"/>
      <c r="AA400" s="264"/>
      <c r="AB400" s="264"/>
      <c r="AC400" s="264"/>
      <c r="AD400" s="264"/>
      <c r="AE400" s="264"/>
      <c r="AF400" s="264"/>
      <c r="AG400" s="264"/>
      <c r="AH400" s="264"/>
      <c r="AI400" s="264"/>
      <c r="AJ400" s="264"/>
      <c r="AK400" s="264"/>
      <c r="AL400" s="264"/>
      <c r="AM400" s="264"/>
      <c r="AN400" s="264"/>
      <c r="AO400" s="264"/>
      <c r="AP400" s="264"/>
      <c r="AQ400" s="264"/>
      <c r="AR400" s="264"/>
      <c r="AS400" s="264"/>
    </row>
    <row r="401" spans="1:45" ht="15" customHeight="1" x14ac:dyDescent="0.3">
      <c r="A401" s="522"/>
      <c r="B401" s="695"/>
      <c r="C401" s="696"/>
      <c r="D401" s="522"/>
      <c r="E401" s="522" t="s">
        <v>797</v>
      </c>
      <c r="F401" s="469">
        <f>I397 / I$398</f>
        <v>5.0238569290302411E-2</v>
      </c>
      <c r="G401" s="522"/>
      <c r="H401" s="522"/>
      <c r="I401" s="522"/>
      <c r="J401" s="522"/>
      <c r="K401" s="264"/>
      <c r="L401" s="264"/>
      <c r="M401" s="264"/>
      <c r="N401" s="264"/>
      <c r="O401" s="264"/>
      <c r="P401" s="264"/>
      <c r="Q401" s="264"/>
      <c r="R401" s="264"/>
      <c r="S401" s="264"/>
      <c r="T401" s="264"/>
      <c r="U401" s="264"/>
      <c r="V401" s="264"/>
      <c r="W401" s="264"/>
      <c r="X401" s="264"/>
      <c r="Y401" s="264"/>
      <c r="Z401" s="264"/>
      <c r="AA401" s="264"/>
      <c r="AB401" s="264"/>
      <c r="AC401" s="264"/>
      <c r="AD401" s="264"/>
      <c r="AE401" s="264"/>
      <c r="AF401" s="264"/>
      <c r="AG401" s="264"/>
      <c r="AH401" s="264"/>
      <c r="AI401" s="264"/>
      <c r="AJ401" s="264"/>
      <c r="AK401" s="264"/>
      <c r="AL401" s="264"/>
      <c r="AM401" s="264"/>
      <c r="AN401" s="264"/>
      <c r="AO401" s="264"/>
      <c r="AP401" s="264"/>
      <c r="AQ401" s="264"/>
      <c r="AR401" s="264"/>
      <c r="AS401" s="264"/>
    </row>
    <row r="402" spans="1:45" ht="15" customHeight="1" x14ac:dyDescent="0.3">
      <c r="A402" s="522"/>
      <c r="B402" s="695"/>
      <c r="C402" s="696"/>
      <c r="D402" s="522"/>
      <c r="E402" s="522"/>
      <c r="F402" s="522"/>
      <c r="G402" s="522"/>
      <c r="H402" s="522"/>
      <c r="I402" s="522"/>
      <c r="J402" s="522"/>
      <c r="K402" s="264"/>
      <c r="L402" s="264"/>
      <c r="M402" s="264"/>
      <c r="N402" s="264"/>
      <c r="O402" s="264"/>
      <c r="P402" s="264"/>
      <c r="Q402" s="264"/>
      <c r="R402" s="264"/>
      <c r="S402" s="264"/>
      <c r="T402" s="264"/>
      <c r="U402" s="264"/>
      <c r="V402" s="264"/>
      <c r="W402" s="264"/>
      <c r="X402" s="264"/>
      <c r="Y402" s="264"/>
      <c r="Z402" s="264"/>
      <c r="AA402" s="264"/>
      <c r="AB402" s="264"/>
      <c r="AC402" s="264"/>
      <c r="AD402" s="264"/>
      <c r="AE402" s="264"/>
      <c r="AF402" s="264"/>
      <c r="AG402" s="264"/>
      <c r="AH402" s="264"/>
      <c r="AI402" s="264"/>
      <c r="AJ402" s="264"/>
      <c r="AK402" s="264"/>
      <c r="AL402" s="264"/>
      <c r="AM402" s="264"/>
      <c r="AN402" s="264"/>
      <c r="AO402" s="264"/>
      <c r="AP402" s="264"/>
      <c r="AQ402" s="264"/>
      <c r="AR402" s="264"/>
      <c r="AS402" s="264"/>
    </row>
    <row r="403" spans="1:45" ht="15" customHeight="1" x14ac:dyDescent="0.3">
      <c r="A403" s="522"/>
      <c r="B403" s="695"/>
      <c r="C403" s="696"/>
      <c r="D403" s="522"/>
      <c r="E403" s="522" t="s">
        <v>798</v>
      </c>
      <c r="F403" s="522"/>
      <c r="G403" s="522"/>
      <c r="H403" s="522"/>
      <c r="I403" s="522">
        <f>SUM(K403:AS403)</f>
        <v>0</v>
      </c>
      <c r="J403" s="522"/>
      <c r="K403" s="264">
        <f t="shared" ref="K403:AS403" si="374">K394 * $F400</f>
        <v>0</v>
      </c>
      <c r="L403" s="264">
        <f t="shared" si="374"/>
        <v>0</v>
      </c>
      <c r="M403" s="264">
        <f t="shared" si="374"/>
        <v>0</v>
      </c>
      <c r="N403" s="264">
        <f t="shared" si="374"/>
        <v>0</v>
      </c>
      <c r="O403" s="264">
        <f t="shared" si="374"/>
        <v>0</v>
      </c>
      <c r="P403" s="264">
        <f t="shared" si="374"/>
        <v>0</v>
      </c>
      <c r="Q403" s="264">
        <f t="shared" si="374"/>
        <v>0</v>
      </c>
      <c r="R403" s="264">
        <f t="shared" si="374"/>
        <v>0</v>
      </c>
      <c r="S403" s="264">
        <f t="shared" si="374"/>
        <v>0</v>
      </c>
      <c r="T403" s="264">
        <f t="shared" si="374"/>
        <v>0</v>
      </c>
      <c r="U403" s="264">
        <f t="shared" si="374"/>
        <v>0</v>
      </c>
      <c r="V403" s="264">
        <f t="shared" si="374"/>
        <v>0</v>
      </c>
      <c r="W403" s="264">
        <f t="shared" si="374"/>
        <v>0</v>
      </c>
      <c r="X403" s="264">
        <f t="shared" si="374"/>
        <v>0</v>
      </c>
      <c r="Y403" s="264">
        <f t="shared" si="374"/>
        <v>0</v>
      </c>
      <c r="Z403" s="264">
        <f t="shared" si="374"/>
        <v>0</v>
      </c>
      <c r="AA403" s="264">
        <f t="shared" si="374"/>
        <v>0</v>
      </c>
      <c r="AB403" s="264">
        <f t="shared" si="374"/>
        <v>0</v>
      </c>
      <c r="AC403" s="264">
        <f t="shared" si="374"/>
        <v>0</v>
      </c>
      <c r="AD403" s="264">
        <f t="shared" si="374"/>
        <v>0</v>
      </c>
      <c r="AE403" s="264">
        <f t="shared" si="374"/>
        <v>0</v>
      </c>
      <c r="AF403" s="264">
        <f t="shared" si="374"/>
        <v>0</v>
      </c>
      <c r="AG403" s="264">
        <f t="shared" si="374"/>
        <v>0</v>
      </c>
      <c r="AH403" s="264">
        <f t="shared" si="374"/>
        <v>0</v>
      </c>
      <c r="AI403" s="264">
        <f t="shared" si="374"/>
        <v>0</v>
      </c>
      <c r="AJ403" s="264">
        <f t="shared" si="374"/>
        <v>0</v>
      </c>
      <c r="AK403" s="264">
        <f t="shared" si="374"/>
        <v>0</v>
      </c>
      <c r="AL403" s="264">
        <f t="shared" si="374"/>
        <v>0</v>
      </c>
      <c r="AM403" s="264">
        <f t="shared" si="374"/>
        <v>0</v>
      </c>
      <c r="AN403" s="264">
        <f t="shared" si="374"/>
        <v>0</v>
      </c>
      <c r="AO403" s="264">
        <f t="shared" si="374"/>
        <v>0</v>
      </c>
      <c r="AP403" s="264">
        <f t="shared" si="374"/>
        <v>0</v>
      </c>
      <c r="AQ403" s="264">
        <f t="shared" si="374"/>
        <v>0</v>
      </c>
      <c r="AR403" s="264">
        <f t="shared" si="374"/>
        <v>0</v>
      </c>
      <c r="AS403" s="264">
        <f t="shared" si="374"/>
        <v>0</v>
      </c>
    </row>
    <row r="404" spans="1:45" ht="15" customHeight="1" x14ac:dyDescent="0.3">
      <c r="A404" s="522"/>
      <c r="B404" s="695"/>
      <c r="C404" s="696"/>
      <c r="D404" s="522"/>
      <c r="E404" s="522" t="s">
        <v>799</v>
      </c>
      <c r="F404" s="522"/>
      <c r="G404" s="522"/>
      <c r="H404" s="522"/>
      <c r="I404" s="522">
        <f>SUM(K404:AS404)</f>
        <v>0</v>
      </c>
      <c r="J404" s="522"/>
      <c r="K404" s="264">
        <f t="shared" ref="K404:AS404" si="375">K394 * $F401</f>
        <v>0</v>
      </c>
      <c r="L404" s="264">
        <f t="shared" si="375"/>
        <v>0</v>
      </c>
      <c r="M404" s="264">
        <f t="shared" si="375"/>
        <v>0</v>
      </c>
      <c r="N404" s="264">
        <f t="shared" si="375"/>
        <v>0</v>
      </c>
      <c r="O404" s="264">
        <f t="shared" si="375"/>
        <v>0</v>
      </c>
      <c r="P404" s="264">
        <f t="shared" si="375"/>
        <v>0</v>
      </c>
      <c r="Q404" s="264">
        <f t="shared" si="375"/>
        <v>0</v>
      </c>
      <c r="R404" s="264">
        <f t="shared" si="375"/>
        <v>0</v>
      </c>
      <c r="S404" s="264">
        <f t="shared" si="375"/>
        <v>0</v>
      </c>
      <c r="T404" s="264">
        <f t="shared" si="375"/>
        <v>0</v>
      </c>
      <c r="U404" s="264">
        <f t="shared" si="375"/>
        <v>0</v>
      </c>
      <c r="V404" s="264">
        <f t="shared" si="375"/>
        <v>0</v>
      </c>
      <c r="W404" s="264">
        <f t="shared" si="375"/>
        <v>0</v>
      </c>
      <c r="X404" s="264">
        <f t="shared" si="375"/>
        <v>0</v>
      </c>
      <c r="Y404" s="264">
        <f t="shared" si="375"/>
        <v>0</v>
      </c>
      <c r="Z404" s="264">
        <f t="shared" si="375"/>
        <v>0</v>
      </c>
      <c r="AA404" s="264">
        <f t="shared" si="375"/>
        <v>0</v>
      </c>
      <c r="AB404" s="264">
        <f t="shared" si="375"/>
        <v>0</v>
      </c>
      <c r="AC404" s="264">
        <f t="shared" si="375"/>
        <v>0</v>
      </c>
      <c r="AD404" s="264">
        <f t="shared" si="375"/>
        <v>0</v>
      </c>
      <c r="AE404" s="264">
        <f t="shared" si="375"/>
        <v>0</v>
      </c>
      <c r="AF404" s="264">
        <f t="shared" si="375"/>
        <v>0</v>
      </c>
      <c r="AG404" s="264">
        <f t="shared" si="375"/>
        <v>0</v>
      </c>
      <c r="AH404" s="264">
        <f t="shared" si="375"/>
        <v>0</v>
      </c>
      <c r="AI404" s="264">
        <f t="shared" si="375"/>
        <v>0</v>
      </c>
      <c r="AJ404" s="264">
        <f t="shared" si="375"/>
        <v>0</v>
      </c>
      <c r="AK404" s="264">
        <f t="shared" si="375"/>
        <v>0</v>
      </c>
      <c r="AL404" s="264">
        <f t="shared" si="375"/>
        <v>0</v>
      </c>
      <c r="AM404" s="264">
        <f t="shared" si="375"/>
        <v>0</v>
      </c>
      <c r="AN404" s="264">
        <f t="shared" si="375"/>
        <v>0</v>
      </c>
      <c r="AO404" s="264">
        <f t="shared" si="375"/>
        <v>0</v>
      </c>
      <c r="AP404" s="264">
        <f t="shared" si="375"/>
        <v>0</v>
      </c>
      <c r="AQ404" s="264">
        <f t="shared" si="375"/>
        <v>0</v>
      </c>
      <c r="AR404" s="264">
        <f t="shared" si="375"/>
        <v>0</v>
      </c>
      <c r="AS404" s="264">
        <f t="shared" si="375"/>
        <v>0</v>
      </c>
    </row>
    <row r="405" spans="1:45" ht="15" customHeight="1" x14ac:dyDescent="0.3">
      <c r="A405" s="522"/>
      <c r="B405" s="695"/>
      <c r="C405" s="696"/>
      <c r="D405" s="522"/>
      <c r="E405" s="522"/>
      <c r="F405" s="522"/>
      <c r="G405" s="522"/>
      <c r="H405" s="522"/>
      <c r="I405" s="522"/>
      <c r="J405" s="522"/>
      <c r="K405" s="264"/>
      <c r="L405" s="264"/>
      <c r="M405" s="264"/>
      <c r="N405" s="264"/>
      <c r="O405" s="264"/>
      <c r="P405" s="264"/>
      <c r="Q405" s="264"/>
      <c r="R405" s="264"/>
      <c r="S405" s="264"/>
      <c r="T405" s="264"/>
      <c r="U405" s="264"/>
      <c r="V405" s="264"/>
      <c r="W405" s="264"/>
      <c r="X405" s="264"/>
      <c r="Y405" s="264"/>
      <c r="Z405" s="264"/>
      <c r="AA405" s="264"/>
      <c r="AB405" s="264"/>
      <c r="AC405" s="264"/>
      <c r="AD405" s="264"/>
      <c r="AE405" s="264"/>
      <c r="AF405" s="264"/>
      <c r="AG405" s="264"/>
      <c r="AH405" s="264"/>
      <c r="AI405" s="264"/>
      <c r="AJ405" s="264"/>
      <c r="AK405" s="264"/>
      <c r="AL405" s="264"/>
      <c r="AM405" s="264"/>
      <c r="AN405" s="264"/>
      <c r="AO405" s="264"/>
      <c r="AP405" s="264"/>
      <c r="AQ405" s="264"/>
      <c r="AR405" s="264"/>
      <c r="AS405" s="264"/>
    </row>
    <row r="406" spans="1:45" ht="15" customHeight="1" x14ac:dyDescent="0.3">
      <c r="A406" s="522"/>
      <c r="B406" s="695"/>
      <c r="C406" s="696" t="s">
        <v>800</v>
      </c>
      <c r="D406" s="522"/>
      <c r="E406" s="522"/>
      <c r="F406" s="522"/>
      <c r="G406" s="522"/>
      <c r="H406" s="522"/>
      <c r="I406" s="522"/>
      <c r="J406" s="522"/>
      <c r="K406" s="264"/>
      <c r="L406" s="264"/>
      <c r="M406" s="264"/>
      <c r="N406" s="264"/>
      <c r="O406" s="264"/>
      <c r="P406" s="264"/>
      <c r="Q406" s="264"/>
      <c r="R406" s="264"/>
      <c r="S406" s="264"/>
      <c r="T406" s="264"/>
      <c r="U406" s="264"/>
      <c r="V406" s="264"/>
      <c r="W406" s="264"/>
      <c r="X406" s="264"/>
      <c r="Y406" s="264"/>
      <c r="Z406" s="264"/>
      <c r="AA406" s="264"/>
      <c r="AB406" s="264"/>
      <c r="AC406" s="264"/>
      <c r="AD406" s="264"/>
      <c r="AE406" s="264"/>
      <c r="AF406" s="264"/>
      <c r="AG406" s="264"/>
      <c r="AH406" s="264"/>
      <c r="AI406" s="264"/>
      <c r="AJ406" s="264"/>
      <c r="AK406" s="264"/>
      <c r="AL406" s="264"/>
      <c r="AM406" s="264"/>
      <c r="AN406" s="264"/>
      <c r="AO406" s="264"/>
      <c r="AP406" s="264"/>
      <c r="AQ406" s="264"/>
      <c r="AR406" s="264"/>
      <c r="AS406" s="264"/>
    </row>
    <row r="407" spans="1:45" ht="15" customHeight="1" x14ac:dyDescent="0.3">
      <c r="A407" s="765"/>
      <c r="B407" s="766"/>
      <c r="C407" s="767"/>
      <c r="D407" s="765"/>
      <c r="E407" s="765" t="s">
        <v>801</v>
      </c>
      <c r="F407" s="408"/>
      <c r="G407" s="765" t="s">
        <v>346</v>
      </c>
      <c r="H407" s="765"/>
      <c r="I407" s="765">
        <f>SUM(K407:AS407)</f>
        <v>11451.489506019687</v>
      </c>
      <c r="J407" s="765"/>
      <c r="K407" s="540">
        <f>K396 - (K403 * ($F$390 = "Yes"))</f>
        <v>0</v>
      </c>
      <c r="L407" s="540">
        <f t="shared" ref="L407:AS407" si="376">L396 - (L403 * ($F$390 = "Yes"))</f>
        <v>0</v>
      </c>
      <c r="M407" s="540">
        <f t="shared" si="376"/>
        <v>0</v>
      </c>
      <c r="N407" s="540">
        <f t="shared" si="376"/>
        <v>0</v>
      </c>
      <c r="O407" s="540">
        <f t="shared" si="376"/>
        <v>0</v>
      </c>
      <c r="P407" s="540">
        <f t="shared" si="376"/>
        <v>0</v>
      </c>
      <c r="Q407" s="540">
        <f t="shared" si="376"/>
        <v>0</v>
      </c>
      <c r="R407" s="540">
        <f t="shared" si="376"/>
        <v>0</v>
      </c>
      <c r="S407" s="540">
        <f t="shared" si="376"/>
        <v>0</v>
      </c>
      <c r="T407" s="540">
        <f t="shared" si="376"/>
        <v>0</v>
      </c>
      <c r="U407" s="540">
        <f t="shared" si="376"/>
        <v>0</v>
      </c>
      <c r="V407" s="540">
        <f t="shared" si="376"/>
        <v>104.68060500000001</v>
      </c>
      <c r="W407" s="540">
        <f t="shared" si="376"/>
        <v>275.12210799999997</v>
      </c>
      <c r="X407" s="540">
        <f t="shared" si="376"/>
        <v>416.84932400000002</v>
      </c>
      <c r="Y407" s="540">
        <f t="shared" si="376"/>
        <v>635.77241700000002</v>
      </c>
      <c r="Z407" s="540">
        <f t="shared" si="376"/>
        <v>1059.1821980000002</v>
      </c>
      <c r="AA407" s="540">
        <f t="shared" si="376"/>
        <v>938.45274099999995</v>
      </c>
      <c r="AB407" s="540">
        <f t="shared" si="376"/>
        <v>972.90811853117418</v>
      </c>
      <c r="AC407" s="540">
        <f t="shared" si="376"/>
        <v>641.01964091281855</v>
      </c>
      <c r="AD407" s="540">
        <f t="shared" si="376"/>
        <v>905.06080438998561</v>
      </c>
      <c r="AE407" s="540">
        <f t="shared" si="376"/>
        <v>906.69486922833119</v>
      </c>
      <c r="AF407" s="540">
        <f t="shared" si="376"/>
        <v>905.7682157164711</v>
      </c>
      <c r="AG407" s="540">
        <f t="shared" si="376"/>
        <v>904.45287108625553</v>
      </c>
      <c r="AH407" s="540">
        <f t="shared" si="376"/>
        <v>905.84957723998957</v>
      </c>
      <c r="AI407" s="540">
        <f t="shared" si="376"/>
        <v>766.66482549710213</v>
      </c>
      <c r="AJ407" s="540">
        <f t="shared" si="376"/>
        <v>782.56965423430415</v>
      </c>
      <c r="AK407" s="540">
        <f t="shared" si="376"/>
        <v>330.44153618325373</v>
      </c>
      <c r="AL407" s="540">
        <f t="shared" si="376"/>
        <v>0</v>
      </c>
      <c r="AM407" s="540">
        <f t="shared" si="376"/>
        <v>0</v>
      </c>
      <c r="AN407" s="540">
        <f t="shared" si="376"/>
        <v>0</v>
      </c>
      <c r="AO407" s="540">
        <f t="shared" si="376"/>
        <v>0</v>
      </c>
      <c r="AP407" s="540">
        <f t="shared" si="376"/>
        <v>0</v>
      </c>
      <c r="AQ407" s="540">
        <f t="shared" si="376"/>
        <v>0</v>
      </c>
      <c r="AR407" s="540">
        <f t="shared" si="376"/>
        <v>0</v>
      </c>
      <c r="AS407" s="540">
        <f t="shared" si="376"/>
        <v>0</v>
      </c>
    </row>
    <row r="408" spans="1:45" ht="15" customHeight="1" x14ac:dyDescent="0.3">
      <c r="A408" s="765"/>
      <c r="B408" s="766"/>
      <c r="C408" s="767"/>
      <c r="D408" s="765"/>
      <c r="E408" s="765" t="s">
        <v>802</v>
      </c>
      <c r="F408" s="408"/>
      <c r="G408" s="765" t="s">
        <v>346</v>
      </c>
      <c r="H408" s="765"/>
      <c r="I408" s="765">
        <f>SUM(K408:AS408)</f>
        <v>605.73785207875858</v>
      </c>
      <c r="J408" s="765"/>
      <c r="K408" s="540">
        <f t="shared" ref="K408:AS408" si="377">K397 - (K404 * ($F$390 = "Yes"))</f>
        <v>0</v>
      </c>
      <c r="L408" s="540">
        <f t="shared" si="377"/>
        <v>0</v>
      </c>
      <c r="M408" s="540">
        <f t="shared" si="377"/>
        <v>0</v>
      </c>
      <c r="N408" s="540">
        <f t="shared" si="377"/>
        <v>0</v>
      </c>
      <c r="O408" s="540">
        <f t="shared" si="377"/>
        <v>0</v>
      </c>
      <c r="P408" s="540">
        <f t="shared" si="377"/>
        <v>0</v>
      </c>
      <c r="Q408" s="540">
        <f t="shared" si="377"/>
        <v>0</v>
      </c>
      <c r="R408" s="540">
        <f t="shared" si="377"/>
        <v>0</v>
      </c>
      <c r="S408" s="540">
        <f t="shared" si="377"/>
        <v>0</v>
      </c>
      <c r="T408" s="540">
        <f t="shared" si="377"/>
        <v>0</v>
      </c>
      <c r="U408" s="540">
        <f t="shared" si="377"/>
        <v>0</v>
      </c>
      <c r="V408" s="540">
        <f t="shared" si="377"/>
        <v>0</v>
      </c>
      <c r="W408" s="540">
        <f t="shared" si="377"/>
        <v>0</v>
      </c>
      <c r="X408" s="540">
        <f t="shared" si="377"/>
        <v>17.482495504319999</v>
      </c>
      <c r="Y408" s="540">
        <f t="shared" si="377"/>
        <v>32.942181610799999</v>
      </c>
      <c r="Z408" s="540">
        <f t="shared" si="377"/>
        <v>59.516856278879999</v>
      </c>
      <c r="AA408" s="540">
        <f t="shared" si="377"/>
        <v>104.42579902523998</v>
      </c>
      <c r="AB408" s="540">
        <f t="shared" si="377"/>
        <v>50.640257798332065</v>
      </c>
      <c r="AC408" s="540">
        <f t="shared" si="377"/>
        <v>12.790082013106371</v>
      </c>
      <c r="AD408" s="540">
        <f t="shared" si="377"/>
        <v>44.969561931178475</v>
      </c>
      <c r="AE408" s="540">
        <f t="shared" si="377"/>
        <v>44.969561931178475</v>
      </c>
      <c r="AF408" s="540">
        <f t="shared" si="377"/>
        <v>44.969561931178475</v>
      </c>
      <c r="AG408" s="540">
        <f t="shared" si="377"/>
        <v>44.969561931178475</v>
      </c>
      <c r="AH408" s="540">
        <f t="shared" si="377"/>
        <v>44.969561931178475</v>
      </c>
      <c r="AI408" s="540">
        <f t="shared" si="377"/>
        <v>46.017723755482606</v>
      </c>
      <c r="AJ408" s="540">
        <f t="shared" si="377"/>
        <v>40.122552774619891</v>
      </c>
      <c r="AK408" s="540">
        <f t="shared" si="377"/>
        <v>16.952093662085321</v>
      </c>
      <c r="AL408" s="540">
        <f t="shared" si="377"/>
        <v>0</v>
      </c>
      <c r="AM408" s="540">
        <f t="shared" si="377"/>
        <v>0</v>
      </c>
      <c r="AN408" s="540">
        <f t="shared" si="377"/>
        <v>0</v>
      </c>
      <c r="AO408" s="540">
        <f t="shared" si="377"/>
        <v>0</v>
      </c>
      <c r="AP408" s="540">
        <f t="shared" si="377"/>
        <v>0</v>
      </c>
      <c r="AQ408" s="540">
        <f t="shared" si="377"/>
        <v>0</v>
      </c>
      <c r="AR408" s="540">
        <f t="shared" si="377"/>
        <v>0</v>
      </c>
      <c r="AS408" s="540">
        <f t="shared" si="377"/>
        <v>0</v>
      </c>
    </row>
    <row r="409" spans="1:45" ht="15" customHeight="1" x14ac:dyDescent="0.3">
      <c r="A409" s="768"/>
      <c r="B409" s="769"/>
      <c r="C409" s="770"/>
      <c r="D409" s="768"/>
      <c r="E409" s="768" t="s">
        <v>803</v>
      </c>
      <c r="F409" s="850"/>
      <c r="G409" s="768" t="s">
        <v>346</v>
      </c>
      <c r="H409" s="768"/>
      <c r="I409" s="768">
        <f>SUM(K409:AS409)</f>
        <v>12057.227358098444</v>
      </c>
      <c r="J409" s="768"/>
      <c r="K409" s="548">
        <f t="shared" ref="K409:O409" si="378">K407 + K408</f>
        <v>0</v>
      </c>
      <c r="L409" s="548">
        <f t="shared" si="378"/>
        <v>0</v>
      </c>
      <c r="M409" s="548">
        <f t="shared" si="378"/>
        <v>0</v>
      </c>
      <c r="N409" s="548">
        <f t="shared" si="378"/>
        <v>0</v>
      </c>
      <c r="O409" s="548">
        <f t="shared" si="378"/>
        <v>0</v>
      </c>
      <c r="P409" s="548">
        <f>P407 + P408</f>
        <v>0</v>
      </c>
      <c r="Q409" s="548">
        <f t="shared" ref="Q409:AS409" si="379">Q407 + Q408</f>
        <v>0</v>
      </c>
      <c r="R409" s="548">
        <f t="shared" si="379"/>
        <v>0</v>
      </c>
      <c r="S409" s="548">
        <f t="shared" si="379"/>
        <v>0</v>
      </c>
      <c r="T409" s="548">
        <f t="shared" si="379"/>
        <v>0</v>
      </c>
      <c r="U409" s="548">
        <f t="shared" si="379"/>
        <v>0</v>
      </c>
      <c r="V409" s="548">
        <f t="shared" si="379"/>
        <v>104.68060500000001</v>
      </c>
      <c r="W409" s="548">
        <f t="shared" si="379"/>
        <v>275.12210799999997</v>
      </c>
      <c r="X409" s="548">
        <f t="shared" si="379"/>
        <v>434.33181950432004</v>
      </c>
      <c r="Y409" s="548">
        <f t="shared" si="379"/>
        <v>668.71459861080007</v>
      </c>
      <c r="Z409" s="548">
        <f t="shared" si="379"/>
        <v>1118.6990542788801</v>
      </c>
      <c r="AA409" s="548">
        <f t="shared" si="379"/>
        <v>1042.87854002524</v>
      </c>
      <c r="AB409" s="548">
        <f t="shared" si="379"/>
        <v>1023.5483763295063</v>
      </c>
      <c r="AC409" s="548">
        <f t="shared" si="379"/>
        <v>653.80972292592492</v>
      </c>
      <c r="AD409" s="548">
        <f t="shared" si="379"/>
        <v>950.03036632116414</v>
      </c>
      <c r="AE409" s="548">
        <f t="shared" si="379"/>
        <v>951.6644311595096</v>
      </c>
      <c r="AF409" s="548">
        <f t="shared" si="379"/>
        <v>950.73777764764964</v>
      </c>
      <c r="AG409" s="548">
        <f t="shared" si="379"/>
        <v>949.42243301743406</v>
      </c>
      <c r="AH409" s="548">
        <f t="shared" si="379"/>
        <v>950.81913917116799</v>
      </c>
      <c r="AI409" s="548">
        <f t="shared" si="379"/>
        <v>812.68254925258475</v>
      </c>
      <c r="AJ409" s="548">
        <f t="shared" si="379"/>
        <v>822.69220700892402</v>
      </c>
      <c r="AK409" s="548">
        <f t="shared" si="379"/>
        <v>347.39362984533904</v>
      </c>
      <c r="AL409" s="548">
        <f t="shared" si="379"/>
        <v>0</v>
      </c>
      <c r="AM409" s="548">
        <f t="shared" si="379"/>
        <v>0</v>
      </c>
      <c r="AN409" s="548">
        <f t="shared" si="379"/>
        <v>0</v>
      </c>
      <c r="AO409" s="548">
        <f t="shared" si="379"/>
        <v>0</v>
      </c>
      <c r="AP409" s="548">
        <f t="shared" si="379"/>
        <v>0</v>
      </c>
      <c r="AQ409" s="548">
        <f t="shared" si="379"/>
        <v>0</v>
      </c>
      <c r="AR409" s="548">
        <f t="shared" si="379"/>
        <v>0</v>
      </c>
      <c r="AS409" s="548">
        <f t="shared" si="379"/>
        <v>0</v>
      </c>
    </row>
    <row r="410" spans="1:45" ht="15" customHeight="1" x14ac:dyDescent="0.3">
      <c r="A410" s="180"/>
      <c r="B410" s="180"/>
      <c r="C410" s="181"/>
      <c r="D410" s="36"/>
      <c r="E410" s="36"/>
      <c r="F410" s="36"/>
      <c r="G410" s="36"/>
      <c r="H410" s="183"/>
      <c r="I410" s="183"/>
      <c r="J410" s="243"/>
      <c r="K410" s="36"/>
      <c r="L410" s="36"/>
      <c r="M410" s="36"/>
      <c r="N410" s="36"/>
      <c r="O410" s="36"/>
      <c r="P410" s="36"/>
      <c r="Q410" s="36"/>
      <c r="R410" s="36"/>
      <c r="S410" s="36"/>
      <c r="T410" s="36"/>
      <c r="U410" s="36"/>
      <c r="V410" s="36"/>
      <c r="W410" s="36"/>
      <c r="X410" s="36"/>
      <c r="Y410" s="36"/>
      <c r="Z410" s="36"/>
      <c r="AA410" s="36"/>
      <c r="AB410" s="36"/>
      <c r="AC410" s="36"/>
      <c r="AD410" s="36"/>
      <c r="AE410" s="36"/>
      <c r="AF410" s="36"/>
      <c r="AG410" s="36"/>
      <c r="AH410" s="36"/>
      <c r="AI410" s="36"/>
      <c r="AJ410" s="36"/>
      <c r="AK410" s="36"/>
      <c r="AL410" s="36"/>
      <c r="AM410" s="36"/>
      <c r="AN410" s="36"/>
      <c r="AO410" s="36"/>
      <c r="AP410" s="36"/>
      <c r="AQ410" s="36"/>
      <c r="AR410" s="36"/>
      <c r="AS410" s="36"/>
    </row>
    <row r="411" spans="1:45" ht="15" customHeight="1" collapsed="1" x14ac:dyDescent="0.3">
      <c r="A411" s="15" t="s">
        <v>290</v>
      </c>
      <c r="B411" s="119"/>
      <c r="C411" s="120"/>
      <c r="D411" s="121"/>
      <c r="E411" s="119"/>
      <c r="F411" s="119"/>
      <c r="G411" s="119"/>
      <c r="H411" s="119"/>
      <c r="I411" s="119"/>
      <c r="J411" s="16"/>
      <c r="K411" s="16"/>
      <c r="L411" s="16"/>
      <c r="M411" s="16"/>
      <c r="N411" s="16"/>
      <c r="O411" s="16"/>
      <c r="P411" s="16"/>
      <c r="Q411" s="16"/>
      <c r="R411" s="16"/>
      <c r="S411" s="16"/>
      <c r="T411" s="16"/>
      <c r="U411" s="16"/>
      <c r="V411" s="16"/>
      <c r="W411" s="16"/>
      <c r="X411" s="16"/>
      <c r="Y411" s="16"/>
      <c r="Z411" s="16"/>
      <c r="AA411" s="16"/>
      <c r="AB411" s="16"/>
      <c r="AC411" s="16"/>
      <c r="AD411" s="16"/>
      <c r="AE411" s="16"/>
      <c r="AF411" s="16"/>
      <c r="AG411" s="16"/>
      <c r="AH411" s="16"/>
      <c r="AI411" s="16"/>
      <c r="AJ411" s="16"/>
      <c r="AK411" s="16"/>
      <c r="AL411" s="16"/>
      <c r="AM411" s="16"/>
      <c r="AN411" s="16"/>
      <c r="AO411" s="16"/>
      <c r="AP411" s="16"/>
      <c r="AQ411" s="16"/>
      <c r="AR411" s="16"/>
      <c r="AS411" s="16"/>
    </row>
    <row r="412" spans="1:45" ht="15" customHeight="1" x14ac:dyDescent="0.3">
      <c r="I412" s="116"/>
      <c r="AL412" s="42"/>
      <c r="AM412" s="42"/>
      <c r="AN412" s="42"/>
      <c r="AO412" s="42"/>
      <c r="AP412" s="42"/>
      <c r="AQ412" s="42"/>
      <c r="AR412" s="42"/>
      <c r="AS412" s="42"/>
    </row>
    <row r="413" spans="1:45" ht="15" customHeight="1" x14ac:dyDescent="0.3">
      <c r="C413" s="113" t="s">
        <v>179</v>
      </c>
      <c r="D413" s="112"/>
      <c r="F413" s="42" t="s">
        <v>804</v>
      </c>
      <c r="G413" s="42" t="s">
        <v>805</v>
      </c>
      <c r="I413" s="116"/>
      <c r="AL413" s="42"/>
      <c r="AM413" s="42"/>
      <c r="AN413" s="42"/>
      <c r="AO413" s="42"/>
      <c r="AP413" s="42"/>
      <c r="AQ413" s="42"/>
      <c r="AR413" s="42"/>
      <c r="AS413" s="42"/>
    </row>
    <row r="414" spans="1:45" ht="15" customHeight="1" x14ac:dyDescent="0.3">
      <c r="E414" s="61" t="str">
        <f xml:space="preserve"> Inputs_Con!E$64</f>
        <v>Copper royalty pre-2018 Mining Code</v>
      </c>
      <c r="F414" s="231">
        <f xml:space="preserve"> Inputs_Con!F$64</f>
        <v>0.02</v>
      </c>
      <c r="G414" s="231" t="str">
        <f xml:space="preserve"> Inputs_Con!G$64</f>
        <v>Net</v>
      </c>
      <c r="H414" s="61" t="str">
        <f xml:space="preserve"> Inputs_Con!H$64</f>
        <v>XXV</v>
      </c>
      <c r="I414" s="61"/>
      <c r="J414" s="61"/>
      <c r="K414" s="61"/>
      <c r="L414" s="61"/>
      <c r="M414" s="61"/>
      <c r="N414" s="61"/>
      <c r="O414" s="61"/>
      <c r="P414" s="61"/>
      <c r="Q414" s="61"/>
      <c r="R414" s="61"/>
      <c r="S414" s="61"/>
      <c r="T414" s="61"/>
      <c r="U414" s="61"/>
      <c r="V414" s="61"/>
      <c r="W414" s="61"/>
      <c r="X414" s="61"/>
      <c r="Y414" s="61"/>
      <c r="Z414" s="61"/>
      <c r="AA414" s="61"/>
      <c r="AB414" s="61"/>
      <c r="AC414" s="61"/>
      <c r="AD414" s="61"/>
      <c r="AE414" s="61"/>
      <c r="AF414" s="61"/>
      <c r="AG414" s="61"/>
      <c r="AH414" s="61"/>
      <c r="AI414" s="61"/>
      <c r="AJ414" s="61"/>
      <c r="AK414" s="61"/>
      <c r="AL414" s="61"/>
      <c r="AM414" s="61"/>
      <c r="AN414" s="61"/>
      <c r="AO414" s="61"/>
      <c r="AP414" s="61"/>
      <c r="AQ414" s="61"/>
      <c r="AR414" s="61"/>
      <c r="AS414" s="61"/>
    </row>
    <row r="415" spans="1:45" ht="15" customHeight="1" x14ac:dyDescent="0.3">
      <c r="E415" s="61" t="str">
        <f xml:space="preserve"> Inputs_Con!E$65</f>
        <v>Copper royalty post-2018 Mining Code</v>
      </c>
      <c r="F415" s="231">
        <f xml:space="preserve"> Inputs_Con!F$65</f>
        <v>3.5000000000000003E-2</v>
      </c>
      <c r="G415" s="231" t="str">
        <f xml:space="preserve"> Inputs_Con!G$65</f>
        <v>Gross</v>
      </c>
      <c r="H415" s="61" t="str">
        <f xml:space="preserve"> Inputs_Con!H$65</f>
        <v>XIX</v>
      </c>
      <c r="I415" s="61"/>
      <c r="J415" s="61"/>
      <c r="K415" s="61"/>
      <c r="L415" s="61"/>
      <c r="M415" s="61"/>
      <c r="N415" s="61"/>
      <c r="O415" s="61"/>
      <c r="P415" s="61"/>
      <c r="Q415" s="61"/>
      <c r="R415" s="61"/>
      <c r="S415" s="61"/>
      <c r="T415" s="61"/>
      <c r="U415" s="61"/>
      <c r="V415" s="61"/>
      <c r="W415" s="61"/>
      <c r="X415" s="61"/>
      <c r="Y415" s="61"/>
      <c r="Z415" s="61"/>
      <c r="AA415" s="61"/>
      <c r="AB415" s="61"/>
      <c r="AC415" s="61"/>
      <c r="AD415" s="61"/>
      <c r="AE415" s="61"/>
      <c r="AF415" s="61"/>
      <c r="AG415" s="61"/>
      <c r="AH415" s="61"/>
      <c r="AI415" s="61"/>
      <c r="AJ415" s="61"/>
      <c r="AK415" s="61"/>
      <c r="AL415" s="61"/>
      <c r="AM415" s="61"/>
      <c r="AN415" s="61"/>
      <c r="AO415" s="61"/>
      <c r="AP415" s="61"/>
      <c r="AQ415" s="61"/>
      <c r="AR415" s="61"/>
      <c r="AS415" s="61"/>
    </row>
    <row r="416" spans="1:45" ht="15" customHeight="1" x14ac:dyDescent="0.3">
      <c r="E416" s="61" t="str">
        <f xml:space="preserve"> Inputs_Con!E$66</f>
        <v>Copper royalty 2018 average rate</v>
      </c>
      <c r="F416" s="231">
        <f xml:space="preserve"> Inputs_Con!F$66</f>
        <v>2.7500000000000004E-2</v>
      </c>
      <c r="G416" s="231" t="str">
        <f xml:space="preserve"> Inputs_Con!G$66</f>
        <v>%</v>
      </c>
      <c r="H416" s="61"/>
      <c r="I416" s="61"/>
      <c r="AL416" s="42"/>
      <c r="AM416" s="42"/>
      <c r="AN416" s="42"/>
      <c r="AO416" s="42"/>
      <c r="AP416" s="42"/>
      <c r="AQ416" s="42"/>
      <c r="AR416" s="42"/>
      <c r="AS416" s="42"/>
    </row>
    <row r="417" spans="1:45" ht="15" customHeight="1" x14ac:dyDescent="0.3">
      <c r="E417" s="61" t="str">
        <f xml:space="preserve"> Inputs_Con!E$68</f>
        <v>Cobalt royalty rate</v>
      </c>
      <c r="F417" s="231">
        <f xml:space="preserve"> Inputs_Con!F$68</f>
        <v>0.1</v>
      </c>
      <c r="G417" s="231" t="str">
        <f xml:space="preserve"> Inputs_Con!G$68</f>
        <v>Gross</v>
      </c>
      <c r="H417" s="61" t="str">
        <f xml:space="preserve"> Inputs_Con!H$68</f>
        <v>XIX</v>
      </c>
      <c r="I417" s="61"/>
      <c r="AL417" s="42"/>
      <c r="AM417" s="42"/>
      <c r="AN417" s="42"/>
      <c r="AO417" s="42"/>
      <c r="AP417" s="42"/>
      <c r="AQ417" s="42"/>
      <c r="AR417" s="42"/>
      <c r="AS417" s="42"/>
    </row>
    <row r="418" spans="1:45" ht="15" customHeight="1" x14ac:dyDescent="0.3">
      <c r="I418" s="116"/>
      <c r="AL418" s="42"/>
      <c r="AM418" s="42"/>
      <c r="AN418" s="42"/>
      <c r="AO418" s="42"/>
      <c r="AP418" s="42"/>
      <c r="AQ418" s="42"/>
      <c r="AR418" s="42"/>
      <c r="AS418" s="42"/>
    </row>
    <row r="419" spans="1:45" ht="15" customHeight="1" x14ac:dyDescent="0.3">
      <c r="E419" s="42" t="s">
        <v>186</v>
      </c>
      <c r="G419" s="42" t="s">
        <v>160</v>
      </c>
      <c r="I419" s="116"/>
      <c r="K419" s="42">
        <f t="shared" ref="K419:AS419" si="380">(K2 &lt; 2018) * 1</f>
        <v>1</v>
      </c>
      <c r="L419" s="42">
        <f t="shared" si="380"/>
        <v>1</v>
      </c>
      <c r="M419" s="42">
        <f t="shared" si="380"/>
        <v>1</v>
      </c>
      <c r="N419" s="42">
        <f t="shared" si="380"/>
        <v>1</v>
      </c>
      <c r="O419" s="42">
        <f t="shared" si="380"/>
        <v>1</v>
      </c>
      <c r="P419" s="42">
        <f t="shared" si="380"/>
        <v>1</v>
      </c>
      <c r="Q419" s="42">
        <f t="shared" si="380"/>
        <v>1</v>
      </c>
      <c r="R419" s="42">
        <f t="shared" si="380"/>
        <v>1</v>
      </c>
      <c r="S419" s="42">
        <f t="shared" si="380"/>
        <v>1</v>
      </c>
      <c r="T419" s="42">
        <f t="shared" si="380"/>
        <v>1</v>
      </c>
      <c r="U419" s="42">
        <f t="shared" si="380"/>
        <v>1</v>
      </c>
      <c r="V419" s="42">
        <f t="shared" si="380"/>
        <v>1</v>
      </c>
      <c r="W419" s="42">
        <f t="shared" si="380"/>
        <v>0</v>
      </c>
      <c r="X419" s="42">
        <f t="shared" si="380"/>
        <v>0</v>
      </c>
      <c r="Y419" s="42">
        <f t="shared" si="380"/>
        <v>0</v>
      </c>
      <c r="Z419" s="42">
        <f t="shared" si="380"/>
        <v>0</v>
      </c>
      <c r="AA419" s="42">
        <f t="shared" si="380"/>
        <v>0</v>
      </c>
      <c r="AB419" s="42">
        <f t="shared" si="380"/>
        <v>0</v>
      </c>
      <c r="AC419" s="42">
        <f t="shared" si="380"/>
        <v>0</v>
      </c>
      <c r="AD419" s="42">
        <f t="shared" si="380"/>
        <v>0</v>
      </c>
      <c r="AE419" s="42">
        <f t="shared" si="380"/>
        <v>0</v>
      </c>
      <c r="AF419" s="42">
        <f t="shared" si="380"/>
        <v>0</v>
      </c>
      <c r="AG419" s="42">
        <f t="shared" si="380"/>
        <v>0</v>
      </c>
      <c r="AH419" s="42">
        <f t="shared" si="380"/>
        <v>0</v>
      </c>
      <c r="AI419" s="42">
        <f t="shared" si="380"/>
        <v>0</v>
      </c>
      <c r="AJ419" s="42">
        <f t="shared" si="380"/>
        <v>0</v>
      </c>
      <c r="AK419" s="42">
        <f t="shared" si="380"/>
        <v>0</v>
      </c>
      <c r="AL419" s="42">
        <f t="shared" si="380"/>
        <v>0</v>
      </c>
      <c r="AM419" s="42">
        <f t="shared" si="380"/>
        <v>0</v>
      </c>
      <c r="AN419" s="42">
        <f t="shared" si="380"/>
        <v>0</v>
      </c>
      <c r="AO419" s="42">
        <f t="shared" si="380"/>
        <v>0</v>
      </c>
      <c r="AP419" s="42">
        <f t="shared" si="380"/>
        <v>0</v>
      </c>
      <c r="AQ419" s="42">
        <f t="shared" si="380"/>
        <v>0</v>
      </c>
      <c r="AR419" s="42">
        <f t="shared" si="380"/>
        <v>0</v>
      </c>
      <c r="AS419" s="42">
        <f t="shared" si="380"/>
        <v>0</v>
      </c>
    </row>
    <row r="420" spans="1:45" ht="15" customHeight="1" x14ac:dyDescent="0.3">
      <c r="E420" s="42" t="s">
        <v>184</v>
      </c>
      <c r="G420" s="42" t="s">
        <v>34</v>
      </c>
      <c r="I420" s="116"/>
      <c r="K420" s="72">
        <f t="shared" ref="K420:O420" si="381">K419 * $F414</f>
        <v>0.02</v>
      </c>
      <c r="L420" s="72">
        <f t="shared" si="381"/>
        <v>0.02</v>
      </c>
      <c r="M420" s="72">
        <f t="shared" si="381"/>
        <v>0.02</v>
      </c>
      <c r="N420" s="72">
        <f t="shared" si="381"/>
        <v>0.02</v>
      </c>
      <c r="O420" s="72">
        <f t="shared" si="381"/>
        <v>0.02</v>
      </c>
      <c r="P420" s="72">
        <f t="shared" ref="P420:AS420" si="382">P419 * $F414</f>
        <v>0.02</v>
      </c>
      <c r="Q420" s="72">
        <f t="shared" si="382"/>
        <v>0.02</v>
      </c>
      <c r="R420" s="72">
        <f t="shared" si="382"/>
        <v>0.02</v>
      </c>
      <c r="S420" s="72">
        <f t="shared" si="382"/>
        <v>0.02</v>
      </c>
      <c r="T420" s="72">
        <f t="shared" si="382"/>
        <v>0.02</v>
      </c>
      <c r="U420" s="72">
        <f t="shared" si="382"/>
        <v>0.02</v>
      </c>
      <c r="V420" s="72">
        <f t="shared" si="382"/>
        <v>0.02</v>
      </c>
      <c r="W420" s="72">
        <f t="shared" si="382"/>
        <v>0</v>
      </c>
      <c r="X420" s="72">
        <f t="shared" si="382"/>
        <v>0</v>
      </c>
      <c r="Y420" s="72">
        <f t="shared" si="382"/>
        <v>0</v>
      </c>
      <c r="Z420" s="72">
        <f t="shared" si="382"/>
        <v>0</v>
      </c>
      <c r="AA420" s="72">
        <f t="shared" si="382"/>
        <v>0</v>
      </c>
      <c r="AB420" s="72">
        <f t="shared" si="382"/>
        <v>0</v>
      </c>
      <c r="AC420" s="72">
        <f t="shared" si="382"/>
        <v>0</v>
      </c>
      <c r="AD420" s="72">
        <f t="shared" si="382"/>
        <v>0</v>
      </c>
      <c r="AE420" s="72">
        <f t="shared" si="382"/>
        <v>0</v>
      </c>
      <c r="AF420" s="72">
        <f t="shared" si="382"/>
        <v>0</v>
      </c>
      <c r="AG420" s="72">
        <f t="shared" si="382"/>
        <v>0</v>
      </c>
      <c r="AH420" s="72">
        <f t="shared" si="382"/>
        <v>0</v>
      </c>
      <c r="AI420" s="72">
        <f t="shared" si="382"/>
        <v>0</v>
      </c>
      <c r="AJ420" s="72">
        <f t="shared" si="382"/>
        <v>0</v>
      </c>
      <c r="AK420" s="72">
        <f t="shared" si="382"/>
        <v>0</v>
      </c>
      <c r="AL420" s="72">
        <f t="shared" si="382"/>
        <v>0</v>
      </c>
      <c r="AM420" s="72">
        <f t="shared" si="382"/>
        <v>0</v>
      </c>
      <c r="AN420" s="72">
        <f t="shared" si="382"/>
        <v>0</v>
      </c>
      <c r="AO420" s="72">
        <f t="shared" si="382"/>
        <v>0</v>
      </c>
      <c r="AP420" s="72">
        <f t="shared" si="382"/>
        <v>0</v>
      </c>
      <c r="AQ420" s="72">
        <f t="shared" si="382"/>
        <v>0</v>
      </c>
      <c r="AR420" s="72">
        <f t="shared" si="382"/>
        <v>0</v>
      </c>
      <c r="AS420" s="72">
        <f t="shared" si="382"/>
        <v>0</v>
      </c>
    </row>
    <row r="421" spans="1:45" ht="15" customHeight="1" x14ac:dyDescent="0.3">
      <c r="I421" s="116"/>
      <c r="AL421" s="42"/>
      <c r="AM421" s="42"/>
      <c r="AN421" s="42"/>
      <c r="AO421" s="42"/>
      <c r="AP421" s="42"/>
      <c r="AQ421" s="42"/>
      <c r="AR421" s="42"/>
      <c r="AS421" s="42"/>
    </row>
    <row r="422" spans="1:45" ht="15" customHeight="1" x14ac:dyDescent="0.3">
      <c r="E422" s="42" t="s">
        <v>182</v>
      </c>
      <c r="G422" s="42" t="s">
        <v>160</v>
      </c>
      <c r="I422" s="116"/>
      <c r="K422" s="42">
        <f t="shared" ref="K422:AS422" si="383">(K2 = 2018) * 1</f>
        <v>0</v>
      </c>
      <c r="L422" s="42">
        <f t="shared" si="383"/>
        <v>0</v>
      </c>
      <c r="M422" s="42">
        <f t="shared" si="383"/>
        <v>0</v>
      </c>
      <c r="N422" s="42">
        <f t="shared" si="383"/>
        <v>0</v>
      </c>
      <c r="O422" s="42">
        <f t="shared" si="383"/>
        <v>0</v>
      </c>
      <c r="P422" s="42">
        <f t="shared" si="383"/>
        <v>0</v>
      </c>
      <c r="Q422" s="42">
        <f t="shared" si="383"/>
        <v>0</v>
      </c>
      <c r="R422" s="42">
        <f t="shared" si="383"/>
        <v>0</v>
      </c>
      <c r="S422" s="42">
        <f t="shared" si="383"/>
        <v>0</v>
      </c>
      <c r="T422" s="42">
        <f t="shared" si="383"/>
        <v>0</v>
      </c>
      <c r="U422" s="42">
        <f t="shared" si="383"/>
        <v>0</v>
      </c>
      <c r="V422" s="42">
        <f t="shared" si="383"/>
        <v>0</v>
      </c>
      <c r="W422" s="42">
        <f t="shared" si="383"/>
        <v>1</v>
      </c>
      <c r="X422" s="42">
        <f t="shared" si="383"/>
        <v>0</v>
      </c>
      <c r="Y422" s="42">
        <f t="shared" si="383"/>
        <v>0</v>
      </c>
      <c r="Z422" s="42">
        <f t="shared" si="383"/>
        <v>0</v>
      </c>
      <c r="AA422" s="42">
        <f t="shared" si="383"/>
        <v>0</v>
      </c>
      <c r="AB422" s="42">
        <f t="shared" si="383"/>
        <v>0</v>
      </c>
      <c r="AC422" s="42">
        <f t="shared" si="383"/>
        <v>0</v>
      </c>
      <c r="AD422" s="42">
        <f t="shared" si="383"/>
        <v>0</v>
      </c>
      <c r="AE422" s="42">
        <f t="shared" si="383"/>
        <v>0</v>
      </c>
      <c r="AF422" s="42">
        <f t="shared" si="383"/>
        <v>0</v>
      </c>
      <c r="AG422" s="42">
        <f t="shared" si="383"/>
        <v>0</v>
      </c>
      <c r="AH422" s="42">
        <f t="shared" si="383"/>
        <v>0</v>
      </c>
      <c r="AI422" s="42">
        <f t="shared" si="383"/>
        <v>0</v>
      </c>
      <c r="AJ422" s="42">
        <f t="shared" si="383"/>
        <v>0</v>
      </c>
      <c r="AK422" s="42">
        <f t="shared" si="383"/>
        <v>0</v>
      </c>
      <c r="AL422" s="42">
        <f t="shared" si="383"/>
        <v>0</v>
      </c>
      <c r="AM422" s="42">
        <f t="shared" si="383"/>
        <v>0</v>
      </c>
      <c r="AN422" s="42">
        <f t="shared" si="383"/>
        <v>0</v>
      </c>
      <c r="AO422" s="42">
        <f t="shared" si="383"/>
        <v>0</v>
      </c>
      <c r="AP422" s="42">
        <f t="shared" si="383"/>
        <v>0</v>
      </c>
      <c r="AQ422" s="42">
        <f t="shared" si="383"/>
        <v>0</v>
      </c>
      <c r="AR422" s="42">
        <f t="shared" si="383"/>
        <v>0</v>
      </c>
      <c r="AS422" s="42">
        <f t="shared" si="383"/>
        <v>0</v>
      </c>
    </row>
    <row r="423" spans="1:45" ht="15" customHeight="1" x14ac:dyDescent="0.3">
      <c r="E423" s="42" t="s">
        <v>183</v>
      </c>
      <c r="G423" s="42" t="s">
        <v>34</v>
      </c>
      <c r="I423" s="116"/>
      <c r="K423" s="72">
        <f t="shared" ref="K423:O423" si="384">K422 * $F416</f>
        <v>0</v>
      </c>
      <c r="L423" s="72">
        <f t="shared" si="384"/>
        <v>0</v>
      </c>
      <c r="M423" s="72">
        <f t="shared" si="384"/>
        <v>0</v>
      </c>
      <c r="N423" s="72">
        <f t="shared" si="384"/>
        <v>0</v>
      </c>
      <c r="O423" s="72">
        <f t="shared" si="384"/>
        <v>0</v>
      </c>
      <c r="P423" s="72">
        <f t="shared" ref="P423:AS423" si="385">P422 * $F416</f>
        <v>0</v>
      </c>
      <c r="Q423" s="72">
        <f t="shared" si="385"/>
        <v>0</v>
      </c>
      <c r="R423" s="72">
        <f t="shared" si="385"/>
        <v>0</v>
      </c>
      <c r="S423" s="72">
        <f t="shared" si="385"/>
        <v>0</v>
      </c>
      <c r="T423" s="72">
        <f t="shared" si="385"/>
        <v>0</v>
      </c>
      <c r="U423" s="72">
        <f t="shared" si="385"/>
        <v>0</v>
      </c>
      <c r="V423" s="72">
        <f t="shared" si="385"/>
        <v>0</v>
      </c>
      <c r="W423" s="72">
        <f t="shared" si="385"/>
        <v>2.7500000000000004E-2</v>
      </c>
      <c r="X423" s="72">
        <f t="shared" si="385"/>
        <v>0</v>
      </c>
      <c r="Y423" s="72">
        <f t="shared" si="385"/>
        <v>0</v>
      </c>
      <c r="Z423" s="72">
        <f t="shared" si="385"/>
        <v>0</v>
      </c>
      <c r="AA423" s="72">
        <f t="shared" si="385"/>
        <v>0</v>
      </c>
      <c r="AB423" s="72">
        <f t="shared" si="385"/>
        <v>0</v>
      </c>
      <c r="AC423" s="72">
        <f t="shared" si="385"/>
        <v>0</v>
      </c>
      <c r="AD423" s="72">
        <f t="shared" si="385"/>
        <v>0</v>
      </c>
      <c r="AE423" s="72">
        <f t="shared" si="385"/>
        <v>0</v>
      </c>
      <c r="AF423" s="72">
        <f t="shared" si="385"/>
        <v>0</v>
      </c>
      <c r="AG423" s="72">
        <f t="shared" si="385"/>
        <v>0</v>
      </c>
      <c r="AH423" s="72">
        <f t="shared" si="385"/>
        <v>0</v>
      </c>
      <c r="AI423" s="72">
        <f t="shared" si="385"/>
        <v>0</v>
      </c>
      <c r="AJ423" s="72">
        <f t="shared" si="385"/>
        <v>0</v>
      </c>
      <c r="AK423" s="72">
        <f t="shared" si="385"/>
        <v>0</v>
      </c>
      <c r="AL423" s="72">
        <f t="shared" si="385"/>
        <v>0</v>
      </c>
      <c r="AM423" s="72">
        <f t="shared" si="385"/>
        <v>0</v>
      </c>
      <c r="AN423" s="72">
        <f t="shared" si="385"/>
        <v>0</v>
      </c>
      <c r="AO423" s="72">
        <f t="shared" si="385"/>
        <v>0</v>
      </c>
      <c r="AP423" s="72">
        <f t="shared" si="385"/>
        <v>0</v>
      </c>
      <c r="AQ423" s="72">
        <f t="shared" si="385"/>
        <v>0</v>
      </c>
      <c r="AR423" s="72">
        <f t="shared" si="385"/>
        <v>0</v>
      </c>
      <c r="AS423" s="72">
        <f t="shared" si="385"/>
        <v>0</v>
      </c>
    </row>
    <row r="424" spans="1:45" ht="15" customHeight="1" x14ac:dyDescent="0.3">
      <c r="I424" s="116"/>
      <c r="AL424" s="42"/>
      <c r="AM424" s="42"/>
      <c r="AN424" s="42"/>
      <c r="AO424" s="42"/>
      <c r="AP424" s="42"/>
      <c r="AQ424" s="42"/>
      <c r="AR424" s="42"/>
      <c r="AS424" s="42"/>
    </row>
    <row r="425" spans="1:45" ht="15" customHeight="1" x14ac:dyDescent="0.3">
      <c r="E425" s="42" t="s">
        <v>187</v>
      </c>
      <c r="G425" s="42" t="s">
        <v>160</v>
      </c>
      <c r="I425" s="116"/>
      <c r="K425" s="42">
        <f t="shared" ref="K425:AS425" si="386">(K2 &gt; 2018) * 1</f>
        <v>0</v>
      </c>
      <c r="L425" s="42">
        <f t="shared" si="386"/>
        <v>0</v>
      </c>
      <c r="M425" s="42">
        <f t="shared" si="386"/>
        <v>0</v>
      </c>
      <c r="N425" s="42">
        <f t="shared" si="386"/>
        <v>0</v>
      </c>
      <c r="O425" s="42">
        <f t="shared" si="386"/>
        <v>0</v>
      </c>
      <c r="P425" s="42">
        <f t="shared" si="386"/>
        <v>0</v>
      </c>
      <c r="Q425" s="42">
        <f t="shared" si="386"/>
        <v>0</v>
      </c>
      <c r="R425" s="42">
        <f t="shared" si="386"/>
        <v>0</v>
      </c>
      <c r="S425" s="42">
        <f t="shared" si="386"/>
        <v>0</v>
      </c>
      <c r="T425" s="42">
        <f t="shared" si="386"/>
        <v>0</v>
      </c>
      <c r="U425" s="42">
        <f t="shared" si="386"/>
        <v>0</v>
      </c>
      <c r="V425" s="42">
        <f t="shared" si="386"/>
        <v>0</v>
      </c>
      <c r="W425" s="42">
        <f t="shared" si="386"/>
        <v>0</v>
      </c>
      <c r="X425" s="42">
        <f t="shared" si="386"/>
        <v>1</v>
      </c>
      <c r="Y425" s="42">
        <f t="shared" si="386"/>
        <v>1</v>
      </c>
      <c r="Z425" s="42">
        <f t="shared" si="386"/>
        <v>1</v>
      </c>
      <c r="AA425" s="42">
        <f t="shared" si="386"/>
        <v>1</v>
      </c>
      <c r="AB425" s="42">
        <f t="shared" si="386"/>
        <v>1</v>
      </c>
      <c r="AC425" s="42">
        <f t="shared" si="386"/>
        <v>1</v>
      </c>
      <c r="AD425" s="42">
        <f t="shared" si="386"/>
        <v>1</v>
      </c>
      <c r="AE425" s="42">
        <f t="shared" si="386"/>
        <v>1</v>
      </c>
      <c r="AF425" s="42">
        <f t="shared" si="386"/>
        <v>1</v>
      </c>
      <c r="AG425" s="42">
        <f t="shared" si="386"/>
        <v>1</v>
      </c>
      <c r="AH425" s="42">
        <f t="shared" si="386"/>
        <v>1</v>
      </c>
      <c r="AI425" s="42">
        <f t="shared" si="386"/>
        <v>1</v>
      </c>
      <c r="AJ425" s="42">
        <f t="shared" si="386"/>
        <v>1</v>
      </c>
      <c r="AK425" s="42">
        <f t="shared" si="386"/>
        <v>1</v>
      </c>
      <c r="AL425" s="42">
        <f t="shared" si="386"/>
        <v>1</v>
      </c>
      <c r="AM425" s="42">
        <f t="shared" si="386"/>
        <v>1</v>
      </c>
      <c r="AN425" s="42">
        <f t="shared" si="386"/>
        <v>1</v>
      </c>
      <c r="AO425" s="42">
        <f t="shared" si="386"/>
        <v>1</v>
      </c>
      <c r="AP425" s="42">
        <f t="shared" si="386"/>
        <v>1</v>
      </c>
      <c r="AQ425" s="42">
        <f t="shared" si="386"/>
        <v>1</v>
      </c>
      <c r="AR425" s="42">
        <f t="shared" si="386"/>
        <v>1</v>
      </c>
      <c r="AS425" s="42">
        <f t="shared" si="386"/>
        <v>1</v>
      </c>
    </row>
    <row r="426" spans="1:45" ht="15" customHeight="1" x14ac:dyDescent="0.3">
      <c r="E426" s="42" t="s">
        <v>185</v>
      </c>
      <c r="G426" s="42" t="s">
        <v>34</v>
      </c>
      <c r="I426" s="116"/>
      <c r="K426" s="72">
        <f t="shared" ref="K426:O426" si="387">K425 * $F415</f>
        <v>0</v>
      </c>
      <c r="L426" s="72">
        <f t="shared" si="387"/>
        <v>0</v>
      </c>
      <c r="M426" s="72">
        <f t="shared" si="387"/>
        <v>0</v>
      </c>
      <c r="N426" s="72">
        <f t="shared" si="387"/>
        <v>0</v>
      </c>
      <c r="O426" s="72">
        <f t="shared" si="387"/>
        <v>0</v>
      </c>
      <c r="P426" s="72">
        <f t="shared" ref="P426:AS426" si="388">P425 * $F415</f>
        <v>0</v>
      </c>
      <c r="Q426" s="72">
        <f t="shared" si="388"/>
        <v>0</v>
      </c>
      <c r="R426" s="72">
        <f t="shared" si="388"/>
        <v>0</v>
      </c>
      <c r="S426" s="72">
        <f t="shared" si="388"/>
        <v>0</v>
      </c>
      <c r="T426" s="72">
        <f t="shared" si="388"/>
        <v>0</v>
      </c>
      <c r="U426" s="72">
        <f t="shared" si="388"/>
        <v>0</v>
      </c>
      <c r="V426" s="72">
        <f t="shared" si="388"/>
        <v>0</v>
      </c>
      <c r="W426" s="72">
        <f t="shared" si="388"/>
        <v>0</v>
      </c>
      <c r="X426" s="72">
        <f t="shared" si="388"/>
        <v>3.5000000000000003E-2</v>
      </c>
      <c r="Y426" s="72">
        <f t="shared" si="388"/>
        <v>3.5000000000000003E-2</v>
      </c>
      <c r="Z426" s="72">
        <f t="shared" si="388"/>
        <v>3.5000000000000003E-2</v>
      </c>
      <c r="AA426" s="72">
        <f t="shared" si="388"/>
        <v>3.5000000000000003E-2</v>
      </c>
      <c r="AB426" s="72">
        <f t="shared" si="388"/>
        <v>3.5000000000000003E-2</v>
      </c>
      <c r="AC426" s="72">
        <f t="shared" si="388"/>
        <v>3.5000000000000003E-2</v>
      </c>
      <c r="AD426" s="72">
        <f t="shared" si="388"/>
        <v>3.5000000000000003E-2</v>
      </c>
      <c r="AE426" s="72">
        <f t="shared" si="388"/>
        <v>3.5000000000000003E-2</v>
      </c>
      <c r="AF426" s="72">
        <f t="shared" si="388"/>
        <v>3.5000000000000003E-2</v>
      </c>
      <c r="AG426" s="72">
        <f t="shared" si="388"/>
        <v>3.5000000000000003E-2</v>
      </c>
      <c r="AH426" s="72">
        <f t="shared" si="388"/>
        <v>3.5000000000000003E-2</v>
      </c>
      <c r="AI426" s="72">
        <f t="shared" si="388"/>
        <v>3.5000000000000003E-2</v>
      </c>
      <c r="AJ426" s="72">
        <f t="shared" si="388"/>
        <v>3.5000000000000003E-2</v>
      </c>
      <c r="AK426" s="72">
        <f t="shared" si="388"/>
        <v>3.5000000000000003E-2</v>
      </c>
      <c r="AL426" s="72">
        <f t="shared" si="388"/>
        <v>3.5000000000000003E-2</v>
      </c>
      <c r="AM426" s="72">
        <f t="shared" si="388"/>
        <v>3.5000000000000003E-2</v>
      </c>
      <c r="AN426" s="72">
        <f t="shared" si="388"/>
        <v>3.5000000000000003E-2</v>
      </c>
      <c r="AO426" s="72">
        <f t="shared" si="388"/>
        <v>3.5000000000000003E-2</v>
      </c>
      <c r="AP426" s="72">
        <f t="shared" si="388"/>
        <v>3.5000000000000003E-2</v>
      </c>
      <c r="AQ426" s="72">
        <f t="shared" si="388"/>
        <v>3.5000000000000003E-2</v>
      </c>
      <c r="AR426" s="72">
        <f t="shared" si="388"/>
        <v>3.5000000000000003E-2</v>
      </c>
      <c r="AS426" s="72">
        <f t="shared" si="388"/>
        <v>3.5000000000000003E-2</v>
      </c>
    </row>
    <row r="427" spans="1:45" ht="15" customHeight="1" x14ac:dyDescent="0.3">
      <c r="I427" s="116"/>
      <c r="AL427" s="42"/>
      <c r="AM427" s="42"/>
      <c r="AN427" s="42"/>
      <c r="AO427" s="42"/>
      <c r="AP427" s="42"/>
      <c r="AQ427" s="42"/>
      <c r="AR427" s="42"/>
      <c r="AS427" s="42"/>
    </row>
    <row r="428" spans="1:45" ht="15" customHeight="1" x14ac:dyDescent="0.3">
      <c r="E428" s="42" t="str">
        <f>E420</f>
        <v>Pre 2018 royalty rate</v>
      </c>
      <c r="G428" s="42" t="str">
        <f>G420</f>
        <v>%</v>
      </c>
      <c r="H428" s="42"/>
      <c r="J428" s="42">
        <f t="shared" ref="J428:O428" si="389">J420</f>
        <v>0</v>
      </c>
      <c r="K428" s="72">
        <f t="shared" si="389"/>
        <v>0.02</v>
      </c>
      <c r="L428" s="72">
        <f t="shared" si="389"/>
        <v>0.02</v>
      </c>
      <c r="M428" s="72">
        <f t="shared" si="389"/>
        <v>0.02</v>
      </c>
      <c r="N428" s="72">
        <f t="shared" si="389"/>
        <v>0.02</v>
      </c>
      <c r="O428" s="72">
        <f t="shared" si="389"/>
        <v>0.02</v>
      </c>
      <c r="P428" s="72">
        <f>P420</f>
        <v>0.02</v>
      </c>
      <c r="Q428" s="72">
        <f>Q420</f>
        <v>0.02</v>
      </c>
      <c r="R428" s="72">
        <f>R420</f>
        <v>0.02</v>
      </c>
      <c r="S428" s="72">
        <f t="shared" ref="S428:AS428" si="390">S420</f>
        <v>0.02</v>
      </c>
      <c r="T428" s="72">
        <f t="shared" si="390"/>
        <v>0.02</v>
      </c>
      <c r="U428" s="72">
        <f t="shared" si="390"/>
        <v>0.02</v>
      </c>
      <c r="V428" s="72">
        <f t="shared" si="390"/>
        <v>0.02</v>
      </c>
      <c r="W428" s="72">
        <f t="shared" si="390"/>
        <v>0</v>
      </c>
      <c r="X428" s="72">
        <f t="shared" si="390"/>
        <v>0</v>
      </c>
      <c r="Y428" s="72">
        <f t="shared" si="390"/>
        <v>0</v>
      </c>
      <c r="Z428" s="72">
        <f t="shared" si="390"/>
        <v>0</v>
      </c>
      <c r="AA428" s="72">
        <f t="shared" si="390"/>
        <v>0</v>
      </c>
      <c r="AB428" s="72">
        <f t="shared" si="390"/>
        <v>0</v>
      </c>
      <c r="AC428" s="72">
        <f t="shared" si="390"/>
        <v>0</v>
      </c>
      <c r="AD428" s="72">
        <f t="shared" si="390"/>
        <v>0</v>
      </c>
      <c r="AE428" s="72">
        <f t="shared" si="390"/>
        <v>0</v>
      </c>
      <c r="AF428" s="72">
        <f t="shared" si="390"/>
        <v>0</v>
      </c>
      <c r="AG428" s="72">
        <f t="shared" si="390"/>
        <v>0</v>
      </c>
      <c r="AH428" s="72">
        <f t="shared" si="390"/>
        <v>0</v>
      </c>
      <c r="AI428" s="72">
        <f t="shared" si="390"/>
        <v>0</v>
      </c>
      <c r="AJ428" s="72">
        <f t="shared" si="390"/>
        <v>0</v>
      </c>
      <c r="AK428" s="72">
        <f t="shared" si="390"/>
        <v>0</v>
      </c>
      <c r="AL428" s="72">
        <f t="shared" si="390"/>
        <v>0</v>
      </c>
      <c r="AM428" s="72">
        <f t="shared" si="390"/>
        <v>0</v>
      </c>
      <c r="AN428" s="72">
        <f t="shared" si="390"/>
        <v>0</v>
      </c>
      <c r="AO428" s="72">
        <f t="shared" si="390"/>
        <v>0</v>
      </c>
      <c r="AP428" s="72">
        <f t="shared" si="390"/>
        <v>0</v>
      </c>
      <c r="AQ428" s="72">
        <f t="shared" si="390"/>
        <v>0</v>
      </c>
      <c r="AR428" s="72">
        <f t="shared" si="390"/>
        <v>0</v>
      </c>
      <c r="AS428" s="72">
        <f t="shared" si="390"/>
        <v>0</v>
      </c>
    </row>
    <row r="429" spans="1:45" ht="15" customHeight="1" x14ac:dyDescent="0.3">
      <c r="E429" s="42" t="str">
        <f>E423</f>
        <v>2018 royalty rate</v>
      </c>
      <c r="G429" s="42" t="str">
        <f>G423</f>
        <v>%</v>
      </c>
      <c r="H429" s="42"/>
      <c r="J429" s="42">
        <f t="shared" ref="J429:O429" si="391">J423</f>
        <v>0</v>
      </c>
      <c r="K429" s="72">
        <f t="shared" si="391"/>
        <v>0</v>
      </c>
      <c r="L429" s="72">
        <f t="shared" si="391"/>
        <v>0</v>
      </c>
      <c r="M429" s="72">
        <f t="shared" si="391"/>
        <v>0</v>
      </c>
      <c r="N429" s="72">
        <f t="shared" si="391"/>
        <v>0</v>
      </c>
      <c r="O429" s="72">
        <f t="shared" si="391"/>
        <v>0</v>
      </c>
      <c r="P429" s="72">
        <f>P423</f>
        <v>0</v>
      </c>
      <c r="Q429" s="72">
        <f>Q423</f>
        <v>0</v>
      </c>
      <c r="R429" s="72">
        <f>R423</f>
        <v>0</v>
      </c>
      <c r="S429" s="72">
        <f t="shared" ref="S429:AS429" si="392">S423</f>
        <v>0</v>
      </c>
      <c r="T429" s="72">
        <f t="shared" si="392"/>
        <v>0</v>
      </c>
      <c r="U429" s="72">
        <f t="shared" si="392"/>
        <v>0</v>
      </c>
      <c r="V429" s="72">
        <f t="shared" si="392"/>
        <v>0</v>
      </c>
      <c r="W429" s="72">
        <f t="shared" si="392"/>
        <v>2.7500000000000004E-2</v>
      </c>
      <c r="X429" s="72">
        <f t="shared" si="392"/>
        <v>0</v>
      </c>
      <c r="Y429" s="72">
        <f t="shared" si="392"/>
        <v>0</v>
      </c>
      <c r="Z429" s="72">
        <f t="shared" si="392"/>
        <v>0</v>
      </c>
      <c r="AA429" s="72">
        <f t="shared" si="392"/>
        <v>0</v>
      </c>
      <c r="AB429" s="72">
        <f t="shared" si="392"/>
        <v>0</v>
      </c>
      <c r="AC429" s="72">
        <f t="shared" si="392"/>
        <v>0</v>
      </c>
      <c r="AD429" s="72">
        <f t="shared" si="392"/>
        <v>0</v>
      </c>
      <c r="AE429" s="72">
        <f t="shared" si="392"/>
        <v>0</v>
      </c>
      <c r="AF429" s="72">
        <f t="shared" si="392"/>
        <v>0</v>
      </c>
      <c r="AG429" s="72">
        <f t="shared" si="392"/>
        <v>0</v>
      </c>
      <c r="AH429" s="72">
        <f t="shared" si="392"/>
        <v>0</v>
      </c>
      <c r="AI429" s="72">
        <f t="shared" si="392"/>
        <v>0</v>
      </c>
      <c r="AJ429" s="72">
        <f t="shared" si="392"/>
        <v>0</v>
      </c>
      <c r="AK429" s="72">
        <f t="shared" si="392"/>
        <v>0</v>
      </c>
      <c r="AL429" s="72">
        <f t="shared" si="392"/>
        <v>0</v>
      </c>
      <c r="AM429" s="72">
        <f t="shared" si="392"/>
        <v>0</v>
      </c>
      <c r="AN429" s="72">
        <f t="shared" si="392"/>
        <v>0</v>
      </c>
      <c r="AO429" s="72">
        <f t="shared" si="392"/>
        <v>0</v>
      </c>
      <c r="AP429" s="72">
        <f t="shared" si="392"/>
        <v>0</v>
      </c>
      <c r="AQ429" s="72">
        <f t="shared" si="392"/>
        <v>0</v>
      </c>
      <c r="AR429" s="72">
        <f t="shared" si="392"/>
        <v>0</v>
      </c>
      <c r="AS429" s="72">
        <f t="shared" si="392"/>
        <v>0</v>
      </c>
    </row>
    <row r="430" spans="1:45" ht="15" customHeight="1" x14ac:dyDescent="0.3">
      <c r="E430" s="42" t="str">
        <f>E426</f>
        <v>Post 2018 royalty rate</v>
      </c>
      <c r="G430" s="42" t="str">
        <f>G426</f>
        <v>%</v>
      </c>
      <c r="H430" s="42"/>
      <c r="J430" s="42">
        <f t="shared" ref="J430:O430" si="393">J426</f>
        <v>0</v>
      </c>
      <c r="K430" s="72">
        <f t="shared" si="393"/>
        <v>0</v>
      </c>
      <c r="L430" s="72">
        <f t="shared" si="393"/>
        <v>0</v>
      </c>
      <c r="M430" s="72">
        <f t="shared" si="393"/>
        <v>0</v>
      </c>
      <c r="N430" s="72">
        <f t="shared" si="393"/>
        <v>0</v>
      </c>
      <c r="O430" s="72">
        <f t="shared" si="393"/>
        <v>0</v>
      </c>
      <c r="P430" s="72">
        <f>P426</f>
        <v>0</v>
      </c>
      <c r="Q430" s="72">
        <f>Q426</f>
        <v>0</v>
      </c>
      <c r="R430" s="72">
        <f>R426</f>
        <v>0</v>
      </c>
      <c r="S430" s="72">
        <f t="shared" ref="S430:AS430" si="394">S426</f>
        <v>0</v>
      </c>
      <c r="T430" s="72">
        <f t="shared" si="394"/>
        <v>0</v>
      </c>
      <c r="U430" s="72">
        <f t="shared" si="394"/>
        <v>0</v>
      </c>
      <c r="V430" s="72">
        <f t="shared" si="394"/>
        <v>0</v>
      </c>
      <c r="W430" s="72">
        <f t="shared" si="394"/>
        <v>0</v>
      </c>
      <c r="X430" s="72">
        <f t="shared" si="394"/>
        <v>3.5000000000000003E-2</v>
      </c>
      <c r="Y430" s="72">
        <f t="shared" si="394"/>
        <v>3.5000000000000003E-2</v>
      </c>
      <c r="Z430" s="72">
        <f t="shared" si="394"/>
        <v>3.5000000000000003E-2</v>
      </c>
      <c r="AA430" s="72">
        <f t="shared" si="394"/>
        <v>3.5000000000000003E-2</v>
      </c>
      <c r="AB430" s="72">
        <f t="shared" si="394"/>
        <v>3.5000000000000003E-2</v>
      </c>
      <c r="AC430" s="72">
        <f t="shared" si="394"/>
        <v>3.5000000000000003E-2</v>
      </c>
      <c r="AD430" s="72">
        <f t="shared" si="394"/>
        <v>3.5000000000000003E-2</v>
      </c>
      <c r="AE430" s="72">
        <f t="shared" si="394"/>
        <v>3.5000000000000003E-2</v>
      </c>
      <c r="AF430" s="72">
        <f t="shared" si="394"/>
        <v>3.5000000000000003E-2</v>
      </c>
      <c r="AG430" s="72">
        <f t="shared" si="394"/>
        <v>3.5000000000000003E-2</v>
      </c>
      <c r="AH430" s="72">
        <f t="shared" si="394"/>
        <v>3.5000000000000003E-2</v>
      </c>
      <c r="AI430" s="72">
        <f t="shared" si="394"/>
        <v>3.5000000000000003E-2</v>
      </c>
      <c r="AJ430" s="72">
        <f t="shared" si="394"/>
        <v>3.5000000000000003E-2</v>
      </c>
      <c r="AK430" s="72">
        <f t="shared" si="394"/>
        <v>3.5000000000000003E-2</v>
      </c>
      <c r="AL430" s="72">
        <f t="shared" si="394"/>
        <v>3.5000000000000003E-2</v>
      </c>
      <c r="AM430" s="72">
        <f t="shared" si="394"/>
        <v>3.5000000000000003E-2</v>
      </c>
      <c r="AN430" s="72">
        <f t="shared" si="394"/>
        <v>3.5000000000000003E-2</v>
      </c>
      <c r="AO430" s="72">
        <f t="shared" si="394"/>
        <v>3.5000000000000003E-2</v>
      </c>
      <c r="AP430" s="72">
        <f t="shared" si="394"/>
        <v>3.5000000000000003E-2</v>
      </c>
      <c r="AQ430" s="72">
        <f t="shared" si="394"/>
        <v>3.5000000000000003E-2</v>
      </c>
      <c r="AR430" s="72">
        <f t="shared" si="394"/>
        <v>3.5000000000000003E-2</v>
      </c>
      <c r="AS430" s="72">
        <f t="shared" si="394"/>
        <v>3.5000000000000003E-2</v>
      </c>
    </row>
    <row r="431" spans="1:45" ht="15" customHeight="1" x14ac:dyDescent="0.3">
      <c r="A431" s="129"/>
      <c r="B431" s="129"/>
      <c r="C431" s="130"/>
      <c r="D431" s="106"/>
      <c r="E431" s="106" t="s">
        <v>188</v>
      </c>
      <c r="F431" s="106"/>
      <c r="G431" s="106" t="s">
        <v>34</v>
      </c>
      <c r="H431" s="131"/>
      <c r="I431" s="131"/>
      <c r="J431" s="128"/>
      <c r="K431" s="149">
        <f t="shared" ref="K431:O431" si="395">IF(K428 &gt; 0, K428, IF(K429 &gt; 0, K429, IF(K430 &gt; 0, K430, 0)))</f>
        <v>0.02</v>
      </c>
      <c r="L431" s="149">
        <f t="shared" si="395"/>
        <v>0.02</v>
      </c>
      <c r="M431" s="149">
        <f t="shared" si="395"/>
        <v>0.02</v>
      </c>
      <c r="N431" s="149">
        <f t="shared" si="395"/>
        <v>0.02</v>
      </c>
      <c r="O431" s="149">
        <f t="shared" si="395"/>
        <v>0.02</v>
      </c>
      <c r="P431" s="149">
        <f t="shared" ref="P431:R431" si="396">IF(P428 &gt; 0, P428, IF(P429 &gt; 0, P429, IF(P430 &gt; 0, P430, 0)))</f>
        <v>0.02</v>
      </c>
      <c r="Q431" s="149">
        <f t="shared" si="396"/>
        <v>0.02</v>
      </c>
      <c r="R431" s="149">
        <f t="shared" si="396"/>
        <v>0.02</v>
      </c>
      <c r="S431" s="149">
        <f t="shared" ref="S431:AS431" si="397">IF(S428 &gt; 0, S428, IF(S429 &gt; 0, S429, IF(S430 &gt; 0, S430, 0)))</f>
        <v>0.02</v>
      </c>
      <c r="T431" s="149">
        <f t="shared" si="397"/>
        <v>0.02</v>
      </c>
      <c r="U431" s="149">
        <f t="shared" si="397"/>
        <v>0.02</v>
      </c>
      <c r="V431" s="149">
        <f t="shared" si="397"/>
        <v>0.02</v>
      </c>
      <c r="W431" s="149">
        <f t="shared" si="397"/>
        <v>2.7500000000000004E-2</v>
      </c>
      <c r="X431" s="149">
        <f t="shared" si="397"/>
        <v>3.5000000000000003E-2</v>
      </c>
      <c r="Y431" s="149">
        <f t="shared" si="397"/>
        <v>3.5000000000000003E-2</v>
      </c>
      <c r="Z431" s="149">
        <f t="shared" si="397"/>
        <v>3.5000000000000003E-2</v>
      </c>
      <c r="AA431" s="149">
        <f t="shared" si="397"/>
        <v>3.5000000000000003E-2</v>
      </c>
      <c r="AB431" s="149">
        <f t="shared" si="397"/>
        <v>3.5000000000000003E-2</v>
      </c>
      <c r="AC431" s="149">
        <f t="shared" si="397"/>
        <v>3.5000000000000003E-2</v>
      </c>
      <c r="AD431" s="149">
        <f t="shared" si="397"/>
        <v>3.5000000000000003E-2</v>
      </c>
      <c r="AE431" s="149">
        <f t="shared" si="397"/>
        <v>3.5000000000000003E-2</v>
      </c>
      <c r="AF431" s="149">
        <f t="shared" si="397"/>
        <v>3.5000000000000003E-2</v>
      </c>
      <c r="AG431" s="149">
        <f t="shared" si="397"/>
        <v>3.5000000000000003E-2</v>
      </c>
      <c r="AH431" s="149">
        <f t="shared" si="397"/>
        <v>3.5000000000000003E-2</v>
      </c>
      <c r="AI431" s="149">
        <f t="shared" si="397"/>
        <v>3.5000000000000003E-2</v>
      </c>
      <c r="AJ431" s="149">
        <f t="shared" si="397"/>
        <v>3.5000000000000003E-2</v>
      </c>
      <c r="AK431" s="149">
        <f t="shared" si="397"/>
        <v>3.5000000000000003E-2</v>
      </c>
      <c r="AL431" s="149">
        <f t="shared" si="397"/>
        <v>3.5000000000000003E-2</v>
      </c>
      <c r="AM431" s="149">
        <f t="shared" si="397"/>
        <v>3.5000000000000003E-2</v>
      </c>
      <c r="AN431" s="149">
        <f t="shared" si="397"/>
        <v>3.5000000000000003E-2</v>
      </c>
      <c r="AO431" s="149">
        <f t="shared" si="397"/>
        <v>3.5000000000000003E-2</v>
      </c>
      <c r="AP431" s="149">
        <f t="shared" si="397"/>
        <v>3.5000000000000003E-2</v>
      </c>
      <c r="AQ431" s="149">
        <f t="shared" si="397"/>
        <v>3.5000000000000003E-2</v>
      </c>
      <c r="AR431" s="149">
        <f t="shared" si="397"/>
        <v>3.5000000000000003E-2</v>
      </c>
      <c r="AS431" s="149">
        <f t="shared" si="397"/>
        <v>3.5000000000000003E-2</v>
      </c>
    </row>
    <row r="432" spans="1:45" ht="15" customHeight="1" x14ac:dyDescent="0.3">
      <c r="A432" s="129"/>
      <c r="B432" s="129"/>
      <c r="C432" s="130"/>
      <c r="D432" s="106"/>
      <c r="E432" s="106"/>
      <c r="F432" s="106"/>
      <c r="G432" s="106"/>
      <c r="H432" s="131"/>
      <c r="I432" s="131"/>
      <c r="J432" s="128"/>
      <c r="K432" s="149"/>
      <c r="L432" s="149"/>
      <c r="M432" s="149"/>
      <c r="N432" s="149"/>
      <c r="O432" s="149"/>
      <c r="P432" s="149"/>
      <c r="Q432" s="149"/>
      <c r="R432" s="149"/>
      <c r="S432" s="149"/>
      <c r="T432" s="149"/>
      <c r="U432" s="149"/>
      <c r="V432" s="149"/>
      <c r="W432" s="149"/>
      <c r="X432" s="149"/>
      <c r="Y432" s="149"/>
      <c r="Z432" s="149"/>
      <c r="AA432" s="149"/>
      <c r="AB432" s="149"/>
      <c r="AC432" s="149"/>
      <c r="AD432" s="149"/>
      <c r="AE432" s="149"/>
      <c r="AF432" s="149"/>
      <c r="AG432" s="149"/>
      <c r="AH432" s="149"/>
      <c r="AI432" s="149"/>
      <c r="AJ432" s="149"/>
      <c r="AK432" s="149"/>
      <c r="AL432" s="149"/>
      <c r="AM432" s="149"/>
      <c r="AN432" s="149"/>
      <c r="AO432" s="149"/>
      <c r="AP432" s="149"/>
      <c r="AQ432" s="149"/>
      <c r="AR432" s="149"/>
      <c r="AS432" s="149"/>
    </row>
    <row r="433" spans="1:45" ht="15" customHeight="1" x14ac:dyDescent="0.3">
      <c r="A433" s="129"/>
      <c r="B433" s="129"/>
      <c r="C433" s="130" t="s">
        <v>278</v>
      </c>
      <c r="D433" s="106"/>
      <c r="E433" s="106"/>
      <c r="F433" s="106"/>
      <c r="G433" s="106"/>
      <c r="H433" s="131"/>
      <c r="I433" s="131"/>
      <c r="J433" s="128"/>
      <c r="K433" s="149"/>
      <c r="L433" s="149"/>
      <c r="M433" s="149"/>
      <c r="N433" s="149"/>
      <c r="O433" s="149"/>
      <c r="P433" s="149"/>
      <c r="Q433" s="149"/>
      <c r="R433" s="149"/>
      <c r="S433" s="149"/>
      <c r="T433" s="149"/>
      <c r="U433" s="149"/>
      <c r="V433" s="149"/>
      <c r="W433" s="149"/>
      <c r="X433" s="149"/>
      <c r="Y433" s="149"/>
      <c r="Z433" s="149"/>
      <c r="AA433" s="149"/>
      <c r="AB433" s="149"/>
      <c r="AC433" s="149"/>
      <c r="AD433" s="149"/>
      <c r="AE433" s="149"/>
      <c r="AF433" s="149"/>
      <c r="AG433" s="149"/>
      <c r="AH433" s="149"/>
      <c r="AI433" s="149"/>
      <c r="AJ433" s="149"/>
      <c r="AK433" s="149"/>
      <c r="AL433" s="149"/>
      <c r="AM433" s="149"/>
      <c r="AN433" s="149"/>
      <c r="AO433" s="149"/>
      <c r="AP433" s="149"/>
      <c r="AQ433" s="149"/>
      <c r="AR433" s="149"/>
      <c r="AS433" s="149"/>
    </row>
    <row r="434" spans="1:45" ht="15" customHeight="1" x14ac:dyDescent="0.3">
      <c r="A434" s="129"/>
      <c r="B434" s="129"/>
      <c r="C434" s="130"/>
      <c r="D434" s="106"/>
      <c r="E434" s="106" t="s">
        <v>810</v>
      </c>
      <c r="F434" s="106"/>
      <c r="G434" s="106"/>
      <c r="H434" s="131"/>
      <c r="I434" s="131"/>
      <c r="J434" s="128"/>
      <c r="K434" s="149" t="str">
        <f t="shared" ref="K434:AS434" si="398">IF(K2 &lt; 2018, $G414, $G415)</f>
        <v>Net</v>
      </c>
      <c r="L434" s="149" t="str">
        <f t="shared" si="398"/>
        <v>Net</v>
      </c>
      <c r="M434" s="149" t="str">
        <f t="shared" si="398"/>
        <v>Net</v>
      </c>
      <c r="N434" s="149" t="str">
        <f t="shared" si="398"/>
        <v>Net</v>
      </c>
      <c r="O434" s="149" t="str">
        <f t="shared" si="398"/>
        <v>Net</v>
      </c>
      <c r="P434" s="149" t="str">
        <f t="shared" si="398"/>
        <v>Net</v>
      </c>
      <c r="Q434" s="149" t="str">
        <f t="shared" si="398"/>
        <v>Net</v>
      </c>
      <c r="R434" s="149" t="str">
        <f t="shared" si="398"/>
        <v>Net</v>
      </c>
      <c r="S434" s="149" t="str">
        <f t="shared" si="398"/>
        <v>Net</v>
      </c>
      <c r="T434" s="149" t="str">
        <f t="shared" si="398"/>
        <v>Net</v>
      </c>
      <c r="U434" s="149" t="str">
        <f t="shared" si="398"/>
        <v>Net</v>
      </c>
      <c r="V434" s="149" t="str">
        <f t="shared" si="398"/>
        <v>Net</v>
      </c>
      <c r="W434" s="149" t="str">
        <f t="shared" si="398"/>
        <v>Gross</v>
      </c>
      <c r="X434" s="149" t="str">
        <f t="shared" si="398"/>
        <v>Gross</v>
      </c>
      <c r="Y434" s="149" t="str">
        <f t="shared" si="398"/>
        <v>Gross</v>
      </c>
      <c r="Z434" s="149" t="str">
        <f t="shared" si="398"/>
        <v>Gross</v>
      </c>
      <c r="AA434" s="149" t="str">
        <f t="shared" si="398"/>
        <v>Gross</v>
      </c>
      <c r="AB434" s="149" t="str">
        <f t="shared" si="398"/>
        <v>Gross</v>
      </c>
      <c r="AC434" s="149" t="str">
        <f t="shared" si="398"/>
        <v>Gross</v>
      </c>
      <c r="AD434" s="149" t="str">
        <f t="shared" si="398"/>
        <v>Gross</v>
      </c>
      <c r="AE434" s="149" t="str">
        <f t="shared" si="398"/>
        <v>Gross</v>
      </c>
      <c r="AF434" s="149" t="str">
        <f t="shared" si="398"/>
        <v>Gross</v>
      </c>
      <c r="AG434" s="149" t="str">
        <f t="shared" si="398"/>
        <v>Gross</v>
      </c>
      <c r="AH434" s="149" t="str">
        <f t="shared" si="398"/>
        <v>Gross</v>
      </c>
      <c r="AI434" s="149" t="str">
        <f t="shared" si="398"/>
        <v>Gross</v>
      </c>
      <c r="AJ434" s="149" t="str">
        <f t="shared" si="398"/>
        <v>Gross</v>
      </c>
      <c r="AK434" s="149" t="str">
        <f t="shared" si="398"/>
        <v>Gross</v>
      </c>
      <c r="AL434" s="149" t="str">
        <f t="shared" si="398"/>
        <v>Gross</v>
      </c>
      <c r="AM434" s="149" t="str">
        <f t="shared" si="398"/>
        <v>Gross</v>
      </c>
      <c r="AN434" s="149" t="str">
        <f t="shared" si="398"/>
        <v>Gross</v>
      </c>
      <c r="AO434" s="149" t="str">
        <f t="shared" si="398"/>
        <v>Gross</v>
      </c>
      <c r="AP434" s="149" t="str">
        <f t="shared" si="398"/>
        <v>Gross</v>
      </c>
      <c r="AQ434" s="149" t="str">
        <f t="shared" si="398"/>
        <v>Gross</v>
      </c>
      <c r="AR434" s="149" t="str">
        <f t="shared" si="398"/>
        <v>Gross</v>
      </c>
      <c r="AS434" s="149" t="str">
        <f t="shared" si="398"/>
        <v>Gross</v>
      </c>
    </row>
    <row r="435" spans="1:45" ht="15" customHeight="1" x14ac:dyDescent="0.3">
      <c r="E435" s="537" t="str">
        <f t="shared" ref="E435:AS435" si="399" xml:space="preserve"> E$375</f>
        <v>Copper gross revenue</v>
      </c>
      <c r="F435" s="537">
        <f t="shared" si="399"/>
        <v>0</v>
      </c>
      <c r="G435" s="537" t="str">
        <f t="shared" si="399"/>
        <v>$ mn</v>
      </c>
      <c r="H435" s="537">
        <f t="shared" si="399"/>
        <v>0</v>
      </c>
      <c r="I435" s="537">
        <f t="shared" si="399"/>
        <v>11451.489506019687</v>
      </c>
      <c r="J435" s="537">
        <f t="shared" si="399"/>
        <v>0</v>
      </c>
      <c r="K435" s="537">
        <f t="shared" si="399"/>
        <v>0</v>
      </c>
      <c r="L435" s="537">
        <f t="shared" si="399"/>
        <v>0</v>
      </c>
      <c r="M435" s="537">
        <f t="shared" si="399"/>
        <v>0</v>
      </c>
      <c r="N435" s="537">
        <f t="shared" si="399"/>
        <v>0</v>
      </c>
      <c r="O435" s="537">
        <f t="shared" si="399"/>
        <v>0</v>
      </c>
      <c r="P435" s="537">
        <f t="shared" si="399"/>
        <v>0</v>
      </c>
      <c r="Q435" s="537">
        <f t="shared" si="399"/>
        <v>0</v>
      </c>
      <c r="R435" s="537">
        <f t="shared" si="399"/>
        <v>0</v>
      </c>
      <c r="S435" s="537">
        <f t="shared" si="399"/>
        <v>0</v>
      </c>
      <c r="T435" s="537">
        <f t="shared" si="399"/>
        <v>0</v>
      </c>
      <c r="U435" s="537">
        <f t="shared" si="399"/>
        <v>0</v>
      </c>
      <c r="V435" s="537">
        <f t="shared" si="399"/>
        <v>104.68060500000001</v>
      </c>
      <c r="W435" s="537">
        <f t="shared" si="399"/>
        <v>275.12210799999997</v>
      </c>
      <c r="X435" s="537">
        <f t="shared" si="399"/>
        <v>416.84932400000002</v>
      </c>
      <c r="Y435" s="537">
        <f t="shared" si="399"/>
        <v>635.77241700000002</v>
      </c>
      <c r="Z435" s="537">
        <f t="shared" si="399"/>
        <v>1059.1821980000002</v>
      </c>
      <c r="AA435" s="537">
        <f t="shared" si="399"/>
        <v>938.45274099999995</v>
      </c>
      <c r="AB435" s="537">
        <f t="shared" si="399"/>
        <v>972.90811853117418</v>
      </c>
      <c r="AC435" s="537">
        <f t="shared" si="399"/>
        <v>641.01964091281855</v>
      </c>
      <c r="AD435" s="537">
        <f t="shared" si="399"/>
        <v>905.06080438998561</v>
      </c>
      <c r="AE435" s="537">
        <f t="shared" si="399"/>
        <v>906.69486922833119</v>
      </c>
      <c r="AF435" s="537">
        <f t="shared" si="399"/>
        <v>905.7682157164711</v>
      </c>
      <c r="AG435" s="537">
        <f t="shared" si="399"/>
        <v>904.45287108625553</v>
      </c>
      <c r="AH435" s="537">
        <f t="shared" si="399"/>
        <v>905.84957723998957</v>
      </c>
      <c r="AI435" s="537">
        <f t="shared" si="399"/>
        <v>766.66482549710213</v>
      </c>
      <c r="AJ435" s="537">
        <f t="shared" si="399"/>
        <v>782.56965423430415</v>
      </c>
      <c r="AK435" s="537">
        <f t="shared" si="399"/>
        <v>330.44153618325373</v>
      </c>
      <c r="AL435" s="537">
        <f t="shared" si="399"/>
        <v>0</v>
      </c>
      <c r="AM435" s="537">
        <f t="shared" si="399"/>
        <v>0</v>
      </c>
      <c r="AN435" s="537">
        <f t="shared" si="399"/>
        <v>0</v>
      </c>
      <c r="AO435" s="537">
        <f t="shared" si="399"/>
        <v>0</v>
      </c>
      <c r="AP435" s="537">
        <f t="shared" si="399"/>
        <v>0</v>
      </c>
      <c r="AQ435" s="537">
        <f t="shared" si="399"/>
        <v>0</v>
      </c>
      <c r="AR435" s="537">
        <f t="shared" si="399"/>
        <v>0</v>
      </c>
      <c r="AS435" s="537">
        <f t="shared" si="399"/>
        <v>0</v>
      </c>
    </row>
    <row r="436" spans="1:45" ht="15" customHeight="1" x14ac:dyDescent="0.3">
      <c r="E436" s="537" t="str">
        <f xml:space="preserve"> E$407</f>
        <v>Copper net revenue</v>
      </c>
      <c r="F436" s="537">
        <f t="shared" ref="F436:G436" si="400" xml:space="preserve"> F$407</f>
        <v>0</v>
      </c>
      <c r="G436" s="537" t="str">
        <f t="shared" si="400"/>
        <v>$ mn</v>
      </c>
      <c r="H436" s="537">
        <f t="shared" ref="H436:O436" si="401" xml:space="preserve"> H$407</f>
        <v>0</v>
      </c>
      <c r="I436" s="537">
        <f t="shared" si="401"/>
        <v>11451.489506019687</v>
      </c>
      <c r="J436" s="537">
        <f t="shared" si="401"/>
        <v>0</v>
      </c>
      <c r="K436" s="537">
        <f t="shared" si="401"/>
        <v>0</v>
      </c>
      <c r="L436" s="537">
        <f t="shared" si="401"/>
        <v>0</v>
      </c>
      <c r="M436" s="537">
        <f t="shared" si="401"/>
        <v>0</v>
      </c>
      <c r="N436" s="537">
        <f t="shared" si="401"/>
        <v>0</v>
      </c>
      <c r="O436" s="537">
        <f t="shared" si="401"/>
        <v>0</v>
      </c>
      <c r="P436" s="537">
        <f t="shared" ref="P436:AS436" si="402" xml:space="preserve"> P$407</f>
        <v>0</v>
      </c>
      <c r="Q436" s="537">
        <f t="shared" si="402"/>
        <v>0</v>
      </c>
      <c r="R436" s="537">
        <f t="shared" si="402"/>
        <v>0</v>
      </c>
      <c r="S436" s="537">
        <f t="shared" si="402"/>
        <v>0</v>
      </c>
      <c r="T436" s="537">
        <f t="shared" si="402"/>
        <v>0</v>
      </c>
      <c r="U436" s="537">
        <f t="shared" si="402"/>
        <v>0</v>
      </c>
      <c r="V436" s="537">
        <f t="shared" si="402"/>
        <v>104.68060500000001</v>
      </c>
      <c r="W436" s="537">
        <f t="shared" si="402"/>
        <v>275.12210799999997</v>
      </c>
      <c r="X436" s="537">
        <f t="shared" si="402"/>
        <v>416.84932400000002</v>
      </c>
      <c r="Y436" s="537">
        <f t="shared" si="402"/>
        <v>635.77241700000002</v>
      </c>
      <c r="Z436" s="537">
        <f t="shared" si="402"/>
        <v>1059.1821980000002</v>
      </c>
      <c r="AA436" s="537">
        <f t="shared" si="402"/>
        <v>938.45274099999995</v>
      </c>
      <c r="AB436" s="537">
        <f t="shared" si="402"/>
        <v>972.90811853117418</v>
      </c>
      <c r="AC436" s="537">
        <f t="shared" si="402"/>
        <v>641.01964091281855</v>
      </c>
      <c r="AD436" s="537">
        <f t="shared" si="402"/>
        <v>905.06080438998561</v>
      </c>
      <c r="AE436" s="537">
        <f t="shared" si="402"/>
        <v>906.69486922833119</v>
      </c>
      <c r="AF436" s="537">
        <f t="shared" si="402"/>
        <v>905.7682157164711</v>
      </c>
      <c r="AG436" s="537">
        <f t="shared" si="402"/>
        <v>904.45287108625553</v>
      </c>
      <c r="AH436" s="537">
        <f t="shared" si="402"/>
        <v>905.84957723998957</v>
      </c>
      <c r="AI436" s="537">
        <f t="shared" si="402"/>
        <v>766.66482549710213</v>
      </c>
      <c r="AJ436" s="537">
        <f t="shared" si="402"/>
        <v>782.56965423430415</v>
      </c>
      <c r="AK436" s="537">
        <f t="shared" si="402"/>
        <v>330.44153618325373</v>
      </c>
      <c r="AL436" s="537">
        <f t="shared" si="402"/>
        <v>0</v>
      </c>
      <c r="AM436" s="537">
        <f t="shared" si="402"/>
        <v>0</v>
      </c>
      <c r="AN436" s="537">
        <f t="shared" si="402"/>
        <v>0</v>
      </c>
      <c r="AO436" s="537">
        <f t="shared" si="402"/>
        <v>0</v>
      </c>
      <c r="AP436" s="537">
        <f t="shared" si="402"/>
        <v>0</v>
      </c>
      <c r="AQ436" s="537">
        <f t="shared" si="402"/>
        <v>0</v>
      </c>
      <c r="AR436" s="537">
        <f t="shared" si="402"/>
        <v>0</v>
      </c>
      <c r="AS436" s="537">
        <f t="shared" si="402"/>
        <v>0</v>
      </c>
    </row>
    <row r="437" spans="1:45" ht="15" customHeight="1" x14ac:dyDescent="0.3">
      <c r="E437" s="537" t="s">
        <v>811</v>
      </c>
      <c r="F437" s="537"/>
      <c r="G437" s="537"/>
      <c r="H437" s="537"/>
      <c r="I437" s="537">
        <f>SUM(K437:AS437)</f>
        <v>11451.489506019687</v>
      </c>
      <c r="J437" s="537"/>
      <c r="K437" s="537">
        <f t="shared" ref="K437:O437" si="403">IF(K434 = "Net", K436, K435)</f>
        <v>0</v>
      </c>
      <c r="L437" s="537">
        <f t="shared" si="403"/>
        <v>0</v>
      </c>
      <c r="M437" s="537">
        <f t="shared" si="403"/>
        <v>0</v>
      </c>
      <c r="N437" s="537">
        <f t="shared" si="403"/>
        <v>0</v>
      </c>
      <c r="O437" s="537">
        <f t="shared" si="403"/>
        <v>0</v>
      </c>
      <c r="P437" s="537">
        <f>IF(P434 = "Net", P436, P435)</f>
        <v>0</v>
      </c>
      <c r="Q437" s="537">
        <f t="shared" ref="Q437:AS437" si="404">IF(Q434 = "Net", Q436, Q435)</f>
        <v>0</v>
      </c>
      <c r="R437" s="537">
        <f t="shared" si="404"/>
        <v>0</v>
      </c>
      <c r="S437" s="537">
        <f t="shared" si="404"/>
        <v>0</v>
      </c>
      <c r="T437" s="537">
        <f t="shared" si="404"/>
        <v>0</v>
      </c>
      <c r="U437" s="537">
        <f t="shared" si="404"/>
        <v>0</v>
      </c>
      <c r="V437" s="537">
        <f t="shared" si="404"/>
        <v>104.68060500000001</v>
      </c>
      <c r="W437" s="537">
        <f t="shared" si="404"/>
        <v>275.12210799999997</v>
      </c>
      <c r="X437" s="537">
        <f t="shared" si="404"/>
        <v>416.84932400000002</v>
      </c>
      <c r="Y437" s="537">
        <f t="shared" si="404"/>
        <v>635.77241700000002</v>
      </c>
      <c r="Z437" s="537">
        <f t="shared" si="404"/>
        <v>1059.1821980000002</v>
      </c>
      <c r="AA437" s="537">
        <f t="shared" si="404"/>
        <v>938.45274099999995</v>
      </c>
      <c r="AB437" s="537">
        <f t="shared" si="404"/>
        <v>972.90811853117418</v>
      </c>
      <c r="AC437" s="537">
        <f t="shared" si="404"/>
        <v>641.01964091281855</v>
      </c>
      <c r="AD437" s="537">
        <f t="shared" si="404"/>
        <v>905.06080438998561</v>
      </c>
      <c r="AE437" s="537">
        <f t="shared" si="404"/>
        <v>906.69486922833119</v>
      </c>
      <c r="AF437" s="537">
        <f t="shared" si="404"/>
        <v>905.7682157164711</v>
      </c>
      <c r="AG437" s="537">
        <f t="shared" si="404"/>
        <v>904.45287108625553</v>
      </c>
      <c r="AH437" s="537">
        <f t="shared" si="404"/>
        <v>905.84957723998957</v>
      </c>
      <c r="AI437" s="537">
        <f t="shared" si="404"/>
        <v>766.66482549710213</v>
      </c>
      <c r="AJ437" s="537">
        <f t="shared" si="404"/>
        <v>782.56965423430415</v>
      </c>
      <c r="AK437" s="537">
        <f t="shared" si="404"/>
        <v>330.44153618325373</v>
      </c>
      <c r="AL437" s="537">
        <f t="shared" si="404"/>
        <v>0</v>
      </c>
      <c r="AM437" s="537">
        <f t="shared" si="404"/>
        <v>0</v>
      </c>
      <c r="AN437" s="537">
        <f t="shared" si="404"/>
        <v>0</v>
      </c>
      <c r="AO437" s="537">
        <f t="shared" si="404"/>
        <v>0</v>
      </c>
      <c r="AP437" s="537">
        <f t="shared" si="404"/>
        <v>0</v>
      </c>
      <c r="AQ437" s="537">
        <f t="shared" si="404"/>
        <v>0</v>
      </c>
      <c r="AR437" s="537">
        <f t="shared" si="404"/>
        <v>0</v>
      </c>
      <c r="AS437" s="537">
        <f t="shared" si="404"/>
        <v>0</v>
      </c>
    </row>
    <row r="438" spans="1:45" ht="15" customHeight="1" x14ac:dyDescent="0.3">
      <c r="E438" s="537"/>
      <c r="F438" s="537"/>
      <c r="G438" s="537"/>
      <c r="H438" s="537"/>
      <c r="I438" s="537"/>
      <c r="J438" s="537"/>
      <c r="K438" s="537"/>
      <c r="L438" s="537"/>
      <c r="M438" s="537"/>
      <c r="N438" s="537"/>
      <c r="O438" s="537"/>
      <c r="P438" s="537"/>
      <c r="Q438" s="537"/>
      <c r="R438" s="537"/>
      <c r="S438" s="537"/>
      <c r="T438" s="537"/>
      <c r="U438" s="537"/>
      <c r="V438" s="537"/>
      <c r="W438" s="537"/>
      <c r="X438" s="537"/>
      <c r="Y438" s="537"/>
      <c r="Z438" s="537"/>
      <c r="AA438" s="537"/>
      <c r="AB438" s="537"/>
      <c r="AC438" s="537"/>
      <c r="AD438" s="537"/>
      <c r="AE438" s="537"/>
      <c r="AF438" s="537"/>
      <c r="AG438" s="537"/>
      <c r="AH438" s="537"/>
      <c r="AI438" s="537"/>
      <c r="AJ438" s="537"/>
      <c r="AK438" s="537"/>
      <c r="AL438" s="537"/>
      <c r="AM438" s="537"/>
      <c r="AN438" s="537"/>
      <c r="AO438" s="537"/>
      <c r="AP438" s="537"/>
      <c r="AQ438" s="537"/>
      <c r="AR438" s="537"/>
      <c r="AS438" s="537"/>
    </row>
    <row r="439" spans="1:45" ht="15" customHeight="1" x14ac:dyDescent="0.3">
      <c r="E439" s="40" t="str">
        <f xml:space="preserve"> E$431</f>
        <v>Copper royalty rate</v>
      </c>
      <c r="F439" s="40">
        <f t="shared" ref="F439:O439" si="405" xml:space="preserve"> F$431</f>
        <v>0</v>
      </c>
      <c r="G439" s="40" t="str">
        <f t="shared" si="405"/>
        <v>%</v>
      </c>
      <c r="H439" s="40">
        <f t="shared" si="405"/>
        <v>0</v>
      </c>
      <c r="I439" s="40">
        <f t="shared" si="405"/>
        <v>0</v>
      </c>
      <c r="J439" s="40">
        <f t="shared" si="405"/>
        <v>0</v>
      </c>
      <c r="K439" s="90">
        <f t="shared" si="405"/>
        <v>0.02</v>
      </c>
      <c r="L439" s="90">
        <f t="shared" si="405"/>
        <v>0.02</v>
      </c>
      <c r="M439" s="90">
        <f t="shared" si="405"/>
        <v>0.02</v>
      </c>
      <c r="N439" s="90">
        <f t="shared" si="405"/>
        <v>0.02</v>
      </c>
      <c r="O439" s="90">
        <f t="shared" si="405"/>
        <v>0.02</v>
      </c>
      <c r="P439" s="90">
        <f t="shared" ref="P439:AS439" si="406" xml:space="preserve"> P$431</f>
        <v>0.02</v>
      </c>
      <c r="Q439" s="90">
        <f t="shared" si="406"/>
        <v>0.02</v>
      </c>
      <c r="R439" s="90">
        <f t="shared" si="406"/>
        <v>0.02</v>
      </c>
      <c r="S439" s="90">
        <f t="shared" si="406"/>
        <v>0.02</v>
      </c>
      <c r="T439" s="90">
        <f t="shared" si="406"/>
        <v>0.02</v>
      </c>
      <c r="U439" s="90">
        <f t="shared" si="406"/>
        <v>0.02</v>
      </c>
      <c r="V439" s="90">
        <f t="shared" si="406"/>
        <v>0.02</v>
      </c>
      <c r="W439" s="90">
        <f t="shared" si="406"/>
        <v>2.7500000000000004E-2</v>
      </c>
      <c r="X439" s="90">
        <f t="shared" si="406"/>
        <v>3.5000000000000003E-2</v>
      </c>
      <c r="Y439" s="90">
        <f t="shared" si="406"/>
        <v>3.5000000000000003E-2</v>
      </c>
      <c r="Z439" s="90">
        <f t="shared" si="406"/>
        <v>3.5000000000000003E-2</v>
      </c>
      <c r="AA439" s="90">
        <f t="shared" si="406"/>
        <v>3.5000000000000003E-2</v>
      </c>
      <c r="AB439" s="90">
        <f t="shared" si="406"/>
        <v>3.5000000000000003E-2</v>
      </c>
      <c r="AC439" s="90">
        <f t="shared" si="406"/>
        <v>3.5000000000000003E-2</v>
      </c>
      <c r="AD439" s="90">
        <f t="shared" si="406"/>
        <v>3.5000000000000003E-2</v>
      </c>
      <c r="AE439" s="90">
        <f t="shared" si="406"/>
        <v>3.5000000000000003E-2</v>
      </c>
      <c r="AF439" s="90">
        <f t="shared" si="406"/>
        <v>3.5000000000000003E-2</v>
      </c>
      <c r="AG439" s="90">
        <f t="shared" si="406"/>
        <v>3.5000000000000003E-2</v>
      </c>
      <c r="AH439" s="90">
        <f t="shared" si="406"/>
        <v>3.5000000000000003E-2</v>
      </c>
      <c r="AI439" s="90">
        <f t="shared" si="406"/>
        <v>3.5000000000000003E-2</v>
      </c>
      <c r="AJ439" s="90">
        <f t="shared" si="406"/>
        <v>3.5000000000000003E-2</v>
      </c>
      <c r="AK439" s="90">
        <f t="shared" si="406"/>
        <v>3.5000000000000003E-2</v>
      </c>
      <c r="AL439" s="90">
        <f t="shared" si="406"/>
        <v>3.5000000000000003E-2</v>
      </c>
      <c r="AM439" s="90">
        <f t="shared" si="406"/>
        <v>3.5000000000000003E-2</v>
      </c>
      <c r="AN439" s="90">
        <f t="shared" si="406"/>
        <v>3.5000000000000003E-2</v>
      </c>
      <c r="AO439" s="90">
        <f t="shared" si="406"/>
        <v>3.5000000000000003E-2</v>
      </c>
      <c r="AP439" s="90">
        <f t="shared" si="406"/>
        <v>3.5000000000000003E-2</v>
      </c>
      <c r="AQ439" s="90">
        <f t="shared" si="406"/>
        <v>3.5000000000000003E-2</v>
      </c>
      <c r="AR439" s="90">
        <f t="shared" si="406"/>
        <v>3.5000000000000003E-2</v>
      </c>
      <c r="AS439" s="90">
        <f t="shared" si="406"/>
        <v>3.5000000000000003E-2</v>
      </c>
    </row>
    <row r="440" spans="1:45" ht="15" customHeight="1" x14ac:dyDescent="0.3">
      <c r="A440" s="129"/>
      <c r="B440" s="129"/>
      <c r="C440" s="130"/>
      <c r="D440" s="106"/>
      <c r="E440" s="106" t="s">
        <v>190</v>
      </c>
      <c r="F440" s="106"/>
      <c r="G440" s="42" t="s">
        <v>346</v>
      </c>
      <c r="H440" s="131"/>
      <c r="I440" s="131">
        <f>SUM(K440:AS440)</f>
        <v>397.16850782568901</v>
      </c>
      <c r="J440" s="128"/>
      <c r="K440" s="106">
        <f t="shared" ref="K440:O440" si="407">K437 * K439</f>
        <v>0</v>
      </c>
      <c r="L440" s="106">
        <f t="shared" si="407"/>
        <v>0</v>
      </c>
      <c r="M440" s="106">
        <f t="shared" si="407"/>
        <v>0</v>
      </c>
      <c r="N440" s="106">
        <f t="shared" si="407"/>
        <v>0</v>
      </c>
      <c r="O440" s="106">
        <f t="shared" si="407"/>
        <v>0</v>
      </c>
      <c r="P440" s="106">
        <f>P437 * P439</f>
        <v>0</v>
      </c>
      <c r="Q440" s="106">
        <f t="shared" ref="Q440:AS440" si="408">Q437 * Q439</f>
        <v>0</v>
      </c>
      <c r="R440" s="106">
        <f t="shared" si="408"/>
        <v>0</v>
      </c>
      <c r="S440" s="106">
        <f t="shared" si="408"/>
        <v>0</v>
      </c>
      <c r="T440" s="106">
        <f t="shared" si="408"/>
        <v>0</v>
      </c>
      <c r="U440" s="106">
        <f t="shared" si="408"/>
        <v>0</v>
      </c>
      <c r="V440" s="106">
        <f t="shared" si="408"/>
        <v>2.0936121000000005</v>
      </c>
      <c r="W440" s="106">
        <f t="shared" si="408"/>
        <v>7.5658579699999997</v>
      </c>
      <c r="X440" s="106">
        <f t="shared" si="408"/>
        <v>14.589726340000002</v>
      </c>
      <c r="Y440" s="106">
        <f t="shared" si="408"/>
        <v>22.252034595000001</v>
      </c>
      <c r="Z440" s="106">
        <f t="shared" si="408"/>
        <v>37.071376930000014</v>
      </c>
      <c r="AA440" s="106">
        <f t="shared" si="408"/>
        <v>32.845845935</v>
      </c>
      <c r="AB440" s="106">
        <f t="shared" si="408"/>
        <v>34.051784148591096</v>
      </c>
      <c r="AC440" s="106">
        <f t="shared" si="408"/>
        <v>22.435687431948651</v>
      </c>
      <c r="AD440" s="106">
        <f t="shared" si="408"/>
        <v>31.677128153649498</v>
      </c>
      <c r="AE440" s="106">
        <f t="shared" si="408"/>
        <v>31.734320422991594</v>
      </c>
      <c r="AF440" s="106">
        <f t="shared" si="408"/>
        <v>31.701887550076492</v>
      </c>
      <c r="AG440" s="106">
        <f t="shared" si="408"/>
        <v>31.655850488018945</v>
      </c>
      <c r="AH440" s="106">
        <f t="shared" si="408"/>
        <v>31.70473520339964</v>
      </c>
      <c r="AI440" s="106">
        <f t="shared" si="408"/>
        <v>26.833268892398578</v>
      </c>
      <c r="AJ440" s="106">
        <f t="shared" si="408"/>
        <v>27.38993789820065</v>
      </c>
      <c r="AK440" s="106">
        <f t="shared" si="408"/>
        <v>11.565453766413881</v>
      </c>
      <c r="AL440" s="106">
        <f t="shared" si="408"/>
        <v>0</v>
      </c>
      <c r="AM440" s="106">
        <f t="shared" si="408"/>
        <v>0</v>
      </c>
      <c r="AN440" s="106">
        <f t="shared" si="408"/>
        <v>0</v>
      </c>
      <c r="AO440" s="106">
        <f t="shared" si="408"/>
        <v>0</v>
      </c>
      <c r="AP440" s="106">
        <f t="shared" si="408"/>
        <v>0</v>
      </c>
      <c r="AQ440" s="106">
        <f t="shared" si="408"/>
        <v>0</v>
      </c>
      <c r="AR440" s="106">
        <f t="shared" si="408"/>
        <v>0</v>
      </c>
      <c r="AS440" s="106">
        <f t="shared" si="408"/>
        <v>0</v>
      </c>
    </row>
    <row r="441" spans="1:45" ht="15" customHeight="1" x14ac:dyDescent="0.3">
      <c r="A441" s="129"/>
      <c r="B441" s="129"/>
      <c r="C441" s="130"/>
      <c r="D441" s="106"/>
      <c r="E441" s="106"/>
      <c r="F441" s="106"/>
      <c r="H441" s="131"/>
      <c r="I441" s="131"/>
      <c r="J441" s="128"/>
      <c r="K441" s="106"/>
      <c r="L441" s="106"/>
      <c r="M441" s="106"/>
      <c r="N441" s="106"/>
      <c r="O441" s="106"/>
      <c r="P441" s="106"/>
      <c r="Q441" s="106"/>
      <c r="R441" s="106"/>
      <c r="S441" s="106"/>
      <c r="T441" s="106"/>
      <c r="U441" s="106"/>
      <c r="V441" s="106"/>
      <c r="W441" s="106"/>
      <c r="X441" s="106"/>
      <c r="Y441" s="106"/>
      <c r="Z441" s="106"/>
      <c r="AA441" s="106"/>
      <c r="AB441" s="106"/>
      <c r="AC441" s="106"/>
      <c r="AD441" s="106"/>
      <c r="AE441" s="106"/>
      <c r="AF441" s="106"/>
      <c r="AG441" s="106"/>
      <c r="AH441" s="106"/>
      <c r="AI441" s="106"/>
      <c r="AJ441" s="106"/>
      <c r="AK441" s="106"/>
      <c r="AL441" s="106"/>
      <c r="AM441" s="106"/>
      <c r="AN441" s="106"/>
      <c r="AO441" s="106"/>
      <c r="AP441" s="106"/>
      <c r="AQ441" s="106"/>
      <c r="AR441" s="106"/>
      <c r="AS441" s="106"/>
    </row>
    <row r="442" spans="1:45" ht="15" customHeight="1" x14ac:dyDescent="0.3">
      <c r="A442" s="129"/>
      <c r="B442" s="129"/>
      <c r="C442" s="130"/>
      <c r="D442" s="106"/>
      <c r="E442" s="106" t="s">
        <v>110</v>
      </c>
      <c r="F442" s="106"/>
      <c r="G442" s="106"/>
      <c r="H442" s="131"/>
      <c r="I442" s="131"/>
      <c r="J442" s="128"/>
      <c r="K442" s="149">
        <f t="shared" ref="K442:O442" si="409">$F417</f>
        <v>0.1</v>
      </c>
      <c r="L442" s="149">
        <f t="shared" si="409"/>
        <v>0.1</v>
      </c>
      <c r="M442" s="149">
        <f t="shared" si="409"/>
        <v>0.1</v>
      </c>
      <c r="N442" s="149">
        <f t="shared" si="409"/>
        <v>0.1</v>
      </c>
      <c r="O442" s="149">
        <f t="shared" si="409"/>
        <v>0.1</v>
      </c>
      <c r="P442" s="149">
        <f t="shared" ref="P442:AS442" si="410">$F417</f>
        <v>0.1</v>
      </c>
      <c r="Q442" s="149">
        <f t="shared" si="410"/>
        <v>0.1</v>
      </c>
      <c r="R442" s="149">
        <f t="shared" si="410"/>
        <v>0.1</v>
      </c>
      <c r="S442" s="149">
        <f t="shared" si="410"/>
        <v>0.1</v>
      </c>
      <c r="T442" s="149">
        <f t="shared" si="410"/>
        <v>0.1</v>
      </c>
      <c r="U442" s="149">
        <f t="shared" si="410"/>
        <v>0.1</v>
      </c>
      <c r="V442" s="149">
        <f t="shared" si="410"/>
        <v>0.1</v>
      </c>
      <c r="W442" s="149">
        <f t="shared" si="410"/>
        <v>0.1</v>
      </c>
      <c r="X442" s="149">
        <f t="shared" si="410"/>
        <v>0.1</v>
      </c>
      <c r="Y442" s="149">
        <f t="shared" si="410"/>
        <v>0.1</v>
      </c>
      <c r="Z442" s="149">
        <f t="shared" si="410"/>
        <v>0.1</v>
      </c>
      <c r="AA442" s="149">
        <f t="shared" si="410"/>
        <v>0.1</v>
      </c>
      <c r="AB442" s="149">
        <f t="shared" si="410"/>
        <v>0.1</v>
      </c>
      <c r="AC442" s="149">
        <f t="shared" si="410"/>
        <v>0.1</v>
      </c>
      <c r="AD442" s="149">
        <f t="shared" si="410"/>
        <v>0.1</v>
      </c>
      <c r="AE442" s="149">
        <f t="shared" si="410"/>
        <v>0.1</v>
      </c>
      <c r="AF442" s="149">
        <f t="shared" si="410"/>
        <v>0.1</v>
      </c>
      <c r="AG442" s="149">
        <f t="shared" si="410"/>
        <v>0.1</v>
      </c>
      <c r="AH442" s="149">
        <f t="shared" si="410"/>
        <v>0.1</v>
      </c>
      <c r="AI442" s="149">
        <f t="shared" si="410"/>
        <v>0.1</v>
      </c>
      <c r="AJ442" s="149">
        <f t="shared" si="410"/>
        <v>0.1</v>
      </c>
      <c r="AK442" s="149">
        <f t="shared" si="410"/>
        <v>0.1</v>
      </c>
      <c r="AL442" s="149">
        <f t="shared" si="410"/>
        <v>0.1</v>
      </c>
      <c r="AM442" s="149">
        <f t="shared" si="410"/>
        <v>0.1</v>
      </c>
      <c r="AN442" s="149">
        <f t="shared" si="410"/>
        <v>0.1</v>
      </c>
      <c r="AO442" s="149">
        <f t="shared" si="410"/>
        <v>0.1</v>
      </c>
      <c r="AP442" s="149">
        <f t="shared" si="410"/>
        <v>0.1</v>
      </c>
      <c r="AQ442" s="149">
        <f t="shared" si="410"/>
        <v>0.1</v>
      </c>
      <c r="AR442" s="149">
        <f t="shared" si="410"/>
        <v>0.1</v>
      </c>
      <c r="AS442" s="149">
        <f t="shared" si="410"/>
        <v>0.1</v>
      </c>
    </row>
    <row r="443" spans="1:45" ht="15" customHeight="1" x14ac:dyDescent="0.3">
      <c r="I443" s="116"/>
      <c r="AL443" s="42"/>
      <c r="AM443" s="42"/>
      <c r="AN443" s="42"/>
      <c r="AO443" s="42"/>
      <c r="AP443" s="42"/>
      <c r="AQ443" s="42"/>
      <c r="AR443" s="42"/>
      <c r="AS443" s="42"/>
    </row>
    <row r="444" spans="1:45" ht="15" customHeight="1" x14ac:dyDescent="0.3">
      <c r="E444" s="538" t="str">
        <f t="shared" ref="E444:AS444" si="411" xml:space="preserve"> E$380</f>
        <v>Cobalt gross revenue</v>
      </c>
      <c r="F444" s="538">
        <f t="shared" si="411"/>
        <v>0</v>
      </c>
      <c r="G444" s="538" t="str">
        <f t="shared" si="411"/>
        <v>$ mn</v>
      </c>
      <c r="H444" s="538">
        <f t="shared" si="411"/>
        <v>0</v>
      </c>
      <c r="I444" s="538">
        <f t="shared" si="411"/>
        <v>605.73785207875858</v>
      </c>
      <c r="J444" s="538">
        <f t="shared" si="411"/>
        <v>0</v>
      </c>
      <c r="K444" s="538">
        <f t="shared" si="411"/>
        <v>0</v>
      </c>
      <c r="L444" s="538">
        <f t="shared" si="411"/>
        <v>0</v>
      </c>
      <c r="M444" s="538">
        <f t="shared" si="411"/>
        <v>0</v>
      </c>
      <c r="N444" s="538">
        <f t="shared" si="411"/>
        <v>0</v>
      </c>
      <c r="O444" s="538">
        <f t="shared" si="411"/>
        <v>0</v>
      </c>
      <c r="P444" s="538">
        <f t="shared" si="411"/>
        <v>0</v>
      </c>
      <c r="Q444" s="538">
        <f t="shared" si="411"/>
        <v>0</v>
      </c>
      <c r="R444" s="538">
        <f t="shared" si="411"/>
        <v>0</v>
      </c>
      <c r="S444" s="538">
        <f t="shared" si="411"/>
        <v>0</v>
      </c>
      <c r="T444" s="538">
        <f t="shared" si="411"/>
        <v>0</v>
      </c>
      <c r="U444" s="538">
        <f t="shared" si="411"/>
        <v>0</v>
      </c>
      <c r="V444" s="538">
        <f t="shared" si="411"/>
        <v>0</v>
      </c>
      <c r="W444" s="538">
        <f t="shared" si="411"/>
        <v>0</v>
      </c>
      <c r="X444" s="538">
        <f t="shared" si="411"/>
        <v>17.482495504319999</v>
      </c>
      <c r="Y444" s="538">
        <f t="shared" si="411"/>
        <v>32.942181610799999</v>
      </c>
      <c r="Z444" s="538">
        <f t="shared" si="411"/>
        <v>59.516856278879999</v>
      </c>
      <c r="AA444" s="538">
        <f t="shared" si="411"/>
        <v>104.42579902523998</v>
      </c>
      <c r="AB444" s="538">
        <f t="shared" si="411"/>
        <v>50.640257798332065</v>
      </c>
      <c r="AC444" s="538">
        <f t="shared" si="411"/>
        <v>12.790082013106371</v>
      </c>
      <c r="AD444" s="538">
        <f t="shared" si="411"/>
        <v>44.969561931178475</v>
      </c>
      <c r="AE444" s="538">
        <f t="shared" si="411"/>
        <v>44.969561931178475</v>
      </c>
      <c r="AF444" s="538">
        <f t="shared" si="411"/>
        <v>44.969561931178475</v>
      </c>
      <c r="AG444" s="538">
        <f t="shared" si="411"/>
        <v>44.969561931178475</v>
      </c>
      <c r="AH444" s="538">
        <f t="shared" si="411"/>
        <v>44.969561931178475</v>
      </c>
      <c r="AI444" s="538">
        <f t="shared" si="411"/>
        <v>46.017723755482606</v>
      </c>
      <c r="AJ444" s="538">
        <f t="shared" si="411"/>
        <v>40.122552774619891</v>
      </c>
      <c r="AK444" s="538">
        <f t="shared" si="411"/>
        <v>16.952093662085321</v>
      </c>
      <c r="AL444" s="538">
        <f t="shared" si="411"/>
        <v>0</v>
      </c>
      <c r="AM444" s="538">
        <f t="shared" si="411"/>
        <v>0</v>
      </c>
      <c r="AN444" s="538">
        <f t="shared" si="411"/>
        <v>0</v>
      </c>
      <c r="AO444" s="538">
        <f t="shared" si="411"/>
        <v>0</v>
      </c>
      <c r="AP444" s="538">
        <f t="shared" si="411"/>
        <v>0</v>
      </c>
      <c r="AQ444" s="538">
        <f t="shared" si="411"/>
        <v>0</v>
      </c>
      <c r="AR444" s="538">
        <f t="shared" si="411"/>
        <v>0</v>
      </c>
      <c r="AS444" s="538">
        <f t="shared" si="411"/>
        <v>0</v>
      </c>
    </row>
    <row r="445" spans="1:45" ht="15" customHeight="1" x14ac:dyDescent="0.3">
      <c r="E445" s="40" t="str">
        <f t="shared" ref="E445:O445" si="412" xml:space="preserve"> E$442</f>
        <v>Cobalt royalty rate</v>
      </c>
      <c r="F445" s="40">
        <f t="shared" si="412"/>
        <v>0</v>
      </c>
      <c r="G445" s="40">
        <f t="shared" si="412"/>
        <v>0</v>
      </c>
      <c r="H445" s="40">
        <f t="shared" si="412"/>
        <v>0</v>
      </c>
      <c r="I445" s="40">
        <f t="shared" si="412"/>
        <v>0</v>
      </c>
      <c r="J445" s="40">
        <f t="shared" si="412"/>
        <v>0</v>
      </c>
      <c r="K445" s="90">
        <f t="shared" si="412"/>
        <v>0.1</v>
      </c>
      <c r="L445" s="90">
        <f t="shared" si="412"/>
        <v>0.1</v>
      </c>
      <c r="M445" s="90">
        <f t="shared" si="412"/>
        <v>0.1</v>
      </c>
      <c r="N445" s="90">
        <f t="shared" si="412"/>
        <v>0.1</v>
      </c>
      <c r="O445" s="90">
        <f t="shared" si="412"/>
        <v>0.1</v>
      </c>
      <c r="P445" s="90">
        <f t="shared" ref="P445:AS445" si="413" xml:space="preserve"> P$442</f>
        <v>0.1</v>
      </c>
      <c r="Q445" s="90">
        <f t="shared" si="413"/>
        <v>0.1</v>
      </c>
      <c r="R445" s="90">
        <f t="shared" si="413"/>
        <v>0.1</v>
      </c>
      <c r="S445" s="90">
        <f t="shared" si="413"/>
        <v>0.1</v>
      </c>
      <c r="T445" s="90">
        <f t="shared" si="413"/>
        <v>0.1</v>
      </c>
      <c r="U445" s="90">
        <f t="shared" si="413"/>
        <v>0.1</v>
      </c>
      <c r="V445" s="90">
        <f t="shared" si="413"/>
        <v>0.1</v>
      </c>
      <c r="W445" s="90">
        <f t="shared" si="413"/>
        <v>0.1</v>
      </c>
      <c r="X445" s="90">
        <f t="shared" si="413"/>
        <v>0.1</v>
      </c>
      <c r="Y445" s="90">
        <f t="shared" si="413"/>
        <v>0.1</v>
      </c>
      <c r="Z445" s="90">
        <f t="shared" si="413"/>
        <v>0.1</v>
      </c>
      <c r="AA445" s="90">
        <f t="shared" si="413"/>
        <v>0.1</v>
      </c>
      <c r="AB445" s="90">
        <f t="shared" si="413"/>
        <v>0.1</v>
      </c>
      <c r="AC445" s="90">
        <f t="shared" si="413"/>
        <v>0.1</v>
      </c>
      <c r="AD445" s="90">
        <f t="shared" si="413"/>
        <v>0.1</v>
      </c>
      <c r="AE445" s="90">
        <f t="shared" si="413"/>
        <v>0.1</v>
      </c>
      <c r="AF445" s="90">
        <f t="shared" si="413"/>
        <v>0.1</v>
      </c>
      <c r="AG445" s="90">
        <f t="shared" si="413"/>
        <v>0.1</v>
      </c>
      <c r="AH445" s="90">
        <f t="shared" si="413"/>
        <v>0.1</v>
      </c>
      <c r="AI445" s="90">
        <f t="shared" si="413"/>
        <v>0.1</v>
      </c>
      <c r="AJ445" s="90">
        <f t="shared" si="413"/>
        <v>0.1</v>
      </c>
      <c r="AK445" s="90">
        <f t="shared" si="413"/>
        <v>0.1</v>
      </c>
      <c r="AL445" s="90">
        <f t="shared" si="413"/>
        <v>0.1</v>
      </c>
      <c r="AM445" s="90">
        <f t="shared" si="413"/>
        <v>0.1</v>
      </c>
      <c r="AN445" s="90">
        <f t="shared" si="413"/>
        <v>0.1</v>
      </c>
      <c r="AO445" s="90">
        <f t="shared" si="413"/>
        <v>0.1</v>
      </c>
      <c r="AP445" s="90">
        <f t="shared" si="413"/>
        <v>0.1</v>
      </c>
      <c r="AQ445" s="90">
        <f t="shared" si="413"/>
        <v>0.1</v>
      </c>
      <c r="AR445" s="90">
        <f t="shared" si="413"/>
        <v>0.1</v>
      </c>
      <c r="AS445" s="90">
        <f t="shared" si="413"/>
        <v>0.1</v>
      </c>
    </row>
    <row r="446" spans="1:45" ht="15" customHeight="1" x14ac:dyDescent="0.3">
      <c r="E446" s="42" t="s">
        <v>191</v>
      </c>
      <c r="G446" s="42" t="s">
        <v>346</v>
      </c>
      <c r="I446" s="116">
        <f>SUM(K446:AS446)</f>
        <v>60.573785207875851</v>
      </c>
      <c r="K446" s="106">
        <f t="shared" ref="K446:O446" si="414">K444 * K445</f>
        <v>0</v>
      </c>
      <c r="L446" s="106">
        <f t="shared" si="414"/>
        <v>0</v>
      </c>
      <c r="M446" s="106">
        <f t="shared" si="414"/>
        <v>0</v>
      </c>
      <c r="N446" s="106">
        <f t="shared" si="414"/>
        <v>0</v>
      </c>
      <c r="O446" s="106">
        <f t="shared" si="414"/>
        <v>0</v>
      </c>
      <c r="P446" s="106">
        <f t="shared" ref="P446:R446" si="415">P444 * P445</f>
        <v>0</v>
      </c>
      <c r="Q446" s="106">
        <f t="shared" si="415"/>
        <v>0</v>
      </c>
      <c r="R446" s="106">
        <f t="shared" si="415"/>
        <v>0</v>
      </c>
      <c r="S446" s="106">
        <f t="shared" ref="S446:AS446" si="416">S444 * S445</f>
        <v>0</v>
      </c>
      <c r="T446" s="106">
        <f t="shared" si="416"/>
        <v>0</v>
      </c>
      <c r="U446" s="106">
        <f t="shared" si="416"/>
        <v>0</v>
      </c>
      <c r="V446" s="106">
        <f t="shared" si="416"/>
        <v>0</v>
      </c>
      <c r="W446" s="106">
        <f t="shared" si="416"/>
        <v>0</v>
      </c>
      <c r="X446" s="106">
        <f t="shared" si="416"/>
        <v>1.7482495504319999</v>
      </c>
      <c r="Y446" s="106">
        <f t="shared" si="416"/>
        <v>3.2942181610799999</v>
      </c>
      <c r="Z446" s="106">
        <f t="shared" si="416"/>
        <v>5.9516856278880006</v>
      </c>
      <c r="AA446" s="106">
        <f t="shared" si="416"/>
        <v>10.442579902523999</v>
      </c>
      <c r="AB446" s="106">
        <f t="shared" si="416"/>
        <v>5.0640257798332069</v>
      </c>
      <c r="AC446" s="106">
        <f t="shared" si="416"/>
        <v>1.2790082013106372</v>
      </c>
      <c r="AD446" s="106">
        <f t="shared" si="416"/>
        <v>4.4969561931178479</v>
      </c>
      <c r="AE446" s="106">
        <f t="shared" si="416"/>
        <v>4.4969561931178479</v>
      </c>
      <c r="AF446" s="106">
        <f t="shared" si="416"/>
        <v>4.4969561931178479</v>
      </c>
      <c r="AG446" s="106">
        <f t="shared" si="416"/>
        <v>4.4969561931178479</v>
      </c>
      <c r="AH446" s="106">
        <f t="shared" si="416"/>
        <v>4.4969561931178479</v>
      </c>
      <c r="AI446" s="106">
        <f t="shared" si="416"/>
        <v>4.6017723755482605</v>
      </c>
      <c r="AJ446" s="106">
        <f t="shared" si="416"/>
        <v>4.0122552774619891</v>
      </c>
      <c r="AK446" s="106">
        <f t="shared" si="416"/>
        <v>1.6952093662085321</v>
      </c>
      <c r="AL446" s="106">
        <f t="shared" si="416"/>
        <v>0</v>
      </c>
      <c r="AM446" s="106">
        <f t="shared" si="416"/>
        <v>0</v>
      </c>
      <c r="AN446" s="106">
        <f t="shared" si="416"/>
        <v>0</v>
      </c>
      <c r="AO446" s="106">
        <f t="shared" si="416"/>
        <v>0</v>
      </c>
      <c r="AP446" s="106">
        <f t="shared" si="416"/>
        <v>0</v>
      </c>
      <c r="AQ446" s="106">
        <f t="shared" si="416"/>
        <v>0</v>
      </c>
      <c r="AR446" s="106">
        <f t="shared" si="416"/>
        <v>0</v>
      </c>
      <c r="AS446" s="106">
        <f t="shared" si="416"/>
        <v>0</v>
      </c>
    </row>
    <row r="447" spans="1:45" ht="15" customHeight="1" x14ac:dyDescent="0.3">
      <c r="I447" s="116"/>
      <c r="K447" s="106"/>
      <c r="L447" s="106"/>
      <c r="M447" s="106"/>
      <c r="N447" s="106"/>
      <c r="O447" s="106"/>
      <c r="P447" s="106"/>
      <c r="Q447" s="106"/>
      <c r="R447" s="106"/>
      <c r="S447" s="106"/>
      <c r="T447" s="106"/>
      <c r="U447" s="106"/>
      <c r="V447" s="106"/>
      <c r="W447" s="106"/>
      <c r="X447" s="106"/>
      <c r="Y447" s="106"/>
      <c r="Z447" s="106"/>
      <c r="AA447" s="106"/>
      <c r="AB447" s="106"/>
      <c r="AC447" s="106"/>
      <c r="AD447" s="106"/>
      <c r="AE447" s="106"/>
      <c r="AF447" s="106"/>
      <c r="AG447" s="106"/>
      <c r="AH447" s="106"/>
      <c r="AI447" s="106"/>
      <c r="AJ447" s="106"/>
      <c r="AK447" s="106"/>
      <c r="AL447" s="106"/>
      <c r="AM447" s="106"/>
      <c r="AN447" s="106"/>
      <c r="AO447" s="106"/>
      <c r="AP447" s="106"/>
      <c r="AQ447" s="106"/>
      <c r="AR447" s="106"/>
      <c r="AS447" s="106"/>
    </row>
    <row r="448" spans="1:45" ht="15" customHeight="1" x14ac:dyDescent="0.3">
      <c r="E448" s="40" t="str">
        <f t="shared" ref="E448:O448" si="417" xml:space="preserve"> E$440</f>
        <v>Copper calculated royalty</v>
      </c>
      <c r="F448" s="40">
        <f t="shared" si="417"/>
        <v>0</v>
      </c>
      <c r="G448" s="40" t="str">
        <f t="shared" si="417"/>
        <v>$ mn</v>
      </c>
      <c r="H448" s="40">
        <f t="shared" si="417"/>
        <v>0</v>
      </c>
      <c r="I448" s="40">
        <f t="shared" si="417"/>
        <v>397.16850782568901</v>
      </c>
      <c r="J448" s="40">
        <f t="shared" si="417"/>
        <v>0</v>
      </c>
      <c r="K448" s="40">
        <f t="shared" si="417"/>
        <v>0</v>
      </c>
      <c r="L448" s="40">
        <f t="shared" si="417"/>
        <v>0</v>
      </c>
      <c r="M448" s="40">
        <f t="shared" si="417"/>
        <v>0</v>
      </c>
      <c r="N448" s="40">
        <f t="shared" si="417"/>
        <v>0</v>
      </c>
      <c r="O448" s="40">
        <f t="shared" si="417"/>
        <v>0</v>
      </c>
      <c r="P448" s="40">
        <f t="shared" ref="P448:AS448" si="418" xml:space="preserve"> P$440</f>
        <v>0</v>
      </c>
      <c r="Q448" s="40">
        <f t="shared" si="418"/>
        <v>0</v>
      </c>
      <c r="R448" s="40">
        <f t="shared" si="418"/>
        <v>0</v>
      </c>
      <c r="S448" s="40">
        <f t="shared" si="418"/>
        <v>0</v>
      </c>
      <c r="T448" s="40">
        <f t="shared" si="418"/>
        <v>0</v>
      </c>
      <c r="U448" s="40">
        <f t="shared" si="418"/>
        <v>0</v>
      </c>
      <c r="V448" s="40">
        <f t="shared" si="418"/>
        <v>2.0936121000000005</v>
      </c>
      <c r="W448" s="40">
        <f t="shared" si="418"/>
        <v>7.5658579699999997</v>
      </c>
      <c r="X448" s="40">
        <f t="shared" si="418"/>
        <v>14.589726340000002</v>
      </c>
      <c r="Y448" s="40">
        <f t="shared" si="418"/>
        <v>22.252034595000001</v>
      </c>
      <c r="Z448" s="40">
        <f t="shared" si="418"/>
        <v>37.071376930000014</v>
      </c>
      <c r="AA448" s="40">
        <f t="shared" si="418"/>
        <v>32.845845935</v>
      </c>
      <c r="AB448" s="40">
        <f t="shared" si="418"/>
        <v>34.051784148591096</v>
      </c>
      <c r="AC448" s="40">
        <f t="shared" si="418"/>
        <v>22.435687431948651</v>
      </c>
      <c r="AD448" s="40">
        <f t="shared" si="418"/>
        <v>31.677128153649498</v>
      </c>
      <c r="AE448" s="40">
        <f t="shared" si="418"/>
        <v>31.734320422991594</v>
      </c>
      <c r="AF448" s="40">
        <f t="shared" si="418"/>
        <v>31.701887550076492</v>
      </c>
      <c r="AG448" s="40">
        <f t="shared" si="418"/>
        <v>31.655850488018945</v>
      </c>
      <c r="AH448" s="40">
        <f t="shared" si="418"/>
        <v>31.70473520339964</v>
      </c>
      <c r="AI448" s="40">
        <f t="shared" si="418"/>
        <v>26.833268892398578</v>
      </c>
      <c r="AJ448" s="40">
        <f t="shared" si="418"/>
        <v>27.38993789820065</v>
      </c>
      <c r="AK448" s="40">
        <f t="shared" si="418"/>
        <v>11.565453766413881</v>
      </c>
      <c r="AL448" s="40">
        <f t="shared" si="418"/>
        <v>0</v>
      </c>
      <c r="AM448" s="40">
        <f t="shared" si="418"/>
        <v>0</v>
      </c>
      <c r="AN448" s="40">
        <f t="shared" si="418"/>
        <v>0</v>
      </c>
      <c r="AO448" s="40">
        <f t="shared" si="418"/>
        <v>0</v>
      </c>
      <c r="AP448" s="40">
        <f t="shared" si="418"/>
        <v>0</v>
      </c>
      <c r="AQ448" s="40">
        <f t="shared" si="418"/>
        <v>0</v>
      </c>
      <c r="AR448" s="40">
        <f t="shared" si="418"/>
        <v>0</v>
      </c>
      <c r="AS448" s="40">
        <f t="shared" si="418"/>
        <v>0</v>
      </c>
    </row>
    <row r="449" spans="1:45" ht="15" customHeight="1" x14ac:dyDescent="0.3">
      <c r="E449" s="40" t="str">
        <f t="shared" ref="E449:O449" si="419" xml:space="preserve"> E$446</f>
        <v>Cobalt calculated royalty</v>
      </c>
      <c r="F449" s="40">
        <f t="shared" si="419"/>
        <v>0</v>
      </c>
      <c r="G449" s="40" t="str">
        <f t="shared" si="419"/>
        <v>$ mn</v>
      </c>
      <c r="H449" s="40">
        <f t="shared" si="419"/>
        <v>0</v>
      </c>
      <c r="I449" s="40">
        <f t="shared" si="419"/>
        <v>60.573785207875851</v>
      </c>
      <c r="J449" s="40">
        <f t="shared" si="419"/>
        <v>0</v>
      </c>
      <c r="K449" s="40">
        <f t="shared" si="419"/>
        <v>0</v>
      </c>
      <c r="L449" s="40">
        <f t="shared" si="419"/>
        <v>0</v>
      </c>
      <c r="M449" s="40">
        <f t="shared" si="419"/>
        <v>0</v>
      </c>
      <c r="N449" s="40">
        <f t="shared" si="419"/>
        <v>0</v>
      </c>
      <c r="O449" s="40">
        <f t="shared" si="419"/>
        <v>0</v>
      </c>
      <c r="P449" s="40">
        <f t="shared" ref="P449:AS449" si="420" xml:space="preserve"> P$446</f>
        <v>0</v>
      </c>
      <c r="Q449" s="40">
        <f t="shared" si="420"/>
        <v>0</v>
      </c>
      <c r="R449" s="40">
        <f t="shared" si="420"/>
        <v>0</v>
      </c>
      <c r="S449" s="40">
        <f t="shared" si="420"/>
        <v>0</v>
      </c>
      <c r="T449" s="40">
        <f t="shared" si="420"/>
        <v>0</v>
      </c>
      <c r="U449" s="40">
        <f t="shared" si="420"/>
        <v>0</v>
      </c>
      <c r="V449" s="40">
        <f t="shared" si="420"/>
        <v>0</v>
      </c>
      <c r="W449" s="40">
        <f t="shared" si="420"/>
        <v>0</v>
      </c>
      <c r="X449" s="40">
        <f t="shared" si="420"/>
        <v>1.7482495504319999</v>
      </c>
      <c r="Y449" s="40">
        <f t="shared" si="420"/>
        <v>3.2942181610799999</v>
      </c>
      <c r="Z449" s="40">
        <f t="shared" si="420"/>
        <v>5.9516856278880006</v>
      </c>
      <c r="AA449" s="40">
        <f t="shared" si="420"/>
        <v>10.442579902523999</v>
      </c>
      <c r="AB449" s="40">
        <f t="shared" si="420"/>
        <v>5.0640257798332069</v>
      </c>
      <c r="AC449" s="40">
        <f t="shared" si="420"/>
        <v>1.2790082013106372</v>
      </c>
      <c r="AD449" s="40">
        <f t="shared" si="420"/>
        <v>4.4969561931178479</v>
      </c>
      <c r="AE449" s="40">
        <f t="shared" si="420"/>
        <v>4.4969561931178479</v>
      </c>
      <c r="AF449" s="40">
        <f t="shared" si="420"/>
        <v>4.4969561931178479</v>
      </c>
      <c r="AG449" s="40">
        <f t="shared" si="420"/>
        <v>4.4969561931178479</v>
      </c>
      <c r="AH449" s="40">
        <f t="shared" si="420"/>
        <v>4.4969561931178479</v>
      </c>
      <c r="AI449" s="40">
        <f t="shared" si="420"/>
        <v>4.6017723755482605</v>
      </c>
      <c r="AJ449" s="40">
        <f t="shared" si="420"/>
        <v>4.0122552774619891</v>
      </c>
      <c r="AK449" s="40">
        <f t="shared" si="420"/>
        <v>1.6952093662085321</v>
      </c>
      <c r="AL449" s="40">
        <f t="shared" si="420"/>
        <v>0</v>
      </c>
      <c r="AM449" s="40">
        <f t="shared" si="420"/>
        <v>0</v>
      </c>
      <c r="AN449" s="40">
        <f t="shared" si="420"/>
        <v>0</v>
      </c>
      <c r="AO449" s="40">
        <f t="shared" si="420"/>
        <v>0</v>
      </c>
      <c r="AP449" s="40">
        <f t="shared" si="420"/>
        <v>0</v>
      </c>
      <c r="AQ449" s="40">
        <f t="shared" si="420"/>
        <v>0</v>
      </c>
      <c r="AR449" s="40">
        <f t="shared" si="420"/>
        <v>0</v>
      </c>
      <c r="AS449" s="40">
        <f t="shared" si="420"/>
        <v>0</v>
      </c>
    </row>
    <row r="450" spans="1:45" ht="15" customHeight="1" x14ac:dyDescent="0.3">
      <c r="A450" s="558"/>
      <c r="B450" s="558"/>
      <c r="C450" s="559"/>
      <c r="D450" s="548"/>
      <c r="E450" s="548" t="s">
        <v>192</v>
      </c>
      <c r="F450" s="548"/>
      <c r="G450" s="548" t="s">
        <v>346</v>
      </c>
      <c r="H450" s="747"/>
      <c r="I450" s="747">
        <f>SUM(K450:AS450)</f>
        <v>457.74229303356492</v>
      </c>
      <c r="J450" s="551"/>
      <c r="K450" s="548">
        <f t="shared" ref="K450:O450" si="421">K448 + K449</f>
        <v>0</v>
      </c>
      <c r="L450" s="548">
        <f t="shared" si="421"/>
        <v>0</v>
      </c>
      <c r="M450" s="548">
        <f t="shared" si="421"/>
        <v>0</v>
      </c>
      <c r="N450" s="548">
        <f t="shared" si="421"/>
        <v>0</v>
      </c>
      <c r="O450" s="548">
        <f t="shared" si="421"/>
        <v>0</v>
      </c>
      <c r="P450" s="548">
        <f t="shared" ref="P450:R450" si="422">P448 + P449</f>
        <v>0</v>
      </c>
      <c r="Q450" s="548">
        <f t="shared" si="422"/>
        <v>0</v>
      </c>
      <c r="R450" s="548">
        <f t="shared" si="422"/>
        <v>0</v>
      </c>
      <c r="S450" s="548">
        <f t="shared" ref="S450:AS450" si="423">S448 + S449</f>
        <v>0</v>
      </c>
      <c r="T450" s="548">
        <f t="shared" si="423"/>
        <v>0</v>
      </c>
      <c r="U450" s="548">
        <f t="shared" si="423"/>
        <v>0</v>
      </c>
      <c r="V450" s="548">
        <f t="shared" si="423"/>
        <v>2.0936121000000005</v>
      </c>
      <c r="W450" s="548">
        <f t="shared" si="423"/>
        <v>7.5658579699999997</v>
      </c>
      <c r="X450" s="548">
        <f t="shared" si="423"/>
        <v>16.337975890432002</v>
      </c>
      <c r="Y450" s="548">
        <f t="shared" si="423"/>
        <v>25.546252756080001</v>
      </c>
      <c r="Z450" s="548">
        <f t="shared" si="423"/>
        <v>43.023062557888011</v>
      </c>
      <c r="AA450" s="548">
        <f t="shared" si="423"/>
        <v>43.288425837524002</v>
      </c>
      <c r="AB450" s="548">
        <f t="shared" si="423"/>
        <v>39.115809928424305</v>
      </c>
      <c r="AC450" s="548">
        <f t="shared" si="423"/>
        <v>23.714695633259289</v>
      </c>
      <c r="AD450" s="548">
        <f t="shared" si="423"/>
        <v>36.174084346767344</v>
      </c>
      <c r="AE450" s="548">
        <f t="shared" si="423"/>
        <v>36.23127661610944</v>
      </c>
      <c r="AF450" s="548">
        <f t="shared" si="423"/>
        <v>36.198843743194338</v>
      </c>
      <c r="AG450" s="548">
        <f t="shared" si="423"/>
        <v>36.152806681136795</v>
      </c>
      <c r="AH450" s="548">
        <f t="shared" si="423"/>
        <v>36.201691396517489</v>
      </c>
      <c r="AI450" s="548">
        <f t="shared" si="423"/>
        <v>31.43504126794684</v>
      </c>
      <c r="AJ450" s="548">
        <f t="shared" si="423"/>
        <v>31.402193175662639</v>
      </c>
      <c r="AK450" s="548">
        <f t="shared" si="423"/>
        <v>13.260663132622414</v>
      </c>
      <c r="AL450" s="548">
        <f t="shared" si="423"/>
        <v>0</v>
      </c>
      <c r="AM450" s="548">
        <f t="shared" si="423"/>
        <v>0</v>
      </c>
      <c r="AN450" s="548">
        <f t="shared" si="423"/>
        <v>0</v>
      </c>
      <c r="AO450" s="548">
        <f t="shared" si="423"/>
        <v>0</v>
      </c>
      <c r="AP450" s="548">
        <f t="shared" si="423"/>
        <v>0</v>
      </c>
      <c r="AQ450" s="548">
        <f t="shared" si="423"/>
        <v>0</v>
      </c>
      <c r="AR450" s="548">
        <f t="shared" si="423"/>
        <v>0</v>
      </c>
      <c r="AS450" s="548">
        <f t="shared" si="423"/>
        <v>0</v>
      </c>
    </row>
    <row r="451" spans="1:45" ht="15" customHeight="1" x14ac:dyDescent="0.3">
      <c r="A451" s="560"/>
      <c r="B451" s="560"/>
      <c r="C451" s="561"/>
      <c r="D451" s="540"/>
      <c r="E451" s="540"/>
      <c r="F451" s="540"/>
      <c r="G451" s="540"/>
      <c r="H451" s="569"/>
      <c r="I451" s="569"/>
      <c r="J451" s="562"/>
      <c r="K451" s="540"/>
      <c r="L451" s="540"/>
      <c r="M451" s="540"/>
      <c r="N451" s="540"/>
      <c r="O451" s="540"/>
      <c r="P451" s="540"/>
      <c r="Q451" s="540"/>
      <c r="R451" s="540"/>
      <c r="S451" s="540"/>
      <c r="T451" s="540"/>
      <c r="U451" s="540"/>
      <c r="V451" s="540"/>
      <c r="W451" s="540"/>
      <c r="X451" s="540"/>
      <c r="Y451" s="540"/>
      <c r="Z451" s="540"/>
      <c r="AA451" s="540"/>
      <c r="AB451" s="540"/>
      <c r="AC451" s="540"/>
      <c r="AD451" s="540"/>
      <c r="AE451" s="540"/>
      <c r="AF451" s="540"/>
      <c r="AG451" s="540"/>
      <c r="AH451" s="540"/>
      <c r="AI451" s="540"/>
      <c r="AJ451" s="540"/>
      <c r="AK451" s="540"/>
      <c r="AL451" s="540"/>
      <c r="AM451" s="540"/>
      <c r="AN451" s="540"/>
      <c r="AO451" s="540"/>
      <c r="AP451" s="540"/>
      <c r="AQ451" s="540"/>
      <c r="AR451" s="540"/>
      <c r="AS451" s="540"/>
    </row>
    <row r="452" spans="1:45" ht="15" customHeight="1" x14ac:dyDescent="0.3">
      <c r="A452" s="560"/>
      <c r="B452" s="560"/>
      <c r="C452" s="529" t="s">
        <v>768</v>
      </c>
      <c r="D452" s="540"/>
      <c r="E452" s="540"/>
      <c r="F452" s="540"/>
      <c r="G452" s="540"/>
      <c r="H452" s="569"/>
      <c r="I452" s="569"/>
      <c r="J452" s="562"/>
      <c r="K452" s="540"/>
      <c r="L452" s="540"/>
      <c r="M452" s="540"/>
      <c r="N452" s="540"/>
      <c r="O452" s="540"/>
      <c r="P452" s="540"/>
      <c r="Q452" s="540"/>
      <c r="R452" s="540"/>
      <c r="S452" s="540"/>
      <c r="T452" s="540"/>
      <c r="U452" s="540"/>
      <c r="V452" s="540"/>
      <c r="W452" s="540"/>
      <c r="X452" s="540"/>
      <c r="Y452" s="540"/>
      <c r="Z452" s="540"/>
      <c r="AA452" s="540"/>
      <c r="AB452" s="540"/>
      <c r="AC452" s="540"/>
      <c r="AD452" s="540"/>
      <c r="AE452" s="540"/>
      <c r="AF452" s="540"/>
      <c r="AG452" s="540"/>
      <c r="AH452" s="540"/>
      <c r="AI452" s="540"/>
      <c r="AJ452" s="540"/>
      <c r="AK452" s="540"/>
      <c r="AL452" s="540"/>
      <c r="AM452" s="540"/>
      <c r="AN452" s="540"/>
      <c r="AO452" s="540"/>
      <c r="AP452" s="540"/>
      <c r="AQ452" s="540"/>
      <c r="AR452" s="540"/>
      <c r="AS452" s="540"/>
    </row>
    <row r="453" spans="1:45" ht="15" customHeight="1" x14ac:dyDescent="0.3">
      <c r="E453" s="537" t="str">
        <f xml:space="preserve"> E$407</f>
        <v>Copper net revenue</v>
      </c>
      <c r="F453" s="537">
        <f t="shared" ref="F453:O453" si="424" xml:space="preserve"> F$407</f>
        <v>0</v>
      </c>
      <c r="G453" s="537" t="str">
        <f t="shared" si="424"/>
        <v>$ mn</v>
      </c>
      <c r="H453" s="537">
        <f t="shared" si="424"/>
        <v>0</v>
      </c>
      <c r="I453" s="537">
        <f t="shared" si="424"/>
        <v>11451.489506019687</v>
      </c>
      <c r="J453" s="537">
        <f t="shared" si="424"/>
        <v>0</v>
      </c>
      <c r="K453" s="537">
        <f t="shared" si="424"/>
        <v>0</v>
      </c>
      <c r="L453" s="537">
        <f t="shared" si="424"/>
        <v>0</v>
      </c>
      <c r="M453" s="537">
        <f t="shared" si="424"/>
        <v>0</v>
      </c>
      <c r="N453" s="537">
        <f t="shared" si="424"/>
        <v>0</v>
      </c>
      <c r="O453" s="537">
        <f t="shared" si="424"/>
        <v>0</v>
      </c>
      <c r="P453" s="537">
        <f t="shared" ref="P453:AS453" si="425" xml:space="preserve"> P$407</f>
        <v>0</v>
      </c>
      <c r="Q453" s="537">
        <f t="shared" si="425"/>
        <v>0</v>
      </c>
      <c r="R453" s="537">
        <f t="shared" si="425"/>
        <v>0</v>
      </c>
      <c r="S453" s="537">
        <f t="shared" si="425"/>
        <v>0</v>
      </c>
      <c r="T453" s="537">
        <f t="shared" si="425"/>
        <v>0</v>
      </c>
      <c r="U453" s="537">
        <f t="shared" si="425"/>
        <v>0</v>
      </c>
      <c r="V453" s="537">
        <f t="shared" si="425"/>
        <v>104.68060500000001</v>
      </c>
      <c r="W453" s="537">
        <f t="shared" si="425"/>
        <v>275.12210799999997</v>
      </c>
      <c r="X453" s="537">
        <f t="shared" si="425"/>
        <v>416.84932400000002</v>
      </c>
      <c r="Y453" s="537">
        <f t="shared" si="425"/>
        <v>635.77241700000002</v>
      </c>
      <c r="Z453" s="537">
        <f t="shared" si="425"/>
        <v>1059.1821980000002</v>
      </c>
      <c r="AA453" s="537">
        <f t="shared" si="425"/>
        <v>938.45274099999995</v>
      </c>
      <c r="AB453" s="537">
        <f t="shared" si="425"/>
        <v>972.90811853117418</v>
      </c>
      <c r="AC453" s="537">
        <f t="shared" si="425"/>
        <v>641.01964091281855</v>
      </c>
      <c r="AD453" s="537">
        <f t="shared" si="425"/>
        <v>905.06080438998561</v>
      </c>
      <c r="AE453" s="537">
        <f t="shared" si="425"/>
        <v>906.69486922833119</v>
      </c>
      <c r="AF453" s="537">
        <f t="shared" si="425"/>
        <v>905.7682157164711</v>
      </c>
      <c r="AG453" s="537">
        <f t="shared" si="425"/>
        <v>904.45287108625553</v>
      </c>
      <c r="AH453" s="537">
        <f t="shared" si="425"/>
        <v>905.84957723998957</v>
      </c>
      <c r="AI453" s="537">
        <f t="shared" si="425"/>
        <v>766.66482549710213</v>
      </c>
      <c r="AJ453" s="537">
        <f t="shared" si="425"/>
        <v>782.56965423430415</v>
      </c>
      <c r="AK453" s="537">
        <f t="shared" si="425"/>
        <v>330.44153618325373</v>
      </c>
      <c r="AL453" s="537">
        <f t="shared" si="425"/>
        <v>0</v>
      </c>
      <c r="AM453" s="537">
        <f t="shared" si="425"/>
        <v>0</v>
      </c>
      <c r="AN453" s="537">
        <f t="shared" si="425"/>
        <v>0</v>
      </c>
      <c r="AO453" s="537">
        <f t="shared" si="425"/>
        <v>0</v>
      </c>
      <c r="AP453" s="537">
        <f t="shared" si="425"/>
        <v>0</v>
      </c>
      <c r="AQ453" s="537">
        <f t="shared" si="425"/>
        <v>0</v>
      </c>
      <c r="AR453" s="537">
        <f t="shared" si="425"/>
        <v>0</v>
      </c>
      <c r="AS453" s="537">
        <f t="shared" si="425"/>
        <v>0</v>
      </c>
    </row>
    <row r="454" spans="1:45" ht="15" customHeight="1" x14ac:dyDescent="0.3">
      <c r="E454" s="40" t="str">
        <f t="shared" ref="E454:O454" si="426" xml:space="preserve"> E$440</f>
        <v>Copper calculated royalty</v>
      </c>
      <c r="F454" s="40">
        <f t="shared" si="426"/>
        <v>0</v>
      </c>
      <c r="G454" s="40" t="str">
        <f t="shared" si="426"/>
        <v>$ mn</v>
      </c>
      <c r="H454" s="40">
        <f t="shared" si="426"/>
        <v>0</v>
      </c>
      <c r="I454" s="40">
        <f t="shared" si="426"/>
        <v>397.16850782568901</v>
      </c>
      <c r="J454" s="40">
        <f t="shared" si="426"/>
        <v>0</v>
      </c>
      <c r="K454" s="40">
        <f t="shared" si="426"/>
        <v>0</v>
      </c>
      <c r="L454" s="40">
        <f t="shared" si="426"/>
        <v>0</v>
      </c>
      <c r="M454" s="40">
        <f t="shared" si="426"/>
        <v>0</v>
      </c>
      <c r="N454" s="40">
        <f t="shared" si="426"/>
        <v>0</v>
      </c>
      <c r="O454" s="40">
        <f t="shared" si="426"/>
        <v>0</v>
      </c>
      <c r="P454" s="40">
        <f t="shared" ref="P454:AS454" si="427" xml:space="preserve"> P$440</f>
        <v>0</v>
      </c>
      <c r="Q454" s="40">
        <f t="shared" si="427"/>
        <v>0</v>
      </c>
      <c r="R454" s="40">
        <f t="shared" si="427"/>
        <v>0</v>
      </c>
      <c r="S454" s="40">
        <f t="shared" si="427"/>
        <v>0</v>
      </c>
      <c r="T454" s="40">
        <f t="shared" si="427"/>
        <v>0</v>
      </c>
      <c r="U454" s="40">
        <f t="shared" si="427"/>
        <v>0</v>
      </c>
      <c r="V454" s="40">
        <f t="shared" si="427"/>
        <v>2.0936121000000005</v>
      </c>
      <c r="W454" s="40">
        <f t="shared" si="427"/>
        <v>7.5658579699999997</v>
      </c>
      <c r="X454" s="40">
        <f t="shared" si="427"/>
        <v>14.589726340000002</v>
      </c>
      <c r="Y454" s="40">
        <f t="shared" si="427"/>
        <v>22.252034595000001</v>
      </c>
      <c r="Z454" s="40">
        <f t="shared" si="427"/>
        <v>37.071376930000014</v>
      </c>
      <c r="AA454" s="40">
        <f t="shared" si="427"/>
        <v>32.845845935</v>
      </c>
      <c r="AB454" s="40">
        <f t="shared" si="427"/>
        <v>34.051784148591096</v>
      </c>
      <c r="AC454" s="40">
        <f t="shared" si="427"/>
        <v>22.435687431948651</v>
      </c>
      <c r="AD454" s="40">
        <f t="shared" si="427"/>
        <v>31.677128153649498</v>
      </c>
      <c r="AE454" s="40">
        <f t="shared" si="427"/>
        <v>31.734320422991594</v>
      </c>
      <c r="AF454" s="40">
        <f t="shared" si="427"/>
        <v>31.701887550076492</v>
      </c>
      <c r="AG454" s="40">
        <f t="shared" si="427"/>
        <v>31.655850488018945</v>
      </c>
      <c r="AH454" s="40">
        <f t="shared" si="427"/>
        <v>31.70473520339964</v>
      </c>
      <c r="AI454" s="40">
        <f t="shared" si="427"/>
        <v>26.833268892398578</v>
      </c>
      <c r="AJ454" s="40">
        <f t="shared" si="427"/>
        <v>27.38993789820065</v>
      </c>
      <c r="AK454" s="40">
        <f t="shared" si="427"/>
        <v>11.565453766413881</v>
      </c>
      <c r="AL454" s="40">
        <f t="shared" si="427"/>
        <v>0</v>
      </c>
      <c r="AM454" s="40">
        <f t="shared" si="427"/>
        <v>0</v>
      </c>
      <c r="AN454" s="40">
        <f t="shared" si="427"/>
        <v>0</v>
      </c>
      <c r="AO454" s="40">
        <f t="shared" si="427"/>
        <v>0</v>
      </c>
      <c r="AP454" s="40">
        <f t="shared" si="427"/>
        <v>0</v>
      </c>
      <c r="AQ454" s="40">
        <f t="shared" si="427"/>
        <v>0</v>
      </c>
      <c r="AR454" s="40">
        <f t="shared" si="427"/>
        <v>0</v>
      </c>
      <c r="AS454" s="40">
        <f t="shared" si="427"/>
        <v>0</v>
      </c>
    </row>
    <row r="455" spans="1:45" ht="15" customHeight="1" x14ac:dyDescent="0.3">
      <c r="A455" s="533"/>
      <c r="B455" s="533"/>
      <c r="C455" s="534"/>
      <c r="D455" s="535"/>
      <c r="E455" s="535" t="s">
        <v>812</v>
      </c>
      <c r="F455" s="535"/>
      <c r="G455" s="535" t="s">
        <v>346</v>
      </c>
      <c r="H455" s="204"/>
      <c r="I455" s="204">
        <f>SUM(K455:AS455)</f>
        <v>11054.320998194</v>
      </c>
      <c r="J455" s="536"/>
      <c r="K455" s="535">
        <f t="shared" ref="K455:O455" si="428">K453 - K454</f>
        <v>0</v>
      </c>
      <c r="L455" s="535">
        <f t="shared" si="428"/>
        <v>0</v>
      </c>
      <c r="M455" s="535">
        <f t="shared" si="428"/>
        <v>0</v>
      </c>
      <c r="N455" s="535">
        <f t="shared" si="428"/>
        <v>0</v>
      </c>
      <c r="O455" s="535">
        <f t="shared" si="428"/>
        <v>0</v>
      </c>
      <c r="P455" s="535">
        <f>P453 - P454</f>
        <v>0</v>
      </c>
      <c r="Q455" s="535">
        <f t="shared" ref="Q455:AS455" si="429">Q453 - Q454</f>
        <v>0</v>
      </c>
      <c r="R455" s="535">
        <f t="shared" si="429"/>
        <v>0</v>
      </c>
      <c r="S455" s="535">
        <f t="shared" si="429"/>
        <v>0</v>
      </c>
      <c r="T455" s="535">
        <f t="shared" si="429"/>
        <v>0</v>
      </c>
      <c r="U455" s="535">
        <f t="shared" si="429"/>
        <v>0</v>
      </c>
      <c r="V455" s="535">
        <f t="shared" si="429"/>
        <v>102.58699290000001</v>
      </c>
      <c r="W455" s="535">
        <f t="shared" si="429"/>
        <v>267.55625002999994</v>
      </c>
      <c r="X455" s="535">
        <f t="shared" si="429"/>
        <v>402.25959766</v>
      </c>
      <c r="Y455" s="535">
        <f t="shared" si="429"/>
        <v>613.52038240499996</v>
      </c>
      <c r="Z455" s="535">
        <f t="shared" si="429"/>
        <v>1022.1108210700002</v>
      </c>
      <c r="AA455" s="535">
        <f t="shared" si="429"/>
        <v>905.60689506499989</v>
      </c>
      <c r="AB455" s="535">
        <f t="shared" si="429"/>
        <v>938.8563343825831</v>
      </c>
      <c r="AC455" s="535">
        <f t="shared" si="429"/>
        <v>618.58395348086992</v>
      </c>
      <c r="AD455" s="535">
        <f t="shared" si="429"/>
        <v>873.3836762363361</v>
      </c>
      <c r="AE455" s="535">
        <f t="shared" si="429"/>
        <v>874.96054880533961</v>
      </c>
      <c r="AF455" s="535">
        <f t="shared" si="429"/>
        <v>874.06632816639467</v>
      </c>
      <c r="AG455" s="535">
        <f t="shared" si="429"/>
        <v>872.7970205982366</v>
      </c>
      <c r="AH455" s="535">
        <f t="shared" si="429"/>
        <v>874.14484203658992</v>
      </c>
      <c r="AI455" s="535">
        <f t="shared" si="429"/>
        <v>739.83155660470356</v>
      </c>
      <c r="AJ455" s="535">
        <f t="shared" si="429"/>
        <v>755.17971633610352</v>
      </c>
      <c r="AK455" s="535">
        <f t="shared" si="429"/>
        <v>318.87608241683984</v>
      </c>
      <c r="AL455" s="535">
        <f t="shared" si="429"/>
        <v>0</v>
      </c>
      <c r="AM455" s="535">
        <f t="shared" si="429"/>
        <v>0</v>
      </c>
      <c r="AN455" s="535">
        <f t="shared" si="429"/>
        <v>0</v>
      </c>
      <c r="AO455" s="535">
        <f t="shared" si="429"/>
        <v>0</v>
      </c>
      <c r="AP455" s="535">
        <f t="shared" si="429"/>
        <v>0</v>
      </c>
      <c r="AQ455" s="535">
        <f t="shared" si="429"/>
        <v>0</v>
      </c>
      <c r="AR455" s="535">
        <f t="shared" si="429"/>
        <v>0</v>
      </c>
      <c r="AS455" s="535">
        <f t="shared" si="429"/>
        <v>0</v>
      </c>
    </row>
    <row r="456" spans="1:45" ht="15" customHeight="1" x14ac:dyDescent="0.3">
      <c r="A456" s="560"/>
      <c r="B456" s="560"/>
      <c r="C456" s="561"/>
      <c r="D456" s="540"/>
      <c r="E456" s="540"/>
      <c r="F456" s="540"/>
      <c r="G456" s="540"/>
      <c r="H456" s="569"/>
      <c r="I456" s="569"/>
      <c r="J456" s="562"/>
      <c r="K456" s="540"/>
      <c r="L456" s="540"/>
      <c r="M456" s="540"/>
      <c r="N456" s="540"/>
      <c r="O456" s="540"/>
      <c r="P456" s="540"/>
      <c r="Q456" s="540"/>
      <c r="R456" s="540"/>
      <c r="S456" s="540"/>
      <c r="T456" s="540"/>
      <c r="U456" s="540"/>
      <c r="V456" s="540"/>
      <c r="W456" s="540"/>
      <c r="X456" s="540"/>
      <c r="Y456" s="540"/>
      <c r="Z456" s="540"/>
      <c r="AA456" s="540"/>
      <c r="AB456" s="540"/>
      <c r="AC456" s="540"/>
      <c r="AD456" s="540"/>
      <c r="AE456" s="540"/>
      <c r="AF456" s="540"/>
      <c r="AG456" s="540"/>
      <c r="AH456" s="540"/>
      <c r="AI456" s="540"/>
      <c r="AJ456" s="540"/>
      <c r="AK456" s="540"/>
      <c r="AL456" s="540"/>
      <c r="AM456" s="540"/>
      <c r="AN456" s="540"/>
      <c r="AO456" s="540"/>
      <c r="AP456" s="540"/>
      <c r="AQ456" s="540"/>
      <c r="AR456" s="540"/>
      <c r="AS456" s="540"/>
    </row>
    <row r="457" spans="1:45" ht="15" customHeight="1" x14ac:dyDescent="0.3">
      <c r="E457" s="538" t="str">
        <f xml:space="preserve"> E$408</f>
        <v>Cobalt net revenue</v>
      </c>
      <c r="F457" s="538">
        <f t="shared" ref="F457:O457" si="430" xml:space="preserve"> F$408</f>
        <v>0</v>
      </c>
      <c r="G457" s="538" t="str">
        <f t="shared" si="430"/>
        <v>$ mn</v>
      </c>
      <c r="H457" s="538">
        <f t="shared" si="430"/>
        <v>0</v>
      </c>
      <c r="I457" s="538">
        <f t="shared" si="430"/>
        <v>605.73785207875858</v>
      </c>
      <c r="J457" s="538">
        <f t="shared" si="430"/>
        <v>0</v>
      </c>
      <c r="K457" s="538">
        <f t="shared" si="430"/>
        <v>0</v>
      </c>
      <c r="L457" s="538">
        <f t="shared" si="430"/>
        <v>0</v>
      </c>
      <c r="M457" s="538">
        <f t="shared" si="430"/>
        <v>0</v>
      </c>
      <c r="N457" s="538">
        <f t="shared" si="430"/>
        <v>0</v>
      </c>
      <c r="O457" s="538">
        <f t="shared" si="430"/>
        <v>0</v>
      </c>
      <c r="P457" s="538">
        <f t="shared" ref="P457:AS457" si="431" xml:space="preserve"> P$408</f>
        <v>0</v>
      </c>
      <c r="Q457" s="538">
        <f t="shared" si="431"/>
        <v>0</v>
      </c>
      <c r="R457" s="538">
        <f t="shared" si="431"/>
        <v>0</v>
      </c>
      <c r="S457" s="538">
        <f t="shared" si="431"/>
        <v>0</v>
      </c>
      <c r="T457" s="538">
        <f t="shared" si="431"/>
        <v>0</v>
      </c>
      <c r="U457" s="538">
        <f t="shared" si="431"/>
        <v>0</v>
      </c>
      <c r="V457" s="538">
        <f t="shared" si="431"/>
        <v>0</v>
      </c>
      <c r="W457" s="538">
        <f t="shared" si="431"/>
        <v>0</v>
      </c>
      <c r="X457" s="538">
        <f t="shared" si="431"/>
        <v>17.482495504319999</v>
      </c>
      <c r="Y457" s="538">
        <f t="shared" si="431"/>
        <v>32.942181610799999</v>
      </c>
      <c r="Z457" s="538">
        <f t="shared" si="431"/>
        <v>59.516856278879999</v>
      </c>
      <c r="AA457" s="538">
        <f t="shared" si="431"/>
        <v>104.42579902523998</v>
      </c>
      <c r="AB457" s="538">
        <f t="shared" si="431"/>
        <v>50.640257798332065</v>
      </c>
      <c r="AC457" s="538">
        <f t="shared" si="431"/>
        <v>12.790082013106371</v>
      </c>
      <c r="AD457" s="538">
        <f t="shared" si="431"/>
        <v>44.969561931178475</v>
      </c>
      <c r="AE457" s="538">
        <f t="shared" si="431"/>
        <v>44.969561931178475</v>
      </c>
      <c r="AF457" s="538">
        <f t="shared" si="431"/>
        <v>44.969561931178475</v>
      </c>
      <c r="AG457" s="538">
        <f t="shared" si="431"/>
        <v>44.969561931178475</v>
      </c>
      <c r="AH457" s="538">
        <f t="shared" si="431"/>
        <v>44.969561931178475</v>
      </c>
      <c r="AI457" s="538">
        <f t="shared" si="431"/>
        <v>46.017723755482606</v>
      </c>
      <c r="AJ457" s="538">
        <f t="shared" si="431"/>
        <v>40.122552774619891</v>
      </c>
      <c r="AK457" s="538">
        <f t="shared" si="431"/>
        <v>16.952093662085321</v>
      </c>
      <c r="AL457" s="538">
        <f t="shared" si="431"/>
        <v>0</v>
      </c>
      <c r="AM457" s="538">
        <f t="shared" si="431"/>
        <v>0</v>
      </c>
      <c r="AN457" s="538">
        <f t="shared" si="431"/>
        <v>0</v>
      </c>
      <c r="AO457" s="538">
        <f t="shared" si="431"/>
        <v>0</v>
      </c>
      <c r="AP457" s="538">
        <f t="shared" si="431"/>
        <v>0</v>
      </c>
      <c r="AQ457" s="538">
        <f t="shared" si="431"/>
        <v>0</v>
      </c>
      <c r="AR457" s="538">
        <f t="shared" si="431"/>
        <v>0</v>
      </c>
      <c r="AS457" s="538">
        <f t="shared" si="431"/>
        <v>0</v>
      </c>
    </row>
    <row r="458" spans="1:45" ht="15" customHeight="1" x14ac:dyDescent="0.3">
      <c r="E458" s="40" t="str">
        <f t="shared" ref="E458:O458" si="432" xml:space="preserve"> E$446</f>
        <v>Cobalt calculated royalty</v>
      </c>
      <c r="F458" s="40">
        <f t="shared" si="432"/>
        <v>0</v>
      </c>
      <c r="G458" s="40" t="str">
        <f t="shared" si="432"/>
        <v>$ mn</v>
      </c>
      <c r="H458" s="40">
        <f t="shared" si="432"/>
        <v>0</v>
      </c>
      <c r="I458" s="40">
        <f t="shared" si="432"/>
        <v>60.573785207875851</v>
      </c>
      <c r="J458" s="40">
        <f t="shared" si="432"/>
        <v>0</v>
      </c>
      <c r="K458" s="40">
        <f t="shared" si="432"/>
        <v>0</v>
      </c>
      <c r="L458" s="40">
        <f t="shared" si="432"/>
        <v>0</v>
      </c>
      <c r="M458" s="40">
        <f t="shared" si="432"/>
        <v>0</v>
      </c>
      <c r="N458" s="40">
        <f t="shared" si="432"/>
        <v>0</v>
      </c>
      <c r="O458" s="40">
        <f t="shared" si="432"/>
        <v>0</v>
      </c>
      <c r="P458" s="40">
        <f t="shared" ref="P458:AS458" si="433" xml:space="preserve"> P$446</f>
        <v>0</v>
      </c>
      <c r="Q458" s="40">
        <f t="shared" si="433"/>
        <v>0</v>
      </c>
      <c r="R458" s="40">
        <f t="shared" si="433"/>
        <v>0</v>
      </c>
      <c r="S458" s="40">
        <f t="shared" si="433"/>
        <v>0</v>
      </c>
      <c r="T458" s="40">
        <f t="shared" si="433"/>
        <v>0</v>
      </c>
      <c r="U458" s="40">
        <f t="shared" si="433"/>
        <v>0</v>
      </c>
      <c r="V458" s="40">
        <f t="shared" si="433"/>
        <v>0</v>
      </c>
      <c r="W458" s="40">
        <f t="shared" si="433"/>
        <v>0</v>
      </c>
      <c r="X458" s="40">
        <f t="shared" si="433"/>
        <v>1.7482495504319999</v>
      </c>
      <c r="Y458" s="40">
        <f t="shared" si="433"/>
        <v>3.2942181610799999</v>
      </c>
      <c r="Z458" s="40">
        <f t="shared" si="433"/>
        <v>5.9516856278880006</v>
      </c>
      <c r="AA458" s="40">
        <f t="shared" si="433"/>
        <v>10.442579902523999</v>
      </c>
      <c r="AB458" s="40">
        <f t="shared" si="433"/>
        <v>5.0640257798332069</v>
      </c>
      <c r="AC458" s="40">
        <f t="shared" si="433"/>
        <v>1.2790082013106372</v>
      </c>
      <c r="AD458" s="40">
        <f t="shared" si="433"/>
        <v>4.4969561931178479</v>
      </c>
      <c r="AE458" s="40">
        <f t="shared" si="433"/>
        <v>4.4969561931178479</v>
      </c>
      <c r="AF458" s="40">
        <f t="shared" si="433"/>
        <v>4.4969561931178479</v>
      </c>
      <c r="AG458" s="40">
        <f t="shared" si="433"/>
        <v>4.4969561931178479</v>
      </c>
      <c r="AH458" s="40">
        <f t="shared" si="433"/>
        <v>4.4969561931178479</v>
      </c>
      <c r="AI458" s="40">
        <f t="shared" si="433"/>
        <v>4.6017723755482605</v>
      </c>
      <c r="AJ458" s="40">
        <f t="shared" si="433"/>
        <v>4.0122552774619891</v>
      </c>
      <c r="AK458" s="40">
        <f t="shared" si="433"/>
        <v>1.6952093662085321</v>
      </c>
      <c r="AL458" s="40">
        <f t="shared" si="433"/>
        <v>0</v>
      </c>
      <c r="AM458" s="40">
        <f t="shared" si="433"/>
        <v>0</v>
      </c>
      <c r="AN458" s="40">
        <f t="shared" si="433"/>
        <v>0</v>
      </c>
      <c r="AO458" s="40">
        <f t="shared" si="433"/>
        <v>0</v>
      </c>
      <c r="AP458" s="40">
        <f t="shared" si="433"/>
        <v>0</v>
      </c>
      <c r="AQ458" s="40">
        <f t="shared" si="433"/>
        <v>0</v>
      </c>
      <c r="AR458" s="40">
        <f t="shared" si="433"/>
        <v>0</v>
      </c>
      <c r="AS458" s="40">
        <f t="shared" si="433"/>
        <v>0</v>
      </c>
    </row>
    <row r="459" spans="1:45" ht="15" customHeight="1" x14ac:dyDescent="0.3">
      <c r="A459" s="533"/>
      <c r="B459" s="533"/>
      <c r="C459" s="534"/>
      <c r="D459" s="535"/>
      <c r="E459" s="535" t="s">
        <v>813</v>
      </c>
      <c r="F459" s="535"/>
      <c r="G459" s="535" t="s">
        <v>346</v>
      </c>
      <c r="H459" s="204"/>
      <c r="I459" s="204">
        <f>SUM(K459:AS459)</f>
        <v>545.16406687088283</v>
      </c>
      <c r="J459" s="536"/>
      <c r="K459" s="535">
        <f t="shared" ref="K459:O459" si="434">K457 - K458</f>
        <v>0</v>
      </c>
      <c r="L459" s="535">
        <f t="shared" si="434"/>
        <v>0</v>
      </c>
      <c r="M459" s="535">
        <f t="shared" si="434"/>
        <v>0</v>
      </c>
      <c r="N459" s="535">
        <f t="shared" si="434"/>
        <v>0</v>
      </c>
      <c r="O459" s="535">
        <f t="shared" si="434"/>
        <v>0</v>
      </c>
      <c r="P459" s="535">
        <f>P457 - P458</f>
        <v>0</v>
      </c>
      <c r="Q459" s="535">
        <f t="shared" ref="Q459" si="435">Q457 - Q458</f>
        <v>0</v>
      </c>
      <c r="R459" s="535">
        <f t="shared" ref="R459" si="436">R457 - R458</f>
        <v>0</v>
      </c>
      <c r="S459" s="535">
        <f t="shared" ref="S459" si="437">S457 - S458</f>
        <v>0</v>
      </c>
      <c r="T459" s="535">
        <f t="shared" ref="T459" si="438">T457 - T458</f>
        <v>0</v>
      </c>
      <c r="U459" s="535">
        <f t="shared" ref="U459" si="439">U457 - U458</f>
        <v>0</v>
      </c>
      <c r="V459" s="535">
        <f t="shared" ref="V459" si="440">V457 - V458</f>
        <v>0</v>
      </c>
      <c r="W459" s="535">
        <f t="shared" ref="W459" si="441">W457 - W458</f>
        <v>0</v>
      </c>
      <c r="X459" s="535">
        <f t="shared" ref="X459" si="442">X457 - X458</f>
        <v>15.734245953887999</v>
      </c>
      <c r="Y459" s="535">
        <f t="shared" ref="Y459" si="443">Y457 - Y458</f>
        <v>29.647963449719999</v>
      </c>
      <c r="Z459" s="535">
        <f t="shared" ref="Z459" si="444">Z457 - Z458</f>
        <v>53.565170650992002</v>
      </c>
      <c r="AA459" s="535">
        <f t="shared" ref="AA459" si="445">AA457 - AA458</f>
        <v>93.98321912271598</v>
      </c>
      <c r="AB459" s="535">
        <f t="shared" ref="AB459" si="446">AB457 - AB458</f>
        <v>45.576232018498857</v>
      </c>
      <c r="AC459" s="535">
        <f t="shared" ref="AC459" si="447">AC457 - AC458</f>
        <v>11.511073811795734</v>
      </c>
      <c r="AD459" s="535">
        <f t="shared" ref="AD459" si="448">AD457 - AD458</f>
        <v>40.472605738060629</v>
      </c>
      <c r="AE459" s="535">
        <f t="shared" ref="AE459" si="449">AE457 - AE458</f>
        <v>40.472605738060629</v>
      </c>
      <c r="AF459" s="535">
        <f t="shared" ref="AF459" si="450">AF457 - AF458</f>
        <v>40.472605738060629</v>
      </c>
      <c r="AG459" s="535">
        <f t="shared" ref="AG459" si="451">AG457 - AG458</f>
        <v>40.472605738060629</v>
      </c>
      <c r="AH459" s="535">
        <f t="shared" ref="AH459" si="452">AH457 - AH458</f>
        <v>40.472605738060629</v>
      </c>
      <c r="AI459" s="535">
        <f t="shared" ref="AI459" si="453">AI457 - AI458</f>
        <v>41.415951379934349</v>
      </c>
      <c r="AJ459" s="535">
        <f t="shared" ref="AJ459" si="454">AJ457 - AJ458</f>
        <v>36.110297497157902</v>
      </c>
      <c r="AK459" s="535">
        <f t="shared" ref="AK459" si="455">AK457 - AK458</f>
        <v>15.256884295876789</v>
      </c>
      <c r="AL459" s="535">
        <f t="shared" ref="AL459" si="456">AL457 - AL458</f>
        <v>0</v>
      </c>
      <c r="AM459" s="535">
        <f t="shared" ref="AM459" si="457">AM457 - AM458</f>
        <v>0</v>
      </c>
      <c r="AN459" s="535">
        <f t="shared" ref="AN459" si="458">AN457 - AN458</f>
        <v>0</v>
      </c>
      <c r="AO459" s="535">
        <f t="shared" ref="AO459" si="459">AO457 - AO458</f>
        <v>0</v>
      </c>
      <c r="AP459" s="535">
        <f t="shared" ref="AP459" si="460">AP457 - AP458</f>
        <v>0</v>
      </c>
      <c r="AQ459" s="535">
        <f t="shared" ref="AQ459" si="461">AQ457 - AQ458</f>
        <v>0</v>
      </c>
      <c r="AR459" s="535">
        <f t="shared" ref="AR459" si="462">AR457 - AR458</f>
        <v>0</v>
      </c>
      <c r="AS459" s="535">
        <f>AS457 - AS458</f>
        <v>0</v>
      </c>
    </row>
    <row r="460" spans="1:45" ht="15" customHeight="1" x14ac:dyDescent="0.3">
      <c r="I460" s="116"/>
      <c r="AL460" s="42"/>
      <c r="AM460" s="42"/>
      <c r="AN460" s="42"/>
      <c r="AO460" s="42"/>
      <c r="AP460" s="42"/>
      <c r="AQ460" s="42"/>
      <c r="AR460" s="42"/>
      <c r="AS460" s="42"/>
    </row>
    <row r="461" spans="1:45" ht="15" customHeight="1" x14ac:dyDescent="0.3">
      <c r="E461" s="40" t="str">
        <f xml:space="preserve"> E$455</f>
        <v>Copper net revenue after royalty</v>
      </c>
      <c r="F461" s="40">
        <f t="shared" ref="F461:O461" si="463" xml:space="preserve"> F$455</f>
        <v>0</v>
      </c>
      <c r="G461" s="40" t="str">
        <f t="shared" si="463"/>
        <v>$ mn</v>
      </c>
      <c r="H461" s="40">
        <f t="shared" si="463"/>
        <v>0</v>
      </c>
      <c r="I461" s="40">
        <f t="shared" si="463"/>
        <v>11054.320998194</v>
      </c>
      <c r="J461" s="40">
        <f t="shared" si="463"/>
        <v>0</v>
      </c>
      <c r="K461" s="40">
        <f t="shared" si="463"/>
        <v>0</v>
      </c>
      <c r="L461" s="40">
        <f t="shared" si="463"/>
        <v>0</v>
      </c>
      <c r="M461" s="40">
        <f t="shared" si="463"/>
        <v>0</v>
      </c>
      <c r="N461" s="40">
        <f t="shared" si="463"/>
        <v>0</v>
      </c>
      <c r="O461" s="40">
        <f t="shared" si="463"/>
        <v>0</v>
      </c>
      <c r="P461" s="40">
        <f t="shared" ref="P461:AS461" si="464" xml:space="preserve"> P$455</f>
        <v>0</v>
      </c>
      <c r="Q461" s="40">
        <f t="shared" si="464"/>
        <v>0</v>
      </c>
      <c r="R461" s="40">
        <f t="shared" si="464"/>
        <v>0</v>
      </c>
      <c r="S461" s="40">
        <f t="shared" si="464"/>
        <v>0</v>
      </c>
      <c r="T461" s="40">
        <f t="shared" si="464"/>
        <v>0</v>
      </c>
      <c r="U461" s="40">
        <f t="shared" si="464"/>
        <v>0</v>
      </c>
      <c r="V461" s="40">
        <f t="shared" si="464"/>
        <v>102.58699290000001</v>
      </c>
      <c r="W461" s="40">
        <f t="shared" si="464"/>
        <v>267.55625002999994</v>
      </c>
      <c r="X461" s="40">
        <f t="shared" si="464"/>
        <v>402.25959766</v>
      </c>
      <c r="Y461" s="40">
        <f t="shared" si="464"/>
        <v>613.52038240499996</v>
      </c>
      <c r="Z461" s="40">
        <f t="shared" si="464"/>
        <v>1022.1108210700002</v>
      </c>
      <c r="AA461" s="40">
        <f t="shared" si="464"/>
        <v>905.60689506499989</v>
      </c>
      <c r="AB461" s="40">
        <f t="shared" si="464"/>
        <v>938.8563343825831</v>
      </c>
      <c r="AC461" s="40">
        <f t="shared" si="464"/>
        <v>618.58395348086992</v>
      </c>
      <c r="AD461" s="40">
        <f t="shared" si="464"/>
        <v>873.3836762363361</v>
      </c>
      <c r="AE461" s="40">
        <f t="shared" si="464"/>
        <v>874.96054880533961</v>
      </c>
      <c r="AF461" s="40">
        <f t="shared" si="464"/>
        <v>874.06632816639467</v>
      </c>
      <c r="AG461" s="40">
        <f t="shared" si="464"/>
        <v>872.7970205982366</v>
      </c>
      <c r="AH461" s="40">
        <f t="shared" si="464"/>
        <v>874.14484203658992</v>
      </c>
      <c r="AI461" s="40">
        <f t="shared" si="464"/>
        <v>739.83155660470356</v>
      </c>
      <c r="AJ461" s="40">
        <f t="shared" si="464"/>
        <v>755.17971633610352</v>
      </c>
      <c r="AK461" s="40">
        <f t="shared" si="464"/>
        <v>318.87608241683984</v>
      </c>
      <c r="AL461" s="40">
        <f t="shared" si="464"/>
        <v>0</v>
      </c>
      <c r="AM461" s="40">
        <f t="shared" si="464"/>
        <v>0</v>
      </c>
      <c r="AN461" s="40">
        <f t="shared" si="464"/>
        <v>0</v>
      </c>
      <c r="AO461" s="40">
        <f t="shared" si="464"/>
        <v>0</v>
      </c>
      <c r="AP461" s="40">
        <f t="shared" si="464"/>
        <v>0</v>
      </c>
      <c r="AQ461" s="40">
        <f t="shared" si="464"/>
        <v>0</v>
      </c>
      <c r="AR461" s="40">
        <f t="shared" si="464"/>
        <v>0</v>
      </c>
      <c r="AS461" s="40">
        <f t="shared" si="464"/>
        <v>0</v>
      </c>
    </row>
    <row r="462" spans="1:45" ht="15" customHeight="1" x14ac:dyDescent="0.3">
      <c r="E462" s="40" t="str">
        <f xml:space="preserve"> E$459</f>
        <v>Cobalt net revenue after royalty</v>
      </c>
      <c r="F462" s="40">
        <f t="shared" ref="F462:O462" si="465" xml:space="preserve"> F$459</f>
        <v>0</v>
      </c>
      <c r="G462" s="40" t="str">
        <f t="shared" si="465"/>
        <v>$ mn</v>
      </c>
      <c r="H462" s="40">
        <f t="shared" si="465"/>
        <v>0</v>
      </c>
      <c r="I462" s="40">
        <f t="shared" si="465"/>
        <v>545.16406687088283</v>
      </c>
      <c r="J462" s="40">
        <f t="shared" si="465"/>
        <v>0</v>
      </c>
      <c r="K462" s="40">
        <f t="shared" si="465"/>
        <v>0</v>
      </c>
      <c r="L462" s="40">
        <f t="shared" si="465"/>
        <v>0</v>
      </c>
      <c r="M462" s="40">
        <f t="shared" si="465"/>
        <v>0</v>
      </c>
      <c r="N462" s="40">
        <f t="shared" si="465"/>
        <v>0</v>
      </c>
      <c r="O462" s="40">
        <f t="shared" si="465"/>
        <v>0</v>
      </c>
      <c r="P462" s="40">
        <f t="shared" ref="P462:AS462" si="466" xml:space="preserve"> P$459</f>
        <v>0</v>
      </c>
      <c r="Q462" s="40">
        <f t="shared" si="466"/>
        <v>0</v>
      </c>
      <c r="R462" s="40">
        <f t="shared" si="466"/>
        <v>0</v>
      </c>
      <c r="S462" s="40">
        <f t="shared" si="466"/>
        <v>0</v>
      </c>
      <c r="T462" s="40">
        <f t="shared" si="466"/>
        <v>0</v>
      </c>
      <c r="U462" s="40">
        <f t="shared" si="466"/>
        <v>0</v>
      </c>
      <c r="V462" s="40">
        <f t="shared" si="466"/>
        <v>0</v>
      </c>
      <c r="W462" s="40">
        <f t="shared" si="466"/>
        <v>0</v>
      </c>
      <c r="X462" s="40">
        <f t="shared" si="466"/>
        <v>15.734245953887999</v>
      </c>
      <c r="Y462" s="40">
        <f t="shared" si="466"/>
        <v>29.647963449719999</v>
      </c>
      <c r="Z462" s="40">
        <f t="shared" si="466"/>
        <v>53.565170650992002</v>
      </c>
      <c r="AA462" s="40">
        <f t="shared" si="466"/>
        <v>93.98321912271598</v>
      </c>
      <c r="AB462" s="40">
        <f t="shared" si="466"/>
        <v>45.576232018498857</v>
      </c>
      <c r="AC462" s="40">
        <f t="shared" si="466"/>
        <v>11.511073811795734</v>
      </c>
      <c r="AD462" s="40">
        <f t="shared" si="466"/>
        <v>40.472605738060629</v>
      </c>
      <c r="AE462" s="40">
        <f t="shared" si="466"/>
        <v>40.472605738060629</v>
      </c>
      <c r="AF462" s="40">
        <f t="shared" si="466"/>
        <v>40.472605738060629</v>
      </c>
      <c r="AG462" s="40">
        <f t="shared" si="466"/>
        <v>40.472605738060629</v>
      </c>
      <c r="AH462" s="40">
        <f t="shared" si="466"/>
        <v>40.472605738060629</v>
      </c>
      <c r="AI462" s="40">
        <f t="shared" si="466"/>
        <v>41.415951379934349</v>
      </c>
      <c r="AJ462" s="40">
        <f t="shared" si="466"/>
        <v>36.110297497157902</v>
      </c>
      <c r="AK462" s="40">
        <f t="shared" si="466"/>
        <v>15.256884295876789</v>
      </c>
      <c r="AL462" s="40">
        <f t="shared" si="466"/>
        <v>0</v>
      </c>
      <c r="AM462" s="40">
        <f t="shared" si="466"/>
        <v>0</v>
      </c>
      <c r="AN462" s="40">
        <f t="shared" si="466"/>
        <v>0</v>
      </c>
      <c r="AO462" s="40">
        <f t="shared" si="466"/>
        <v>0</v>
      </c>
      <c r="AP462" s="40">
        <f t="shared" si="466"/>
        <v>0</v>
      </c>
      <c r="AQ462" s="40">
        <f t="shared" si="466"/>
        <v>0</v>
      </c>
      <c r="AR462" s="40">
        <f t="shared" si="466"/>
        <v>0</v>
      </c>
      <c r="AS462" s="40">
        <f t="shared" si="466"/>
        <v>0</v>
      </c>
    </row>
    <row r="463" spans="1:45" ht="15" customHeight="1" x14ac:dyDescent="0.3">
      <c r="A463" s="533"/>
      <c r="B463" s="533"/>
      <c r="C463" s="534"/>
      <c r="D463" s="535"/>
      <c r="E463" s="535" t="s">
        <v>814</v>
      </c>
      <c r="F463" s="535"/>
      <c r="G463" s="535" t="s">
        <v>346</v>
      </c>
      <c r="H463" s="204"/>
      <c r="I463" s="204">
        <f>SUM(K463:AS463)</f>
        <v>11599.485065064879</v>
      </c>
      <c r="J463" s="536"/>
      <c r="K463" s="535">
        <f t="shared" ref="K463:O463" si="467">K461 + K462</f>
        <v>0</v>
      </c>
      <c r="L463" s="535">
        <f t="shared" si="467"/>
        <v>0</v>
      </c>
      <c r="M463" s="535">
        <f t="shared" si="467"/>
        <v>0</v>
      </c>
      <c r="N463" s="535">
        <f t="shared" si="467"/>
        <v>0</v>
      </c>
      <c r="O463" s="535">
        <f t="shared" si="467"/>
        <v>0</v>
      </c>
      <c r="P463" s="535">
        <f>P461 + P462</f>
        <v>0</v>
      </c>
      <c r="Q463" s="535">
        <f t="shared" ref="Q463:AS463" si="468">Q461 + Q462</f>
        <v>0</v>
      </c>
      <c r="R463" s="535">
        <f t="shared" si="468"/>
        <v>0</v>
      </c>
      <c r="S463" s="535">
        <f t="shared" si="468"/>
        <v>0</v>
      </c>
      <c r="T463" s="535">
        <f t="shared" si="468"/>
        <v>0</v>
      </c>
      <c r="U463" s="535">
        <f t="shared" si="468"/>
        <v>0</v>
      </c>
      <c r="V463" s="535">
        <f t="shared" si="468"/>
        <v>102.58699290000001</v>
      </c>
      <c r="W463" s="535">
        <f t="shared" si="468"/>
        <v>267.55625002999994</v>
      </c>
      <c r="X463" s="535">
        <f t="shared" si="468"/>
        <v>417.99384361388798</v>
      </c>
      <c r="Y463" s="535">
        <f t="shared" si="468"/>
        <v>643.16834585471997</v>
      </c>
      <c r="Z463" s="535">
        <f t="shared" si="468"/>
        <v>1075.6759917209922</v>
      </c>
      <c r="AA463" s="535">
        <f t="shared" si="468"/>
        <v>999.59011418771593</v>
      </c>
      <c r="AB463" s="535">
        <f t="shared" si="468"/>
        <v>984.432566401082</v>
      </c>
      <c r="AC463" s="535">
        <f t="shared" si="468"/>
        <v>630.09502729266569</v>
      </c>
      <c r="AD463" s="535">
        <f t="shared" si="468"/>
        <v>913.85628197439678</v>
      </c>
      <c r="AE463" s="535">
        <f t="shared" si="468"/>
        <v>915.43315454340029</v>
      </c>
      <c r="AF463" s="535">
        <f t="shared" si="468"/>
        <v>914.53893390445535</v>
      </c>
      <c r="AG463" s="535">
        <f t="shared" si="468"/>
        <v>913.26962633629728</v>
      </c>
      <c r="AH463" s="535">
        <f t="shared" si="468"/>
        <v>914.6174477746506</v>
      </c>
      <c r="AI463" s="535">
        <f t="shared" si="468"/>
        <v>781.24750798463788</v>
      </c>
      <c r="AJ463" s="535">
        <f t="shared" si="468"/>
        <v>791.29001383326147</v>
      </c>
      <c r="AK463" s="535">
        <f t="shared" si="468"/>
        <v>334.13296671271661</v>
      </c>
      <c r="AL463" s="535">
        <f t="shared" si="468"/>
        <v>0</v>
      </c>
      <c r="AM463" s="535">
        <f t="shared" si="468"/>
        <v>0</v>
      </c>
      <c r="AN463" s="535">
        <f t="shared" si="468"/>
        <v>0</v>
      </c>
      <c r="AO463" s="535">
        <f t="shared" si="468"/>
        <v>0</v>
      </c>
      <c r="AP463" s="535">
        <f t="shared" si="468"/>
        <v>0</v>
      </c>
      <c r="AQ463" s="535">
        <f t="shared" si="468"/>
        <v>0</v>
      </c>
      <c r="AR463" s="535">
        <f t="shared" si="468"/>
        <v>0</v>
      </c>
      <c r="AS463" s="535">
        <f t="shared" si="468"/>
        <v>0</v>
      </c>
    </row>
    <row r="464" spans="1:45" ht="15" customHeight="1" x14ac:dyDescent="0.3">
      <c r="I464" s="116"/>
      <c r="AL464" s="42"/>
      <c r="AM464" s="42"/>
      <c r="AN464" s="42"/>
      <c r="AO464" s="42"/>
      <c r="AP464" s="42"/>
      <c r="AQ464" s="42"/>
      <c r="AR464" s="42"/>
      <c r="AS464" s="42"/>
    </row>
    <row r="465" spans="1:45" ht="15" customHeight="1" collapsed="1" x14ac:dyDescent="0.3">
      <c r="A465" s="15" t="s">
        <v>291</v>
      </c>
      <c r="B465" s="119"/>
      <c r="C465" s="120"/>
      <c r="D465" s="121"/>
      <c r="E465" s="119"/>
      <c r="F465" s="119"/>
      <c r="G465" s="119"/>
      <c r="H465" s="119"/>
      <c r="I465" s="119"/>
      <c r="J465" s="16"/>
      <c r="K465" s="16"/>
      <c r="L465" s="16"/>
      <c r="M465" s="16"/>
      <c r="N465" s="16"/>
      <c r="O465" s="16"/>
      <c r="P465" s="16"/>
      <c r="Q465" s="16"/>
      <c r="R465" s="16"/>
      <c r="S465" s="16"/>
      <c r="T465" s="16"/>
      <c r="U465" s="16"/>
      <c r="V465" s="16"/>
      <c r="W465" s="16"/>
      <c r="X465" s="16"/>
      <c r="Y465" s="16"/>
      <c r="Z465" s="16"/>
      <c r="AA465" s="16"/>
      <c r="AB465" s="16"/>
      <c r="AC465" s="16"/>
      <c r="AD465" s="16"/>
      <c r="AE465" s="16"/>
      <c r="AF465" s="16"/>
      <c r="AG465" s="16"/>
      <c r="AH465" s="16"/>
      <c r="AI465" s="16"/>
      <c r="AJ465" s="16"/>
      <c r="AK465" s="16"/>
      <c r="AL465" s="16"/>
      <c r="AM465" s="16"/>
      <c r="AN465" s="16"/>
      <c r="AO465" s="16"/>
      <c r="AP465" s="16"/>
      <c r="AQ465" s="16"/>
      <c r="AR465" s="16"/>
      <c r="AS465" s="16"/>
    </row>
    <row r="466" spans="1:45" ht="15" customHeight="1" x14ac:dyDescent="0.3">
      <c r="I466" s="116"/>
      <c r="AL466" s="42"/>
      <c r="AM466" s="42"/>
      <c r="AN466" s="42"/>
      <c r="AO466" s="42"/>
      <c r="AP466" s="42"/>
      <c r="AQ466" s="42"/>
      <c r="AR466" s="42"/>
      <c r="AS466" s="42"/>
    </row>
    <row r="467" spans="1:45" ht="15" customHeight="1" x14ac:dyDescent="0.3">
      <c r="E467" s="61" t="str">
        <f xml:space="preserve"> Inputs_TS!E$303</f>
        <v>Operating expenses 2022</v>
      </c>
      <c r="F467" s="94">
        <f xml:space="preserve"> Inputs_TS!F$303</f>
        <v>457.31154299999997</v>
      </c>
      <c r="G467" s="61" t="str">
        <f xml:space="preserve"> Inputs_TS!G$303</f>
        <v>$ mn</v>
      </c>
      <c r="H467" s="61" t="str">
        <f xml:space="preserve"> Inputs_TS!H$303</f>
        <v>X</v>
      </c>
      <c r="I467" s="61"/>
      <c r="AL467" s="42"/>
      <c r="AM467" s="42"/>
      <c r="AN467" s="42"/>
      <c r="AO467" s="42"/>
      <c r="AP467" s="42"/>
      <c r="AQ467" s="42"/>
      <c r="AR467" s="42"/>
      <c r="AS467" s="42"/>
    </row>
    <row r="468" spans="1:45" ht="15" customHeight="1" x14ac:dyDescent="0.3">
      <c r="E468" s="61"/>
      <c r="F468" s="94"/>
      <c r="G468" s="61"/>
      <c r="H468" s="61"/>
      <c r="I468" s="61"/>
      <c r="AL468" s="42"/>
      <c r="AM468" s="42"/>
      <c r="AN468" s="42"/>
      <c r="AO468" s="42"/>
      <c r="AP468" s="42"/>
      <c r="AQ468" s="42"/>
      <c r="AR468" s="42"/>
      <c r="AS468" s="42"/>
    </row>
    <row r="469" spans="1:45" ht="15" customHeight="1" x14ac:dyDescent="0.3">
      <c r="C469" s="113" t="s">
        <v>195</v>
      </c>
      <c r="E469" s="61"/>
      <c r="F469" s="94"/>
      <c r="G469" s="61"/>
      <c r="I469" s="116"/>
      <c r="AL469" s="42"/>
      <c r="AM469" s="42"/>
      <c r="AN469" s="42"/>
      <c r="AO469" s="42"/>
      <c r="AP469" s="42"/>
      <c r="AQ469" s="42"/>
      <c r="AR469" s="42"/>
      <c r="AS469" s="42"/>
    </row>
    <row r="470" spans="1:45" ht="15" customHeight="1" x14ac:dyDescent="0.3">
      <c r="E470" s="40" t="str">
        <f t="shared" ref="E470:AS470" si="469" xml:space="preserve"> E$79</f>
        <v>Copper production incl Sens.</v>
      </c>
      <c r="F470" s="40">
        <f t="shared" si="469"/>
        <v>0</v>
      </c>
      <c r="G470" s="40" t="str">
        <f t="shared" si="469"/>
        <v>KT Cu</v>
      </c>
      <c r="H470" s="40">
        <f t="shared" si="469"/>
        <v>0</v>
      </c>
      <c r="I470" s="40">
        <f t="shared" si="469"/>
        <v>1750.6700000000008</v>
      </c>
      <c r="J470" s="40">
        <f t="shared" si="469"/>
        <v>0</v>
      </c>
      <c r="K470" s="40">
        <f t="shared" si="469"/>
        <v>0</v>
      </c>
      <c r="L470" s="40">
        <f t="shared" si="469"/>
        <v>0</v>
      </c>
      <c r="M470" s="40">
        <f t="shared" si="469"/>
        <v>0</v>
      </c>
      <c r="N470" s="40">
        <f t="shared" si="469"/>
        <v>0</v>
      </c>
      <c r="O470" s="40">
        <f t="shared" si="469"/>
        <v>0</v>
      </c>
      <c r="P470" s="40">
        <f t="shared" si="469"/>
        <v>0</v>
      </c>
      <c r="Q470" s="40">
        <f t="shared" si="469"/>
        <v>0</v>
      </c>
      <c r="R470" s="40">
        <f t="shared" si="469"/>
        <v>0</v>
      </c>
      <c r="S470" s="40">
        <f t="shared" si="469"/>
        <v>0</v>
      </c>
      <c r="T470" s="40">
        <f t="shared" si="469"/>
        <v>0</v>
      </c>
      <c r="U470" s="40">
        <f t="shared" si="469"/>
        <v>0</v>
      </c>
      <c r="V470" s="40">
        <f t="shared" si="469"/>
        <v>39.692</v>
      </c>
      <c r="W470" s="40">
        <f t="shared" si="469"/>
        <v>111.964</v>
      </c>
      <c r="X470" s="40">
        <f t="shared" si="469"/>
        <v>131.25200000000001</v>
      </c>
      <c r="Y470" s="40">
        <f t="shared" si="469"/>
        <v>131.24799999999999</v>
      </c>
      <c r="Z470" s="40">
        <f t="shared" si="469"/>
        <v>215.79500000000002</v>
      </c>
      <c r="AA470" s="40">
        <f t="shared" si="469"/>
        <v>147.09399999999999</v>
      </c>
      <c r="AB470" s="40">
        <f t="shared" si="469"/>
        <v>124.084</v>
      </c>
      <c r="AC470" s="40">
        <f t="shared" si="469"/>
        <v>79.510500000000008</v>
      </c>
      <c r="AD470" s="40">
        <f t="shared" si="469"/>
        <v>110.2505</v>
      </c>
      <c r="AE470" s="40">
        <f t="shared" si="469"/>
        <v>110.2505</v>
      </c>
      <c r="AF470" s="40">
        <f t="shared" si="469"/>
        <v>110.2505</v>
      </c>
      <c r="AG470" s="40">
        <f t="shared" si="469"/>
        <v>110.2505</v>
      </c>
      <c r="AH470" s="40">
        <f t="shared" si="469"/>
        <v>110.2505</v>
      </c>
      <c r="AI470" s="40">
        <f t="shared" si="469"/>
        <v>90.641000000000005</v>
      </c>
      <c r="AJ470" s="40">
        <f t="shared" si="469"/>
        <v>90.641000000000005</v>
      </c>
      <c r="AK470" s="40">
        <f t="shared" si="469"/>
        <v>37.496000000000002</v>
      </c>
      <c r="AL470" s="40">
        <f t="shared" si="469"/>
        <v>0</v>
      </c>
      <c r="AM470" s="40">
        <f t="shared" si="469"/>
        <v>0</v>
      </c>
      <c r="AN470" s="40">
        <f t="shared" si="469"/>
        <v>0</v>
      </c>
      <c r="AO470" s="40">
        <f t="shared" si="469"/>
        <v>0</v>
      </c>
      <c r="AP470" s="40">
        <f t="shared" si="469"/>
        <v>0</v>
      </c>
      <c r="AQ470" s="40">
        <f t="shared" si="469"/>
        <v>0</v>
      </c>
      <c r="AR470" s="40">
        <f t="shared" si="469"/>
        <v>0</v>
      </c>
      <c r="AS470" s="40">
        <f t="shared" si="469"/>
        <v>0</v>
      </c>
    </row>
    <row r="471" spans="1:45" ht="15" customHeight="1" x14ac:dyDescent="0.3">
      <c r="E471" s="40" t="str">
        <f xml:space="preserve"> E$126</f>
        <v>Cobalt production incl Sens.</v>
      </c>
      <c r="F471" s="40">
        <f t="shared" ref="F471:AS471" si="470" xml:space="preserve"> F$126</f>
        <v>0</v>
      </c>
      <c r="G471" s="40" t="str">
        <f t="shared" si="470"/>
        <v>KT Co</v>
      </c>
      <c r="H471" s="40">
        <f t="shared" si="470"/>
        <v>0</v>
      </c>
      <c r="I471" s="40">
        <f t="shared" si="470"/>
        <v>21.822532857142861</v>
      </c>
      <c r="J471" s="40">
        <f t="shared" si="470"/>
        <v>0</v>
      </c>
      <c r="K471" s="40">
        <f t="shared" si="470"/>
        <v>0</v>
      </c>
      <c r="L471" s="40">
        <f t="shared" si="470"/>
        <v>0</v>
      </c>
      <c r="M471" s="40">
        <f t="shared" si="470"/>
        <v>0</v>
      </c>
      <c r="N471" s="40">
        <f t="shared" si="470"/>
        <v>0</v>
      </c>
      <c r="O471" s="40">
        <f t="shared" si="470"/>
        <v>0</v>
      </c>
      <c r="P471" s="40">
        <f t="shared" si="470"/>
        <v>0</v>
      </c>
      <c r="Q471" s="40">
        <f t="shared" si="470"/>
        <v>0</v>
      </c>
      <c r="R471" s="40">
        <f t="shared" si="470"/>
        <v>0</v>
      </c>
      <c r="S471" s="40">
        <f t="shared" si="470"/>
        <v>0</v>
      </c>
      <c r="T471" s="40">
        <f t="shared" si="470"/>
        <v>0</v>
      </c>
      <c r="U471" s="40">
        <f t="shared" si="470"/>
        <v>0</v>
      </c>
      <c r="V471" s="40">
        <f t="shared" si="470"/>
        <v>0</v>
      </c>
      <c r="W471" s="40">
        <f t="shared" si="470"/>
        <v>0</v>
      </c>
      <c r="X471" s="40">
        <f t="shared" si="470"/>
        <v>0.70802999999999994</v>
      </c>
      <c r="Y471" s="40">
        <f t="shared" si="470"/>
        <v>1.4230799999999999</v>
      </c>
      <c r="Z471" s="40">
        <f t="shared" si="470"/>
        <v>1.6069300000000002</v>
      </c>
      <c r="AA471" s="40">
        <f t="shared" si="470"/>
        <v>2.5061800000000001</v>
      </c>
      <c r="AB471" s="40">
        <f t="shared" si="470"/>
        <v>2.306</v>
      </c>
      <c r="AC471" s="40">
        <f t="shared" si="470"/>
        <v>0.77815000000000001</v>
      </c>
      <c r="AD471" s="40">
        <f t="shared" si="470"/>
        <v>1.7336771428571429</v>
      </c>
      <c r="AE471" s="40">
        <f t="shared" si="470"/>
        <v>1.7336771428571429</v>
      </c>
      <c r="AF471" s="40">
        <f t="shared" si="470"/>
        <v>1.7336771428571429</v>
      </c>
      <c r="AG471" s="40">
        <f t="shared" si="470"/>
        <v>1.7336771428571429</v>
      </c>
      <c r="AH471" s="40">
        <f t="shared" si="470"/>
        <v>1.7336771428571429</v>
      </c>
      <c r="AI471" s="40">
        <f t="shared" si="470"/>
        <v>1.7336771428571429</v>
      </c>
      <c r="AJ471" s="40">
        <f t="shared" si="470"/>
        <v>1.4799100000000001</v>
      </c>
      <c r="AK471" s="40">
        <f t="shared" si="470"/>
        <v>0.61219000000000001</v>
      </c>
      <c r="AL471" s="40">
        <f t="shared" si="470"/>
        <v>0</v>
      </c>
      <c r="AM471" s="40">
        <f t="shared" si="470"/>
        <v>0</v>
      </c>
      <c r="AN471" s="40">
        <f t="shared" si="470"/>
        <v>0</v>
      </c>
      <c r="AO471" s="40">
        <f t="shared" si="470"/>
        <v>0</v>
      </c>
      <c r="AP471" s="40">
        <f t="shared" si="470"/>
        <v>0</v>
      </c>
      <c r="AQ471" s="40">
        <f t="shared" si="470"/>
        <v>0</v>
      </c>
      <c r="AR471" s="40">
        <f t="shared" si="470"/>
        <v>0</v>
      </c>
      <c r="AS471" s="40">
        <f t="shared" si="470"/>
        <v>0</v>
      </c>
    </row>
    <row r="472" spans="1:45" ht="15" customHeight="1" x14ac:dyDescent="0.3">
      <c r="A472" s="123"/>
      <c r="B472" s="123"/>
      <c r="C472" s="124"/>
      <c r="D472" s="109"/>
      <c r="E472" s="111" t="s">
        <v>197</v>
      </c>
      <c r="F472" s="111"/>
      <c r="G472" s="111" t="s">
        <v>38</v>
      </c>
      <c r="H472" s="111"/>
      <c r="I472" s="111">
        <f>SUM(K472:AS472)</f>
        <v>1772.4925328571426</v>
      </c>
      <c r="J472" s="111"/>
      <c r="K472" s="111">
        <f t="shared" ref="K472:O472" si="471">K470 + K471</f>
        <v>0</v>
      </c>
      <c r="L472" s="111">
        <f t="shared" si="471"/>
        <v>0</v>
      </c>
      <c r="M472" s="111">
        <f t="shared" si="471"/>
        <v>0</v>
      </c>
      <c r="N472" s="111">
        <f t="shared" si="471"/>
        <v>0</v>
      </c>
      <c r="O472" s="111">
        <f t="shared" si="471"/>
        <v>0</v>
      </c>
      <c r="P472" s="111">
        <f t="shared" ref="P472:R472" si="472">P470 + P471</f>
        <v>0</v>
      </c>
      <c r="Q472" s="111">
        <f t="shared" si="472"/>
        <v>0</v>
      </c>
      <c r="R472" s="111">
        <f t="shared" si="472"/>
        <v>0</v>
      </c>
      <c r="S472" s="111">
        <f t="shared" ref="S472:AS472" si="473">S470 + S471</f>
        <v>0</v>
      </c>
      <c r="T472" s="111">
        <f t="shared" si="473"/>
        <v>0</v>
      </c>
      <c r="U472" s="111">
        <f t="shared" si="473"/>
        <v>0</v>
      </c>
      <c r="V472" s="111">
        <f t="shared" si="473"/>
        <v>39.692</v>
      </c>
      <c r="W472" s="111">
        <f t="shared" si="473"/>
        <v>111.964</v>
      </c>
      <c r="X472" s="111">
        <f t="shared" si="473"/>
        <v>131.96003000000002</v>
      </c>
      <c r="Y472" s="111">
        <f t="shared" si="473"/>
        <v>132.67107999999999</v>
      </c>
      <c r="Z472" s="111">
        <f t="shared" si="473"/>
        <v>217.40193000000002</v>
      </c>
      <c r="AA472" s="111">
        <f t="shared" si="473"/>
        <v>149.60017999999999</v>
      </c>
      <c r="AB472" s="111">
        <f t="shared" si="473"/>
        <v>126.39</v>
      </c>
      <c r="AC472" s="111">
        <f t="shared" si="473"/>
        <v>80.288650000000004</v>
      </c>
      <c r="AD472" s="111">
        <f t="shared" si="473"/>
        <v>111.98417714285715</v>
      </c>
      <c r="AE472" s="111">
        <f t="shared" si="473"/>
        <v>111.98417714285715</v>
      </c>
      <c r="AF472" s="111">
        <f t="shared" si="473"/>
        <v>111.98417714285715</v>
      </c>
      <c r="AG472" s="111">
        <f t="shared" si="473"/>
        <v>111.98417714285715</v>
      </c>
      <c r="AH472" s="111">
        <f t="shared" si="473"/>
        <v>111.98417714285715</v>
      </c>
      <c r="AI472" s="111">
        <f t="shared" si="473"/>
        <v>92.374677142857152</v>
      </c>
      <c r="AJ472" s="111">
        <f t="shared" si="473"/>
        <v>92.120910000000009</v>
      </c>
      <c r="AK472" s="111">
        <f t="shared" si="473"/>
        <v>38.10819</v>
      </c>
      <c r="AL472" s="111">
        <f t="shared" si="473"/>
        <v>0</v>
      </c>
      <c r="AM472" s="111">
        <f t="shared" si="473"/>
        <v>0</v>
      </c>
      <c r="AN472" s="111">
        <f t="shared" si="473"/>
        <v>0</v>
      </c>
      <c r="AO472" s="111">
        <f t="shared" si="473"/>
        <v>0</v>
      </c>
      <c r="AP472" s="111">
        <f t="shared" si="473"/>
        <v>0</v>
      </c>
      <c r="AQ472" s="111">
        <f t="shared" si="473"/>
        <v>0</v>
      </c>
      <c r="AR472" s="111">
        <f t="shared" si="473"/>
        <v>0</v>
      </c>
      <c r="AS472" s="111">
        <f t="shared" si="473"/>
        <v>0</v>
      </c>
    </row>
    <row r="473" spans="1:45" ht="15" customHeight="1" x14ac:dyDescent="0.3">
      <c r="A473" s="129"/>
      <c r="B473" s="129"/>
      <c r="C473" s="130"/>
      <c r="D473" s="106"/>
      <c r="E473" s="110"/>
      <c r="F473" s="110"/>
      <c r="G473" s="110"/>
      <c r="H473" s="110"/>
      <c r="I473" s="110"/>
      <c r="J473" s="110"/>
      <c r="K473" s="110"/>
      <c r="L473" s="110"/>
      <c r="M473" s="110"/>
      <c r="N473" s="110"/>
      <c r="O473" s="110"/>
      <c r="P473" s="110"/>
      <c r="Q473" s="110"/>
      <c r="R473" s="110"/>
      <c r="S473" s="110"/>
      <c r="T473" s="110"/>
      <c r="U473" s="110"/>
      <c r="V473" s="110"/>
      <c r="W473" s="110"/>
      <c r="X473" s="110"/>
      <c r="Y473" s="110"/>
      <c r="Z473" s="110"/>
      <c r="AA473" s="110"/>
      <c r="AB473" s="110"/>
      <c r="AC473" s="110"/>
      <c r="AD473" s="110"/>
      <c r="AE473" s="110"/>
      <c r="AF473" s="110"/>
      <c r="AG473" s="110"/>
      <c r="AH473" s="110"/>
      <c r="AI473" s="110"/>
      <c r="AJ473" s="110"/>
      <c r="AK473" s="110"/>
      <c r="AL473" s="110"/>
      <c r="AM473" s="110"/>
      <c r="AN473" s="110"/>
      <c r="AO473" s="110"/>
      <c r="AP473" s="110"/>
      <c r="AQ473" s="110"/>
      <c r="AR473" s="110"/>
      <c r="AS473" s="110"/>
    </row>
    <row r="474" spans="1:45" ht="15" customHeight="1" x14ac:dyDescent="0.3">
      <c r="E474" s="40" t="s">
        <v>198</v>
      </c>
      <c r="F474" s="40">
        <f>AA472</f>
        <v>149.60017999999999</v>
      </c>
      <c r="G474" s="40" t="s">
        <v>38</v>
      </c>
      <c r="H474" s="40"/>
      <c r="I474" s="40"/>
      <c r="J474" s="40"/>
      <c r="K474" s="40"/>
      <c r="L474" s="40"/>
      <c r="M474" s="40"/>
      <c r="N474" s="40"/>
      <c r="O474" s="40"/>
      <c r="P474" s="40"/>
      <c r="Q474" s="40"/>
      <c r="R474" s="40"/>
      <c r="S474" s="40"/>
      <c r="T474" s="40"/>
      <c r="U474" s="40"/>
      <c r="V474" s="40"/>
      <c r="W474" s="40"/>
      <c r="X474" s="40"/>
      <c r="Y474" s="40"/>
      <c r="Z474" s="40"/>
      <c r="AA474" s="40"/>
      <c r="AB474" s="40"/>
      <c r="AC474" s="40"/>
      <c r="AD474" s="40"/>
      <c r="AE474" s="40"/>
      <c r="AF474" s="40"/>
      <c r="AG474" s="40"/>
      <c r="AH474" s="40"/>
      <c r="AI474" s="40"/>
      <c r="AJ474" s="40"/>
      <c r="AK474" s="40"/>
      <c r="AL474" s="40"/>
      <c r="AM474" s="40"/>
      <c r="AN474" s="40"/>
      <c r="AO474" s="40"/>
      <c r="AP474" s="40"/>
      <c r="AQ474" s="40"/>
      <c r="AR474" s="40"/>
      <c r="AS474" s="40"/>
    </row>
    <row r="475" spans="1:45" ht="15" customHeight="1" x14ac:dyDescent="0.3">
      <c r="E475" s="42" t="s">
        <v>196</v>
      </c>
      <c r="F475" s="42">
        <f>(F467 *10^3) / F474</f>
        <v>3056.8916628308866</v>
      </c>
      <c r="G475" s="42" t="s">
        <v>321</v>
      </c>
      <c r="I475" s="116"/>
      <c r="AL475" s="42"/>
      <c r="AM475" s="42"/>
      <c r="AN475" s="42"/>
      <c r="AO475" s="42"/>
      <c r="AP475" s="42"/>
      <c r="AQ475" s="42"/>
      <c r="AR475" s="42"/>
      <c r="AS475" s="42"/>
    </row>
    <row r="476" spans="1:45" ht="15" customHeight="1" x14ac:dyDescent="0.3">
      <c r="I476" s="116"/>
      <c r="AL476" s="42"/>
      <c r="AM476" s="42"/>
      <c r="AN476" s="42"/>
      <c r="AO476" s="42"/>
      <c r="AP476" s="42"/>
      <c r="AQ476" s="42"/>
      <c r="AR476" s="42"/>
      <c r="AS476" s="42"/>
    </row>
    <row r="477" spans="1:45" ht="15" customHeight="1" x14ac:dyDescent="0.3">
      <c r="C477" s="113" t="s">
        <v>194</v>
      </c>
      <c r="I477" s="116"/>
      <c r="AL477" s="42"/>
      <c r="AM477" s="42"/>
      <c r="AN477" s="42"/>
      <c r="AO477" s="42"/>
      <c r="AP477" s="42"/>
      <c r="AQ477" s="42"/>
      <c r="AR477" s="42"/>
      <c r="AS477" s="42"/>
    </row>
    <row r="478" spans="1:45" ht="15" customHeight="1" x14ac:dyDescent="0.3">
      <c r="E478" s="40" t="str">
        <f t="shared" ref="E478:O478" si="474" xml:space="preserve"> E$475</f>
        <v>Unit cost 2022</v>
      </c>
      <c r="F478" s="40">
        <f t="shared" si="474"/>
        <v>3056.8916628308866</v>
      </c>
      <c r="G478" s="40" t="str">
        <f t="shared" si="474"/>
        <v>$ / tonne</v>
      </c>
      <c r="H478" s="40">
        <f t="shared" si="474"/>
        <v>0</v>
      </c>
      <c r="I478" s="40">
        <f t="shared" si="474"/>
        <v>0</v>
      </c>
      <c r="J478" s="40">
        <f t="shared" si="474"/>
        <v>0</v>
      </c>
      <c r="K478" s="40">
        <f t="shared" si="474"/>
        <v>0</v>
      </c>
      <c r="L478" s="40">
        <f t="shared" si="474"/>
        <v>0</v>
      </c>
      <c r="M478" s="40">
        <f t="shared" si="474"/>
        <v>0</v>
      </c>
      <c r="N478" s="40">
        <f t="shared" si="474"/>
        <v>0</v>
      </c>
      <c r="O478" s="40">
        <f t="shared" si="474"/>
        <v>0</v>
      </c>
      <c r="P478" s="40">
        <f t="shared" ref="P478:AS478" si="475" xml:space="preserve"> P$475</f>
        <v>0</v>
      </c>
      <c r="Q478" s="40">
        <f t="shared" si="475"/>
        <v>0</v>
      </c>
      <c r="R478" s="40">
        <f t="shared" si="475"/>
        <v>0</v>
      </c>
      <c r="S478" s="40">
        <f t="shared" si="475"/>
        <v>0</v>
      </c>
      <c r="T478" s="40">
        <f t="shared" si="475"/>
        <v>0</v>
      </c>
      <c r="U478" s="40">
        <f t="shared" si="475"/>
        <v>0</v>
      </c>
      <c r="V478" s="40">
        <f t="shared" si="475"/>
        <v>0</v>
      </c>
      <c r="W478" s="40">
        <f t="shared" si="475"/>
        <v>0</v>
      </c>
      <c r="X478" s="40">
        <f t="shared" si="475"/>
        <v>0</v>
      </c>
      <c r="Y478" s="40">
        <f t="shared" si="475"/>
        <v>0</v>
      </c>
      <c r="Z478" s="40">
        <f t="shared" si="475"/>
        <v>0</v>
      </c>
      <c r="AA478" s="40">
        <f t="shared" si="475"/>
        <v>0</v>
      </c>
      <c r="AB478" s="40">
        <f t="shared" si="475"/>
        <v>0</v>
      </c>
      <c r="AC478" s="40">
        <f t="shared" si="475"/>
        <v>0</v>
      </c>
      <c r="AD478" s="40">
        <f t="shared" si="475"/>
        <v>0</v>
      </c>
      <c r="AE478" s="40">
        <f t="shared" si="475"/>
        <v>0</v>
      </c>
      <c r="AF478" s="40">
        <f t="shared" si="475"/>
        <v>0</v>
      </c>
      <c r="AG478" s="40">
        <f t="shared" si="475"/>
        <v>0</v>
      </c>
      <c r="AH478" s="40">
        <f t="shared" si="475"/>
        <v>0</v>
      </c>
      <c r="AI478" s="40">
        <f t="shared" si="475"/>
        <v>0</v>
      </c>
      <c r="AJ478" s="40">
        <f t="shared" si="475"/>
        <v>0</v>
      </c>
      <c r="AK478" s="40">
        <f t="shared" si="475"/>
        <v>0</v>
      </c>
      <c r="AL478" s="40">
        <f t="shared" si="475"/>
        <v>0</v>
      </c>
      <c r="AM478" s="40">
        <f t="shared" si="475"/>
        <v>0</v>
      </c>
      <c r="AN478" s="40">
        <f t="shared" si="475"/>
        <v>0</v>
      </c>
      <c r="AO478" s="40">
        <f t="shared" si="475"/>
        <v>0</v>
      </c>
      <c r="AP478" s="40">
        <f t="shared" si="475"/>
        <v>0</v>
      </c>
      <c r="AQ478" s="40">
        <f t="shared" si="475"/>
        <v>0</v>
      </c>
      <c r="AR478" s="40">
        <f t="shared" si="475"/>
        <v>0</v>
      </c>
      <c r="AS478" s="40">
        <f t="shared" si="475"/>
        <v>0</v>
      </c>
    </row>
    <row r="479" spans="1:45" ht="15" customHeight="1" x14ac:dyDescent="0.3">
      <c r="E479" s="40" t="str">
        <f t="shared" ref="E479:O479" si="476" xml:space="preserve"> E$472</f>
        <v>Total production</v>
      </c>
      <c r="F479" s="40">
        <f t="shared" si="476"/>
        <v>0</v>
      </c>
      <c r="G479" s="40" t="str">
        <f t="shared" si="476"/>
        <v>tonnes</v>
      </c>
      <c r="H479" s="40">
        <f t="shared" si="476"/>
        <v>0</v>
      </c>
      <c r="I479" s="40">
        <f t="shared" si="476"/>
        <v>1772.4925328571426</v>
      </c>
      <c r="J479" s="40">
        <f t="shared" si="476"/>
        <v>0</v>
      </c>
      <c r="K479" s="40">
        <f t="shared" si="476"/>
        <v>0</v>
      </c>
      <c r="L479" s="40">
        <f t="shared" si="476"/>
        <v>0</v>
      </c>
      <c r="M479" s="40">
        <f t="shared" si="476"/>
        <v>0</v>
      </c>
      <c r="N479" s="40">
        <f t="shared" si="476"/>
        <v>0</v>
      </c>
      <c r="O479" s="40">
        <f t="shared" si="476"/>
        <v>0</v>
      </c>
      <c r="P479" s="40">
        <f t="shared" ref="P479:AS479" si="477" xml:space="preserve"> P$472</f>
        <v>0</v>
      </c>
      <c r="Q479" s="40">
        <f t="shared" si="477"/>
        <v>0</v>
      </c>
      <c r="R479" s="40">
        <f t="shared" si="477"/>
        <v>0</v>
      </c>
      <c r="S479" s="40">
        <f t="shared" si="477"/>
        <v>0</v>
      </c>
      <c r="T479" s="40">
        <f t="shared" si="477"/>
        <v>0</v>
      </c>
      <c r="U479" s="40">
        <f t="shared" si="477"/>
        <v>0</v>
      </c>
      <c r="V479" s="40">
        <f t="shared" si="477"/>
        <v>39.692</v>
      </c>
      <c r="W479" s="40">
        <f t="shared" si="477"/>
        <v>111.964</v>
      </c>
      <c r="X479" s="40">
        <f t="shared" si="477"/>
        <v>131.96003000000002</v>
      </c>
      <c r="Y479" s="40">
        <f t="shared" si="477"/>
        <v>132.67107999999999</v>
      </c>
      <c r="Z479" s="40">
        <f t="shared" si="477"/>
        <v>217.40193000000002</v>
      </c>
      <c r="AA479" s="40">
        <f t="shared" si="477"/>
        <v>149.60017999999999</v>
      </c>
      <c r="AB479" s="40">
        <f t="shared" si="477"/>
        <v>126.39</v>
      </c>
      <c r="AC479" s="40">
        <f t="shared" si="477"/>
        <v>80.288650000000004</v>
      </c>
      <c r="AD479" s="40">
        <f t="shared" si="477"/>
        <v>111.98417714285715</v>
      </c>
      <c r="AE479" s="40">
        <f t="shared" si="477"/>
        <v>111.98417714285715</v>
      </c>
      <c r="AF479" s="40">
        <f t="shared" si="477"/>
        <v>111.98417714285715</v>
      </c>
      <c r="AG479" s="40">
        <f t="shared" si="477"/>
        <v>111.98417714285715</v>
      </c>
      <c r="AH479" s="40">
        <f t="shared" si="477"/>
        <v>111.98417714285715</v>
      </c>
      <c r="AI479" s="40">
        <f t="shared" si="477"/>
        <v>92.374677142857152</v>
      </c>
      <c r="AJ479" s="40">
        <f t="shared" si="477"/>
        <v>92.120910000000009</v>
      </c>
      <c r="AK479" s="40">
        <f t="shared" si="477"/>
        <v>38.10819</v>
      </c>
      <c r="AL479" s="40">
        <f t="shared" si="477"/>
        <v>0</v>
      </c>
      <c r="AM479" s="40">
        <f t="shared" si="477"/>
        <v>0</v>
      </c>
      <c r="AN479" s="40">
        <f t="shared" si="477"/>
        <v>0</v>
      </c>
      <c r="AO479" s="40">
        <f t="shared" si="477"/>
        <v>0</v>
      </c>
      <c r="AP479" s="40">
        <f t="shared" si="477"/>
        <v>0</v>
      </c>
      <c r="AQ479" s="40">
        <f t="shared" si="477"/>
        <v>0</v>
      </c>
      <c r="AR479" s="40">
        <f t="shared" si="477"/>
        <v>0</v>
      </c>
      <c r="AS479" s="40">
        <f t="shared" si="477"/>
        <v>0</v>
      </c>
    </row>
    <row r="480" spans="1:45" ht="15" customHeight="1" x14ac:dyDescent="0.3">
      <c r="E480" s="42" t="s">
        <v>283</v>
      </c>
      <c r="G480" s="42" t="s">
        <v>346</v>
      </c>
      <c r="I480" s="116">
        <f>SUM(K480:AS480)</f>
        <v>5418.3176461210014</v>
      </c>
      <c r="K480" s="42">
        <f t="shared" ref="K480:AS480" si="478">$F478 * K479 * 10^-3</f>
        <v>0</v>
      </c>
      <c r="L480" s="42">
        <f t="shared" si="478"/>
        <v>0</v>
      </c>
      <c r="M480" s="42">
        <f t="shared" si="478"/>
        <v>0</v>
      </c>
      <c r="N480" s="42">
        <f t="shared" si="478"/>
        <v>0</v>
      </c>
      <c r="O480" s="42">
        <f t="shared" si="478"/>
        <v>0</v>
      </c>
      <c r="P480" s="42">
        <f t="shared" si="478"/>
        <v>0</v>
      </c>
      <c r="Q480" s="42">
        <f t="shared" si="478"/>
        <v>0</v>
      </c>
      <c r="R480" s="42">
        <f t="shared" si="478"/>
        <v>0</v>
      </c>
      <c r="S480" s="42">
        <f t="shared" si="478"/>
        <v>0</v>
      </c>
      <c r="T480" s="42">
        <f t="shared" si="478"/>
        <v>0</v>
      </c>
      <c r="U480" s="42">
        <f t="shared" si="478"/>
        <v>0</v>
      </c>
      <c r="V480" s="42">
        <f t="shared" si="478"/>
        <v>121.33414388108356</v>
      </c>
      <c r="W480" s="42">
        <f t="shared" si="478"/>
        <v>342.26181813719739</v>
      </c>
      <c r="X480" s="42">
        <f t="shared" si="478"/>
        <v>403.38751553391376</v>
      </c>
      <c r="Y480" s="42">
        <f t="shared" si="478"/>
        <v>405.56111835076956</v>
      </c>
      <c r="Z480" s="42">
        <f t="shared" si="478"/>
        <v>664.57414730034407</v>
      </c>
      <c r="AA480" s="42">
        <f t="shared" si="478"/>
        <v>457.31154299999997</v>
      </c>
      <c r="AB480" s="42">
        <f t="shared" si="478"/>
        <v>386.36053726519577</v>
      </c>
      <c r="AC480" s="42">
        <f t="shared" si="478"/>
        <v>245.43370480494707</v>
      </c>
      <c r="AD480" s="42">
        <f t="shared" si="478"/>
        <v>342.3234974769772</v>
      </c>
      <c r="AE480" s="42">
        <f t="shared" si="478"/>
        <v>342.3234974769772</v>
      </c>
      <c r="AF480" s="42">
        <f t="shared" si="478"/>
        <v>342.3234974769772</v>
      </c>
      <c r="AG480" s="42">
        <f t="shared" si="478"/>
        <v>342.3234974769772</v>
      </c>
      <c r="AH480" s="42">
        <f t="shared" si="478"/>
        <v>342.3234974769772</v>
      </c>
      <c r="AI480" s="42">
        <f t="shared" si="478"/>
        <v>282.37938041469488</v>
      </c>
      <c r="AJ480" s="42">
        <f t="shared" si="478"/>
        <v>281.60364175139449</v>
      </c>
      <c r="AK480" s="42">
        <f t="shared" si="478"/>
        <v>116.49260829657536</v>
      </c>
      <c r="AL480" s="42">
        <f t="shared" si="478"/>
        <v>0</v>
      </c>
      <c r="AM480" s="42">
        <f t="shared" si="478"/>
        <v>0</v>
      </c>
      <c r="AN480" s="42">
        <f t="shared" si="478"/>
        <v>0</v>
      </c>
      <c r="AO480" s="42">
        <f t="shared" si="478"/>
        <v>0</v>
      </c>
      <c r="AP480" s="42">
        <f t="shared" si="478"/>
        <v>0</v>
      </c>
      <c r="AQ480" s="42">
        <f t="shared" si="478"/>
        <v>0</v>
      </c>
      <c r="AR480" s="42">
        <f t="shared" si="478"/>
        <v>0</v>
      </c>
      <c r="AS480" s="42">
        <f t="shared" si="478"/>
        <v>0</v>
      </c>
    </row>
    <row r="481" spans="1:45" ht="15" customHeight="1" x14ac:dyDescent="0.3">
      <c r="I481" s="116"/>
      <c r="AL481" s="42"/>
      <c r="AM481" s="42"/>
      <c r="AN481" s="42"/>
      <c r="AO481" s="42"/>
      <c r="AP481" s="42"/>
      <c r="AQ481" s="42"/>
      <c r="AR481" s="42"/>
      <c r="AS481" s="42"/>
    </row>
    <row r="482" spans="1:45" ht="15" customHeight="1" x14ac:dyDescent="0.3">
      <c r="E482" s="40" t="s">
        <v>1145</v>
      </c>
      <c r="F482" s="90"/>
      <c r="G482" s="40" t="s">
        <v>346</v>
      </c>
      <c r="I482" s="116">
        <f>SUM(K482:AS482)</f>
        <v>0</v>
      </c>
      <c r="K482" s="1177">
        <v>0</v>
      </c>
      <c r="L482" s="1177">
        <v>0</v>
      </c>
      <c r="M482" s="1177">
        <v>0</v>
      </c>
      <c r="N482" s="1177">
        <v>0</v>
      </c>
      <c r="O482" s="1177">
        <v>0</v>
      </c>
      <c r="P482" s="1177">
        <v>0</v>
      </c>
      <c r="Q482" s="1177">
        <v>0</v>
      </c>
      <c r="R482" s="1177">
        <v>0</v>
      </c>
      <c r="S482" s="1177">
        <v>0</v>
      </c>
      <c r="T482" s="1177">
        <v>0</v>
      </c>
      <c r="U482" s="1177">
        <v>0</v>
      </c>
      <c r="V482" s="1177">
        <v>0</v>
      </c>
      <c r="W482" s="1177">
        <v>0</v>
      </c>
      <c r="X482" s="1177">
        <v>0</v>
      </c>
      <c r="Y482" s="1177">
        <v>0</v>
      </c>
      <c r="Z482" s="1177">
        <v>0</v>
      </c>
      <c r="AA482" s="1177">
        <v>0</v>
      </c>
      <c r="AB482" s="1177">
        <v>0</v>
      </c>
      <c r="AC482" s="1177">
        <v>0</v>
      </c>
      <c r="AD482" s="1177">
        <v>0</v>
      </c>
      <c r="AE482" s="1177">
        <v>0</v>
      </c>
      <c r="AF482" s="1177">
        <v>0</v>
      </c>
      <c r="AG482" s="1177">
        <v>0</v>
      </c>
      <c r="AH482" s="1177">
        <v>0</v>
      </c>
      <c r="AI482" s="1177">
        <v>0</v>
      </c>
      <c r="AJ482" s="1177">
        <v>0</v>
      </c>
      <c r="AK482" s="1177">
        <v>0</v>
      </c>
      <c r="AL482" s="1177">
        <v>0</v>
      </c>
      <c r="AM482" s="1177">
        <v>0</v>
      </c>
      <c r="AN482" s="1177">
        <v>0</v>
      </c>
      <c r="AO482" s="1177">
        <v>0</v>
      </c>
      <c r="AP482" s="1177">
        <v>0</v>
      </c>
      <c r="AQ482" s="1177">
        <v>0</v>
      </c>
      <c r="AR482" s="1177">
        <v>0</v>
      </c>
      <c r="AS482" s="1177">
        <v>0</v>
      </c>
    </row>
    <row r="483" spans="1:45" ht="15" customHeight="1" x14ac:dyDescent="0.3">
      <c r="I483" s="116"/>
      <c r="AL483" s="42"/>
      <c r="AM483" s="42"/>
      <c r="AN483" s="42"/>
      <c r="AO483" s="42"/>
      <c r="AP483" s="42"/>
      <c r="AQ483" s="42"/>
      <c r="AR483" s="42"/>
      <c r="AS483" s="42"/>
    </row>
    <row r="484" spans="1:45" ht="15" customHeight="1" x14ac:dyDescent="0.3">
      <c r="E484" s="104" t="str">
        <f xml:space="preserve"> Inputs_TS!E$306</f>
        <v>Cost option</v>
      </c>
      <c r="F484" s="104" t="str">
        <f xml:space="preserve"> Inputs_TS!F$306</f>
        <v>Unit cost</v>
      </c>
      <c r="G484" s="104" t="str">
        <f xml:space="preserve"> Inputs_TS!G$306</f>
        <v>selected</v>
      </c>
      <c r="I484" s="116"/>
      <c r="AL484" s="42"/>
      <c r="AM484" s="42"/>
      <c r="AN484" s="42"/>
      <c r="AO484" s="42"/>
      <c r="AP484" s="42"/>
      <c r="AQ484" s="42"/>
      <c r="AR484" s="42"/>
      <c r="AS484" s="42"/>
    </row>
    <row r="485" spans="1:45" ht="15" customHeight="1" x14ac:dyDescent="0.3">
      <c r="F485" s="252" t="s">
        <v>281</v>
      </c>
      <c r="G485" s="42" t="s">
        <v>282</v>
      </c>
      <c r="I485" s="116"/>
      <c r="AL485" s="42"/>
      <c r="AM485" s="42"/>
      <c r="AN485" s="42"/>
      <c r="AO485" s="42"/>
      <c r="AP485" s="42"/>
      <c r="AQ485" s="42"/>
      <c r="AR485" s="42"/>
      <c r="AS485" s="42"/>
    </row>
    <row r="486" spans="1:45" ht="15" customHeight="1" x14ac:dyDescent="0.3">
      <c r="F486" s="252" t="s">
        <v>1082</v>
      </c>
      <c r="G486" s="42" t="s">
        <v>282</v>
      </c>
      <c r="I486" s="116"/>
      <c r="AL486" s="42"/>
      <c r="AM486" s="42"/>
      <c r="AN486" s="42"/>
      <c r="AO486" s="42"/>
      <c r="AP486" s="42"/>
      <c r="AQ486" s="42"/>
      <c r="AR486" s="42"/>
      <c r="AS486" s="42"/>
    </row>
    <row r="487" spans="1:45" ht="15" customHeight="1" x14ac:dyDescent="0.3">
      <c r="F487" s="172"/>
      <c r="I487" s="116"/>
      <c r="AL487" s="42"/>
      <c r="AM487" s="42"/>
      <c r="AN487" s="42"/>
      <c r="AO487" s="42"/>
      <c r="AP487" s="42"/>
      <c r="AQ487" s="42"/>
      <c r="AR487" s="42"/>
      <c r="AS487" s="42"/>
    </row>
    <row r="488" spans="1:45" ht="15" customHeight="1" x14ac:dyDescent="0.3">
      <c r="E488" s="42" t="s">
        <v>558</v>
      </c>
      <c r="F488" s="42" t="s">
        <v>553</v>
      </c>
      <c r="G488" s="42" t="s">
        <v>346</v>
      </c>
      <c r="I488" s="116">
        <f>SUM(K488:AS488)</f>
        <v>5418.3176461210014</v>
      </c>
      <c r="K488" s="42">
        <f t="shared" ref="K488:AS488" si="479">K480 * ($F484 = $F485) + K482 *($F484 = $F486)</f>
        <v>0</v>
      </c>
      <c r="L488" s="42">
        <f t="shared" si="479"/>
        <v>0</v>
      </c>
      <c r="M488" s="42">
        <f t="shared" si="479"/>
        <v>0</v>
      </c>
      <c r="N488" s="42">
        <f t="shared" si="479"/>
        <v>0</v>
      </c>
      <c r="O488" s="42">
        <f t="shared" si="479"/>
        <v>0</v>
      </c>
      <c r="P488" s="42">
        <f t="shared" si="479"/>
        <v>0</v>
      </c>
      <c r="Q488" s="42">
        <f t="shared" si="479"/>
        <v>0</v>
      </c>
      <c r="R488" s="42">
        <f t="shared" si="479"/>
        <v>0</v>
      </c>
      <c r="S488" s="42">
        <f t="shared" si="479"/>
        <v>0</v>
      </c>
      <c r="T488" s="42">
        <f t="shared" si="479"/>
        <v>0</v>
      </c>
      <c r="U488" s="42">
        <f t="shared" si="479"/>
        <v>0</v>
      </c>
      <c r="V488" s="42">
        <f t="shared" si="479"/>
        <v>121.33414388108356</v>
      </c>
      <c r="W488" s="42">
        <f t="shared" si="479"/>
        <v>342.26181813719739</v>
      </c>
      <c r="X488" s="42">
        <f t="shared" si="479"/>
        <v>403.38751553391376</v>
      </c>
      <c r="Y488" s="42">
        <f t="shared" si="479"/>
        <v>405.56111835076956</v>
      </c>
      <c r="Z488" s="42">
        <f t="shared" si="479"/>
        <v>664.57414730034407</v>
      </c>
      <c r="AA488" s="42">
        <f t="shared" si="479"/>
        <v>457.31154299999997</v>
      </c>
      <c r="AB488" s="42">
        <f t="shared" si="479"/>
        <v>386.36053726519577</v>
      </c>
      <c r="AC488" s="42">
        <f t="shared" si="479"/>
        <v>245.43370480494707</v>
      </c>
      <c r="AD488" s="42">
        <f t="shared" si="479"/>
        <v>342.3234974769772</v>
      </c>
      <c r="AE488" s="42">
        <f t="shared" si="479"/>
        <v>342.3234974769772</v>
      </c>
      <c r="AF488" s="42">
        <f t="shared" si="479"/>
        <v>342.3234974769772</v>
      </c>
      <c r="AG488" s="42">
        <f t="shared" si="479"/>
        <v>342.3234974769772</v>
      </c>
      <c r="AH488" s="42">
        <f t="shared" si="479"/>
        <v>342.3234974769772</v>
      </c>
      <c r="AI488" s="42">
        <f t="shared" si="479"/>
        <v>282.37938041469488</v>
      </c>
      <c r="AJ488" s="42">
        <f t="shared" si="479"/>
        <v>281.60364175139449</v>
      </c>
      <c r="AK488" s="42">
        <f t="shared" si="479"/>
        <v>116.49260829657536</v>
      </c>
      <c r="AL488" s="42">
        <f t="shared" si="479"/>
        <v>0</v>
      </c>
      <c r="AM488" s="42">
        <f t="shared" si="479"/>
        <v>0</v>
      </c>
      <c r="AN488" s="42">
        <f t="shared" si="479"/>
        <v>0</v>
      </c>
      <c r="AO488" s="42">
        <f t="shared" si="479"/>
        <v>0</v>
      </c>
      <c r="AP488" s="42">
        <f t="shared" si="479"/>
        <v>0</v>
      </c>
      <c r="AQ488" s="42">
        <f t="shared" si="479"/>
        <v>0</v>
      </c>
      <c r="AR488" s="42">
        <f t="shared" si="479"/>
        <v>0</v>
      </c>
      <c r="AS488" s="42">
        <f t="shared" si="479"/>
        <v>0</v>
      </c>
    </row>
    <row r="489" spans="1:45" ht="15" customHeight="1" x14ac:dyDescent="0.3">
      <c r="I489" s="116"/>
      <c r="AL489" s="42"/>
      <c r="AM489" s="42"/>
      <c r="AN489" s="42"/>
      <c r="AO489" s="42"/>
      <c r="AP489" s="42"/>
      <c r="AQ489" s="42"/>
      <c r="AR489" s="42"/>
      <c r="AS489" s="42"/>
    </row>
    <row r="490" spans="1:45" ht="15" customHeight="1" x14ac:dyDescent="0.3">
      <c r="B490" s="112" t="s">
        <v>557</v>
      </c>
      <c r="I490" s="116"/>
      <c r="AL490" s="42"/>
      <c r="AM490" s="42"/>
      <c r="AN490" s="42"/>
      <c r="AO490" s="42"/>
      <c r="AP490" s="42"/>
      <c r="AQ490" s="42"/>
      <c r="AR490" s="42"/>
      <c r="AS490" s="42"/>
    </row>
    <row r="491" spans="1:45" ht="15" customHeight="1" x14ac:dyDescent="0.3">
      <c r="I491" s="116"/>
      <c r="AL491" s="42"/>
      <c r="AM491" s="42"/>
      <c r="AN491" s="42"/>
      <c r="AO491" s="42"/>
      <c r="AP491" s="42"/>
      <c r="AQ491" s="42"/>
      <c r="AR491" s="42"/>
      <c r="AS491" s="42"/>
    </row>
    <row r="492" spans="1:45" ht="15" customHeight="1" x14ac:dyDescent="0.3">
      <c r="C492" s="113" t="s">
        <v>437</v>
      </c>
      <c r="I492" s="116"/>
      <c r="AL492" s="42"/>
      <c r="AM492" s="42"/>
      <c r="AN492" s="42"/>
      <c r="AO492" s="42"/>
      <c r="AP492" s="42"/>
      <c r="AQ492" s="42"/>
      <c r="AR492" s="42"/>
      <c r="AS492" s="42"/>
    </row>
    <row r="493" spans="1:45" ht="15" customHeight="1" x14ac:dyDescent="0.3">
      <c r="A493" s="244"/>
      <c r="B493" s="244"/>
      <c r="C493" s="245"/>
      <c r="D493" s="246"/>
      <c r="E493" s="549" t="str">
        <f xml:space="preserve"> COMMUS_23FS_Model!E$140</f>
        <v>Production costs</v>
      </c>
      <c r="F493" s="549">
        <f xml:space="preserve"> COMMUS_23FS_Model!F$140</f>
        <v>0</v>
      </c>
      <c r="G493" s="549" t="str">
        <f xml:space="preserve"> COMMUS_23FS_Model!G$140</f>
        <v>$ mn</v>
      </c>
      <c r="H493" s="549">
        <f xml:space="preserve"> COMMUS_23FS_Model!H$140</f>
        <v>0</v>
      </c>
      <c r="I493" s="549">
        <f xml:space="preserve"> COMMUS_23FS_Model!I$140</f>
        <v>5849.9963499999994</v>
      </c>
      <c r="J493" s="549">
        <f xml:space="preserve"> COMMUS_23FS_Model!J$140</f>
        <v>0</v>
      </c>
      <c r="K493" s="549">
        <f xml:space="preserve"> COMMUS_23FS_Model!K$140</f>
        <v>0</v>
      </c>
      <c r="L493" s="549">
        <f xml:space="preserve"> COMMUS_23FS_Model!L$140</f>
        <v>0</v>
      </c>
      <c r="M493" s="549">
        <f xml:space="preserve"> COMMUS_23FS_Model!M$140</f>
        <v>0</v>
      </c>
      <c r="N493" s="549">
        <f xml:space="preserve"> COMMUS_23FS_Model!N$140</f>
        <v>0</v>
      </c>
      <c r="O493" s="549">
        <f xml:space="preserve"> COMMUS_23FS_Model!O$140</f>
        <v>0</v>
      </c>
      <c r="P493" s="549">
        <f xml:space="preserve"> COMMUS_23FS_Model!P$140</f>
        <v>0</v>
      </c>
      <c r="Q493" s="549">
        <f xml:space="preserve"> COMMUS_23FS_Model!Q$140</f>
        <v>0</v>
      </c>
      <c r="R493" s="549">
        <f xml:space="preserve"> COMMUS_23FS_Model!R$140</f>
        <v>0</v>
      </c>
      <c r="S493" s="549">
        <f xml:space="preserve"> COMMUS_23FS_Model!S$140</f>
        <v>0</v>
      </c>
      <c r="T493" s="549">
        <f xml:space="preserve"> COMMUS_23FS_Model!T$140</f>
        <v>0</v>
      </c>
      <c r="U493" s="549">
        <f xml:space="preserve"> COMMUS_23FS_Model!U$140</f>
        <v>0</v>
      </c>
      <c r="V493" s="549">
        <f xml:space="preserve"> COMMUS_23FS_Model!V$140</f>
        <v>91.180059999999997</v>
      </c>
      <c r="W493" s="549">
        <f xml:space="preserve"> COMMUS_23FS_Model!W$140</f>
        <v>110.98714</v>
      </c>
      <c r="X493" s="549">
        <f xml:space="preserve"> COMMUS_23FS_Model!X$140</f>
        <v>221.33031</v>
      </c>
      <c r="Y493" s="549">
        <f xml:space="preserve"> COMMUS_23FS_Model!Y$140</f>
        <v>274.47759000000002</v>
      </c>
      <c r="Z493" s="549">
        <f xml:space="preserve"> COMMUS_23FS_Model!Z$140</f>
        <v>245.96544</v>
      </c>
      <c r="AA493" s="549">
        <f xml:space="preserve"> COMMUS_23FS_Model!AA$140</f>
        <v>538.47123999999997</v>
      </c>
      <c r="AB493" s="549">
        <f xml:space="preserve"> COMMUS_23FS_Model!AB$140</f>
        <v>460.35408999999999</v>
      </c>
      <c r="AC493" s="549">
        <f xml:space="preserve"> COMMUS_23FS_Model!AC$140</f>
        <v>466.00236571428576</v>
      </c>
      <c r="AD493" s="549">
        <f xml:space="preserve"> COMMUS_23FS_Model!AD$140</f>
        <v>466.00236571428576</v>
      </c>
      <c r="AE493" s="549">
        <f xml:space="preserve"> COMMUS_23FS_Model!AE$140</f>
        <v>466.00236571428576</v>
      </c>
      <c r="AF493" s="549">
        <f xml:space="preserve"> COMMUS_23FS_Model!AF$140</f>
        <v>466.00236571428576</v>
      </c>
      <c r="AG493" s="549">
        <f xml:space="preserve"> COMMUS_23FS_Model!AG$140</f>
        <v>466.00236571428576</v>
      </c>
      <c r="AH493" s="549">
        <f xml:space="preserve"> COMMUS_23FS_Model!AH$140</f>
        <v>466.00236571428576</v>
      </c>
      <c r="AI493" s="549">
        <f xml:space="preserve"> COMMUS_23FS_Model!AI$140</f>
        <v>466.00236571428576</v>
      </c>
      <c r="AJ493" s="549">
        <f xml:space="preserve"> COMMUS_23FS_Model!AJ$140</f>
        <v>420.73610000000002</v>
      </c>
      <c r="AK493" s="549">
        <f xml:space="preserve"> COMMUS_23FS_Model!AK$140</f>
        <v>224.47782000000001</v>
      </c>
      <c r="AL493" s="549">
        <f xml:space="preserve"> COMMUS_23FS_Model!AL$140</f>
        <v>0</v>
      </c>
      <c r="AM493" s="549">
        <f xml:space="preserve"> COMMUS_23FS_Model!AM$140</f>
        <v>0</v>
      </c>
      <c r="AN493" s="549">
        <f xml:space="preserve"> COMMUS_23FS_Model!AN$140</f>
        <v>0</v>
      </c>
      <c r="AO493" s="549">
        <f xml:space="preserve"> COMMUS_23FS_Model!AO$140</f>
        <v>0</v>
      </c>
      <c r="AP493" s="549">
        <f xml:space="preserve"> COMMUS_23FS_Model!AP$140</f>
        <v>0</v>
      </c>
      <c r="AQ493" s="549">
        <f xml:space="preserve"> COMMUS_23FS_Model!AQ$140</f>
        <v>0</v>
      </c>
      <c r="AR493" s="549">
        <f xml:space="preserve"> COMMUS_23FS_Model!AR$140</f>
        <v>0</v>
      </c>
      <c r="AS493" s="549">
        <f xml:space="preserve"> COMMUS_23FS_Model!AS$140</f>
        <v>0</v>
      </c>
    </row>
    <row r="494" spans="1:45" ht="15" customHeight="1" x14ac:dyDescent="0.3">
      <c r="A494" s="244"/>
      <c r="B494" s="244"/>
      <c r="C494" s="245"/>
      <c r="D494" s="246"/>
      <c r="E494" s="127" t="str">
        <f xml:space="preserve"> E$450</f>
        <v>Total royalty</v>
      </c>
      <c r="F494" s="127">
        <f t="shared" ref="F494:O494" si="480" xml:space="preserve"> F$450</f>
        <v>0</v>
      </c>
      <c r="G494" s="127" t="str">
        <f t="shared" si="480"/>
        <v>$ mn</v>
      </c>
      <c r="H494" s="127">
        <f t="shared" si="480"/>
        <v>0</v>
      </c>
      <c r="I494" s="127">
        <f t="shared" si="480"/>
        <v>457.74229303356492</v>
      </c>
      <c r="J494" s="127">
        <f t="shared" si="480"/>
        <v>0</v>
      </c>
      <c r="K494" s="127">
        <f t="shared" si="480"/>
        <v>0</v>
      </c>
      <c r="L494" s="127">
        <f t="shared" si="480"/>
        <v>0</v>
      </c>
      <c r="M494" s="127">
        <f t="shared" si="480"/>
        <v>0</v>
      </c>
      <c r="N494" s="127">
        <f t="shared" si="480"/>
        <v>0</v>
      </c>
      <c r="O494" s="127">
        <f t="shared" si="480"/>
        <v>0</v>
      </c>
      <c r="P494" s="127">
        <f t="shared" ref="P494:AS494" si="481" xml:space="preserve"> P$450</f>
        <v>0</v>
      </c>
      <c r="Q494" s="127">
        <f t="shared" si="481"/>
        <v>0</v>
      </c>
      <c r="R494" s="127">
        <f t="shared" si="481"/>
        <v>0</v>
      </c>
      <c r="S494" s="127">
        <f t="shared" si="481"/>
        <v>0</v>
      </c>
      <c r="T494" s="127">
        <f t="shared" si="481"/>
        <v>0</v>
      </c>
      <c r="U494" s="127">
        <f t="shared" si="481"/>
        <v>0</v>
      </c>
      <c r="V494" s="127">
        <f t="shared" si="481"/>
        <v>2.0936121000000005</v>
      </c>
      <c r="W494" s="127">
        <f t="shared" si="481"/>
        <v>7.5658579699999997</v>
      </c>
      <c r="X494" s="127">
        <f t="shared" si="481"/>
        <v>16.337975890432002</v>
      </c>
      <c r="Y494" s="127">
        <f t="shared" si="481"/>
        <v>25.546252756080001</v>
      </c>
      <c r="Z494" s="127">
        <f t="shared" si="481"/>
        <v>43.023062557888011</v>
      </c>
      <c r="AA494" s="127">
        <f t="shared" si="481"/>
        <v>43.288425837524002</v>
      </c>
      <c r="AB494" s="127">
        <f t="shared" si="481"/>
        <v>39.115809928424305</v>
      </c>
      <c r="AC494" s="127">
        <f t="shared" si="481"/>
        <v>23.714695633259289</v>
      </c>
      <c r="AD494" s="127">
        <f t="shared" si="481"/>
        <v>36.174084346767344</v>
      </c>
      <c r="AE494" s="127">
        <f t="shared" si="481"/>
        <v>36.23127661610944</v>
      </c>
      <c r="AF494" s="127">
        <f t="shared" si="481"/>
        <v>36.198843743194338</v>
      </c>
      <c r="AG494" s="127">
        <f t="shared" si="481"/>
        <v>36.152806681136795</v>
      </c>
      <c r="AH494" s="127">
        <f t="shared" si="481"/>
        <v>36.201691396517489</v>
      </c>
      <c r="AI494" s="127">
        <f t="shared" si="481"/>
        <v>31.43504126794684</v>
      </c>
      <c r="AJ494" s="127">
        <f t="shared" si="481"/>
        <v>31.402193175662639</v>
      </c>
      <c r="AK494" s="127">
        <f t="shared" si="481"/>
        <v>13.260663132622414</v>
      </c>
      <c r="AL494" s="127">
        <f t="shared" si="481"/>
        <v>0</v>
      </c>
      <c r="AM494" s="127">
        <f t="shared" si="481"/>
        <v>0</v>
      </c>
      <c r="AN494" s="127">
        <f t="shared" si="481"/>
        <v>0</v>
      </c>
      <c r="AO494" s="127">
        <f t="shared" si="481"/>
        <v>0</v>
      </c>
      <c r="AP494" s="127">
        <f t="shared" si="481"/>
        <v>0</v>
      </c>
      <c r="AQ494" s="127">
        <f t="shared" si="481"/>
        <v>0</v>
      </c>
      <c r="AR494" s="127">
        <f t="shared" si="481"/>
        <v>0</v>
      </c>
      <c r="AS494" s="127">
        <f t="shared" si="481"/>
        <v>0</v>
      </c>
    </row>
    <row r="495" spans="1:45" ht="15" customHeight="1" x14ac:dyDescent="0.3">
      <c r="A495" s="575"/>
      <c r="B495" s="575"/>
      <c r="C495" s="576"/>
      <c r="D495" s="536"/>
      <c r="E495" s="337" t="str">
        <f xml:space="preserve"> COMMUS_23FS_Model!E$149</f>
        <v>Production costs adjusted</v>
      </c>
      <c r="F495" s="337">
        <f xml:space="preserve"> COMMUS_23FS_Model!F$149</f>
        <v>0</v>
      </c>
      <c r="G495" s="337" t="str">
        <f xml:space="preserve"> COMMUS_23FS_Model!G$149</f>
        <v>$ mn</v>
      </c>
      <c r="H495" s="337">
        <f xml:space="preserve"> COMMUS_23FS_Model!H$149</f>
        <v>0</v>
      </c>
      <c r="I495" s="337">
        <f>SUM(K495:AS495)</f>
        <v>5392.2540569664352</v>
      </c>
      <c r="J495" s="337">
        <f xml:space="preserve"> COMMUS_23FS_Model!J$149</f>
        <v>0</v>
      </c>
      <c r="K495" s="337">
        <f t="shared" ref="K495:O495" si="482">K493 - SUM(K494:K494)</f>
        <v>0</v>
      </c>
      <c r="L495" s="337">
        <f t="shared" si="482"/>
        <v>0</v>
      </c>
      <c r="M495" s="337">
        <f t="shared" si="482"/>
        <v>0</v>
      </c>
      <c r="N495" s="337">
        <f t="shared" si="482"/>
        <v>0</v>
      </c>
      <c r="O495" s="337">
        <f t="shared" si="482"/>
        <v>0</v>
      </c>
      <c r="P495" s="337">
        <f t="shared" ref="P495:R495" si="483">P493 - SUM(P494:P494)</f>
        <v>0</v>
      </c>
      <c r="Q495" s="337">
        <f t="shared" si="483"/>
        <v>0</v>
      </c>
      <c r="R495" s="337">
        <f t="shared" si="483"/>
        <v>0</v>
      </c>
      <c r="S495" s="337">
        <f t="shared" ref="S495:AS495" si="484">S493 - SUM(S494:S494)</f>
        <v>0</v>
      </c>
      <c r="T495" s="337">
        <f t="shared" si="484"/>
        <v>0</v>
      </c>
      <c r="U495" s="337">
        <f t="shared" si="484"/>
        <v>0</v>
      </c>
      <c r="V495" s="337">
        <f t="shared" si="484"/>
        <v>89.086447899999996</v>
      </c>
      <c r="W495" s="337">
        <f t="shared" si="484"/>
        <v>103.42128203</v>
      </c>
      <c r="X495" s="337">
        <f t="shared" si="484"/>
        <v>204.99233410956799</v>
      </c>
      <c r="Y495" s="337">
        <f t="shared" si="484"/>
        <v>248.93133724392001</v>
      </c>
      <c r="Z495" s="337">
        <f t="shared" si="484"/>
        <v>202.94237744211199</v>
      </c>
      <c r="AA495" s="337">
        <f t="shared" si="484"/>
        <v>495.18281416247595</v>
      </c>
      <c r="AB495" s="337">
        <f t="shared" si="484"/>
        <v>421.23828007157567</v>
      </c>
      <c r="AC495" s="337">
        <f t="shared" si="484"/>
        <v>442.28767008102648</v>
      </c>
      <c r="AD495" s="337">
        <f t="shared" si="484"/>
        <v>429.8282813675184</v>
      </c>
      <c r="AE495" s="337">
        <f t="shared" si="484"/>
        <v>429.77108909817633</v>
      </c>
      <c r="AF495" s="337">
        <f t="shared" si="484"/>
        <v>429.80352197109141</v>
      </c>
      <c r="AG495" s="337">
        <f t="shared" si="484"/>
        <v>429.84955903314898</v>
      </c>
      <c r="AH495" s="337">
        <f t="shared" si="484"/>
        <v>429.80067431776826</v>
      </c>
      <c r="AI495" s="337">
        <f t="shared" si="484"/>
        <v>434.56732444633894</v>
      </c>
      <c r="AJ495" s="337">
        <f t="shared" si="484"/>
        <v>389.33390682433736</v>
      </c>
      <c r="AK495" s="337">
        <f t="shared" si="484"/>
        <v>211.21715686737758</v>
      </c>
      <c r="AL495" s="337">
        <f t="shared" si="484"/>
        <v>0</v>
      </c>
      <c r="AM495" s="337">
        <f t="shared" si="484"/>
        <v>0</v>
      </c>
      <c r="AN495" s="337">
        <f t="shared" si="484"/>
        <v>0</v>
      </c>
      <c r="AO495" s="337">
        <f t="shared" si="484"/>
        <v>0</v>
      </c>
      <c r="AP495" s="337">
        <f t="shared" si="484"/>
        <v>0</v>
      </c>
      <c r="AQ495" s="337">
        <f t="shared" si="484"/>
        <v>0</v>
      </c>
      <c r="AR495" s="337">
        <f t="shared" si="484"/>
        <v>0</v>
      </c>
      <c r="AS495" s="337">
        <f t="shared" si="484"/>
        <v>0</v>
      </c>
    </row>
    <row r="496" spans="1:45" ht="15" customHeight="1" x14ac:dyDescent="0.3">
      <c r="A496" s="170"/>
      <c r="B496" s="170"/>
      <c r="C496" s="171"/>
      <c r="D496" s="172"/>
      <c r="E496" s="550"/>
      <c r="F496" s="550"/>
      <c r="G496" s="550"/>
      <c r="H496" s="550"/>
      <c r="I496" s="550"/>
      <c r="J496" s="550"/>
      <c r="K496" s="550"/>
      <c r="L496" s="550"/>
      <c r="M496" s="550"/>
      <c r="N496" s="550"/>
      <c r="O496" s="550"/>
      <c r="P496" s="550"/>
      <c r="Q496" s="550"/>
      <c r="R496" s="550"/>
      <c r="S496" s="550"/>
      <c r="T496" s="550"/>
      <c r="U496" s="550"/>
      <c r="V496" s="550"/>
      <c r="W496" s="550"/>
      <c r="X496" s="550"/>
      <c r="Y496" s="550"/>
      <c r="Z496" s="550"/>
      <c r="AA496" s="550"/>
      <c r="AB496" s="550"/>
      <c r="AC496" s="550"/>
      <c r="AD496" s="550"/>
      <c r="AE496" s="550"/>
      <c r="AF496" s="550"/>
      <c r="AG496" s="550"/>
      <c r="AH496" s="550"/>
      <c r="AI496" s="550"/>
      <c r="AJ496" s="550"/>
      <c r="AK496" s="550"/>
      <c r="AL496" s="550"/>
      <c r="AM496" s="550"/>
      <c r="AN496" s="550"/>
      <c r="AO496" s="550"/>
      <c r="AP496" s="550"/>
      <c r="AQ496" s="550"/>
      <c r="AR496" s="550"/>
      <c r="AS496" s="550"/>
    </row>
    <row r="497" spans="1:45" ht="15" customHeight="1" x14ac:dyDescent="0.3">
      <c r="A497" s="170"/>
      <c r="B497" s="170"/>
      <c r="C497" s="171" t="s">
        <v>439</v>
      </c>
      <c r="D497" s="172"/>
      <c r="E497" s="550"/>
      <c r="F497" s="550"/>
      <c r="G497" s="550"/>
      <c r="H497" s="550"/>
      <c r="I497" s="550"/>
      <c r="J497" s="550"/>
      <c r="K497" s="550"/>
      <c r="L497" s="550"/>
      <c r="M497" s="550"/>
      <c r="N497" s="550"/>
      <c r="O497" s="550"/>
      <c r="P497" s="550"/>
      <c r="Q497" s="550"/>
      <c r="R497" s="550"/>
      <c r="S497" s="550"/>
      <c r="T497" s="550"/>
      <c r="U497" s="550"/>
      <c r="V497" s="550"/>
      <c r="W497" s="550"/>
      <c r="X497" s="550"/>
      <c r="Y497" s="550"/>
      <c r="Z497" s="550"/>
      <c r="AA497" s="550"/>
      <c r="AB497" s="550"/>
      <c r="AC497" s="550"/>
      <c r="AD497" s="550"/>
      <c r="AE497" s="550"/>
      <c r="AF497" s="550"/>
      <c r="AG497" s="550"/>
      <c r="AH497" s="550"/>
      <c r="AI497" s="550"/>
      <c r="AJ497" s="550"/>
      <c r="AK497" s="550"/>
      <c r="AL497" s="550"/>
      <c r="AM497" s="550"/>
      <c r="AN497" s="550"/>
      <c r="AO497" s="550"/>
      <c r="AP497" s="550"/>
      <c r="AQ497" s="550"/>
      <c r="AR497" s="550"/>
      <c r="AS497" s="550"/>
    </row>
    <row r="498" spans="1:45" ht="15" customHeight="1" x14ac:dyDescent="0.3">
      <c r="A498" s="170"/>
      <c r="B498" s="170"/>
      <c r="C498" s="171"/>
      <c r="D498" s="172"/>
      <c r="E498" s="300" t="str">
        <f xml:space="preserve"> E$495</f>
        <v>Production costs adjusted</v>
      </c>
      <c r="F498" s="300">
        <f t="shared" ref="F498:O498" si="485" xml:space="preserve"> F$495</f>
        <v>0</v>
      </c>
      <c r="G498" s="300" t="str">
        <f t="shared" si="485"/>
        <v>$ mn</v>
      </c>
      <c r="H498" s="300">
        <f t="shared" si="485"/>
        <v>0</v>
      </c>
      <c r="I498" s="300">
        <f t="shared" si="485"/>
        <v>5392.2540569664352</v>
      </c>
      <c r="J498" s="300">
        <f t="shared" si="485"/>
        <v>0</v>
      </c>
      <c r="K498" s="300">
        <f t="shared" si="485"/>
        <v>0</v>
      </c>
      <c r="L498" s="300">
        <f t="shared" si="485"/>
        <v>0</v>
      </c>
      <c r="M498" s="300">
        <f t="shared" si="485"/>
        <v>0</v>
      </c>
      <c r="N498" s="300">
        <f t="shared" si="485"/>
        <v>0</v>
      </c>
      <c r="O498" s="300">
        <f t="shared" si="485"/>
        <v>0</v>
      </c>
      <c r="P498" s="300">
        <f t="shared" ref="P498:AS498" si="486" xml:space="preserve"> P$495</f>
        <v>0</v>
      </c>
      <c r="Q498" s="300">
        <f t="shared" si="486"/>
        <v>0</v>
      </c>
      <c r="R498" s="300">
        <f t="shared" si="486"/>
        <v>0</v>
      </c>
      <c r="S498" s="300">
        <f t="shared" si="486"/>
        <v>0</v>
      </c>
      <c r="T498" s="300">
        <f t="shared" si="486"/>
        <v>0</v>
      </c>
      <c r="U498" s="300">
        <f t="shared" si="486"/>
        <v>0</v>
      </c>
      <c r="V498" s="300">
        <f t="shared" si="486"/>
        <v>89.086447899999996</v>
      </c>
      <c r="W498" s="300">
        <f t="shared" si="486"/>
        <v>103.42128203</v>
      </c>
      <c r="X498" s="300">
        <f t="shared" si="486"/>
        <v>204.99233410956799</v>
      </c>
      <c r="Y498" s="300">
        <f t="shared" si="486"/>
        <v>248.93133724392001</v>
      </c>
      <c r="Z498" s="300">
        <f t="shared" si="486"/>
        <v>202.94237744211199</v>
      </c>
      <c r="AA498" s="300">
        <f t="shared" si="486"/>
        <v>495.18281416247595</v>
      </c>
      <c r="AB498" s="300">
        <f t="shared" si="486"/>
        <v>421.23828007157567</v>
      </c>
      <c r="AC498" s="300">
        <f t="shared" si="486"/>
        <v>442.28767008102648</v>
      </c>
      <c r="AD498" s="300">
        <f t="shared" si="486"/>
        <v>429.8282813675184</v>
      </c>
      <c r="AE498" s="300">
        <f t="shared" si="486"/>
        <v>429.77108909817633</v>
      </c>
      <c r="AF498" s="300">
        <f t="shared" si="486"/>
        <v>429.80352197109141</v>
      </c>
      <c r="AG498" s="300">
        <f t="shared" si="486"/>
        <v>429.84955903314898</v>
      </c>
      <c r="AH498" s="300">
        <f t="shared" si="486"/>
        <v>429.80067431776826</v>
      </c>
      <c r="AI498" s="300">
        <f t="shared" si="486"/>
        <v>434.56732444633894</v>
      </c>
      <c r="AJ498" s="300">
        <f t="shared" si="486"/>
        <v>389.33390682433736</v>
      </c>
      <c r="AK498" s="300">
        <f t="shared" si="486"/>
        <v>211.21715686737758</v>
      </c>
      <c r="AL498" s="300">
        <f t="shared" si="486"/>
        <v>0</v>
      </c>
      <c r="AM498" s="300">
        <f t="shared" si="486"/>
        <v>0</v>
      </c>
      <c r="AN498" s="300">
        <f t="shared" si="486"/>
        <v>0</v>
      </c>
      <c r="AO498" s="300">
        <f t="shared" si="486"/>
        <v>0</v>
      </c>
      <c r="AP498" s="300">
        <f t="shared" si="486"/>
        <v>0</v>
      </c>
      <c r="AQ498" s="300">
        <f t="shared" si="486"/>
        <v>0</v>
      </c>
      <c r="AR498" s="300">
        <f t="shared" si="486"/>
        <v>0</v>
      </c>
      <c r="AS498" s="300">
        <f t="shared" si="486"/>
        <v>0</v>
      </c>
    </row>
    <row r="499" spans="1:45" ht="15" customHeight="1" x14ac:dyDescent="0.3">
      <c r="A499" s="170"/>
      <c r="B499" s="170"/>
      <c r="C499" s="171"/>
      <c r="D499" s="172"/>
      <c r="E499" s="550" t="str">
        <f xml:space="preserve"> COMMUS_23FS_Model!E$153</f>
        <v>Personnel expenses</v>
      </c>
      <c r="F499" s="550">
        <f xml:space="preserve"> COMMUS_23FS_Model!F$153</f>
        <v>0</v>
      </c>
      <c r="G499" s="550" t="str">
        <f xml:space="preserve"> COMMUS_23FS_Model!G$153</f>
        <v>$ mn</v>
      </c>
      <c r="H499" s="550">
        <f xml:space="preserve"> COMMUS_23FS_Model!H$153</f>
        <v>0</v>
      </c>
      <c r="I499" s="550">
        <f xml:space="preserve"> COMMUS_23FS_Model!I$153</f>
        <v>343.43</v>
      </c>
      <c r="J499" s="550">
        <f xml:space="preserve"> COMMUS_23FS_Model!J$153</f>
        <v>0</v>
      </c>
      <c r="K499" s="550">
        <f xml:space="preserve"> COMMUS_23FS_Model!K$153</f>
        <v>0</v>
      </c>
      <c r="L499" s="550">
        <f xml:space="preserve"> COMMUS_23FS_Model!L$153</f>
        <v>0</v>
      </c>
      <c r="M499" s="550">
        <f xml:space="preserve"> COMMUS_23FS_Model!M$153</f>
        <v>0</v>
      </c>
      <c r="N499" s="550">
        <f xml:space="preserve"> COMMUS_23FS_Model!N$153</f>
        <v>0</v>
      </c>
      <c r="O499" s="550">
        <f xml:space="preserve"> COMMUS_23FS_Model!O$153</f>
        <v>0</v>
      </c>
      <c r="P499" s="550">
        <f xml:space="preserve"> COMMUS_23FS_Model!P$153</f>
        <v>0</v>
      </c>
      <c r="Q499" s="550">
        <f xml:space="preserve"> COMMUS_23FS_Model!Q$153</f>
        <v>0</v>
      </c>
      <c r="R499" s="550">
        <f xml:space="preserve"> COMMUS_23FS_Model!R$153</f>
        <v>0</v>
      </c>
      <c r="S499" s="550">
        <f xml:space="preserve"> COMMUS_23FS_Model!S$153</f>
        <v>0</v>
      </c>
      <c r="T499" s="550">
        <f xml:space="preserve"> COMMUS_23FS_Model!T$153</f>
        <v>0</v>
      </c>
      <c r="U499" s="550">
        <f xml:space="preserve"> COMMUS_23FS_Model!U$153</f>
        <v>0</v>
      </c>
      <c r="V499" s="550">
        <f xml:space="preserve"> COMMUS_23FS_Model!V$153</f>
        <v>3.4609999999999999</v>
      </c>
      <c r="W499" s="550">
        <f xml:space="preserve"> COMMUS_23FS_Model!W$153</f>
        <v>7.7869999999999999</v>
      </c>
      <c r="X499" s="550">
        <f xml:space="preserve"> COMMUS_23FS_Model!X$153</f>
        <v>17.962</v>
      </c>
      <c r="Y499" s="550">
        <f xml:space="preserve"> COMMUS_23FS_Model!Y$153</f>
        <v>26.148</v>
      </c>
      <c r="Z499" s="550">
        <f xml:space="preserve"> COMMUS_23FS_Model!Z$153</f>
        <v>33.9</v>
      </c>
      <c r="AA499" s="550">
        <f xml:space="preserve"> COMMUS_23FS_Model!AA$153</f>
        <v>26.048999999999999</v>
      </c>
      <c r="AB499" s="550">
        <f xml:space="preserve"> COMMUS_23FS_Model!AB$153</f>
        <v>19.428000000000001</v>
      </c>
      <c r="AC499" s="550">
        <f xml:space="preserve"> COMMUS_23FS_Model!AC$153</f>
        <v>22.504999999999995</v>
      </c>
      <c r="AD499" s="550">
        <f xml:space="preserve"> COMMUS_23FS_Model!AD$153</f>
        <v>22.504999999999995</v>
      </c>
      <c r="AE499" s="550">
        <f xml:space="preserve"> COMMUS_23FS_Model!AE$153</f>
        <v>22.504999999999995</v>
      </c>
      <c r="AF499" s="550">
        <f xml:space="preserve"> COMMUS_23FS_Model!AF$153</f>
        <v>22.504999999999995</v>
      </c>
      <c r="AG499" s="550">
        <f xml:space="preserve"> COMMUS_23FS_Model!AG$153</f>
        <v>22.504999999999995</v>
      </c>
      <c r="AH499" s="550">
        <f xml:space="preserve"> COMMUS_23FS_Model!AH$153</f>
        <v>22.504999999999995</v>
      </c>
      <c r="AI499" s="550">
        <f xml:space="preserve"> COMMUS_23FS_Model!AI$153</f>
        <v>22.504999999999995</v>
      </c>
      <c r="AJ499" s="550">
        <f xml:space="preserve"> COMMUS_23FS_Model!AJ$153</f>
        <v>25.210999999999999</v>
      </c>
      <c r="AK499" s="550">
        <f xml:space="preserve"> COMMUS_23FS_Model!AK$153</f>
        <v>25.949000000000002</v>
      </c>
      <c r="AL499" s="550">
        <f xml:space="preserve"> COMMUS_23FS_Model!AL$153</f>
        <v>0</v>
      </c>
      <c r="AM499" s="550">
        <f xml:space="preserve"> COMMUS_23FS_Model!AM$153</f>
        <v>0</v>
      </c>
      <c r="AN499" s="550">
        <f xml:space="preserve"> COMMUS_23FS_Model!AN$153</f>
        <v>0</v>
      </c>
      <c r="AO499" s="550">
        <f xml:space="preserve"> COMMUS_23FS_Model!AO$153</f>
        <v>0</v>
      </c>
      <c r="AP499" s="550">
        <f xml:space="preserve"> COMMUS_23FS_Model!AP$153</f>
        <v>0</v>
      </c>
      <c r="AQ499" s="550">
        <f xml:space="preserve"> COMMUS_23FS_Model!AQ$153</f>
        <v>0</v>
      </c>
      <c r="AR499" s="550">
        <f xml:space="preserve"> COMMUS_23FS_Model!AR$153</f>
        <v>0</v>
      </c>
      <c r="AS499" s="550">
        <f xml:space="preserve"> COMMUS_23FS_Model!AS$153</f>
        <v>0</v>
      </c>
    </row>
    <row r="500" spans="1:45" ht="15" customHeight="1" x14ac:dyDescent="0.3">
      <c r="A500" s="575"/>
      <c r="B500" s="575"/>
      <c r="C500" s="576"/>
      <c r="D500" s="536"/>
      <c r="E500" s="337" t="str">
        <f xml:space="preserve"> COMMUS_23FS_Model!E$155</f>
        <v>Operating costs: FS</v>
      </c>
      <c r="F500" s="337" t="str">
        <f xml:space="preserve"> COMMUS_23FS_Model!F$155</f>
        <v>FS</v>
      </c>
      <c r="G500" s="337" t="str">
        <f xml:space="preserve"> COMMUS_23FS_Model!G$155</f>
        <v>$ mn</v>
      </c>
      <c r="H500" s="337">
        <f xml:space="preserve"> COMMUS_23FS_Model!H$155</f>
        <v>0</v>
      </c>
      <c r="I500" s="337">
        <f>SUM(K500:AS500)</f>
        <v>5735.6840569664346</v>
      </c>
      <c r="J500" s="337">
        <f xml:space="preserve"> COMMUS_23FS_Model!J$155</f>
        <v>0</v>
      </c>
      <c r="K500" s="337">
        <f t="shared" ref="K500" si="487">SUM(K498:K499)</f>
        <v>0</v>
      </c>
      <c r="L500" s="337">
        <f t="shared" ref="L500" si="488">SUM(L498:L499)</f>
        <v>0</v>
      </c>
      <c r="M500" s="337">
        <f t="shared" ref="M500" si="489">SUM(M498:M499)</f>
        <v>0</v>
      </c>
      <c r="N500" s="337">
        <f t="shared" ref="N500" si="490">SUM(N498:N499)</f>
        <v>0</v>
      </c>
      <c r="O500" s="337">
        <f t="shared" ref="O500" si="491">SUM(O498:O499)</f>
        <v>0</v>
      </c>
      <c r="P500" s="337">
        <f t="shared" ref="P500:AS500" si="492">SUM(P498:P499)</f>
        <v>0</v>
      </c>
      <c r="Q500" s="337">
        <f t="shared" si="492"/>
        <v>0</v>
      </c>
      <c r="R500" s="337">
        <f t="shared" si="492"/>
        <v>0</v>
      </c>
      <c r="S500" s="337">
        <f t="shared" si="492"/>
        <v>0</v>
      </c>
      <c r="T500" s="337">
        <f t="shared" si="492"/>
        <v>0</v>
      </c>
      <c r="U500" s="337">
        <f t="shared" si="492"/>
        <v>0</v>
      </c>
      <c r="V500" s="337">
        <f t="shared" si="492"/>
        <v>92.547447899999995</v>
      </c>
      <c r="W500" s="337">
        <f t="shared" si="492"/>
        <v>111.20828203000001</v>
      </c>
      <c r="X500" s="337">
        <f t="shared" si="492"/>
        <v>222.95433410956798</v>
      </c>
      <c r="Y500" s="337">
        <f t="shared" si="492"/>
        <v>275.07933724392001</v>
      </c>
      <c r="Z500" s="337">
        <f t="shared" si="492"/>
        <v>236.842377442112</v>
      </c>
      <c r="AA500" s="337">
        <f t="shared" si="492"/>
        <v>521.23181416247598</v>
      </c>
      <c r="AB500" s="337">
        <f t="shared" si="492"/>
        <v>440.66628007157567</v>
      </c>
      <c r="AC500" s="337">
        <f t="shared" si="492"/>
        <v>464.79267008102647</v>
      </c>
      <c r="AD500" s="337">
        <f t="shared" si="492"/>
        <v>452.3332813675184</v>
      </c>
      <c r="AE500" s="337">
        <f t="shared" si="492"/>
        <v>452.27608909817633</v>
      </c>
      <c r="AF500" s="337">
        <f t="shared" si="492"/>
        <v>452.30852197109141</v>
      </c>
      <c r="AG500" s="337">
        <f t="shared" si="492"/>
        <v>452.35455903314897</v>
      </c>
      <c r="AH500" s="337">
        <f t="shared" si="492"/>
        <v>452.30567431776825</v>
      </c>
      <c r="AI500" s="337">
        <f t="shared" si="492"/>
        <v>457.07232444633894</v>
      </c>
      <c r="AJ500" s="337">
        <f t="shared" si="492"/>
        <v>414.54490682433737</v>
      </c>
      <c r="AK500" s="337">
        <f>SUM(AK498:AK499)</f>
        <v>237.16615686737759</v>
      </c>
      <c r="AL500" s="337">
        <f t="shared" si="492"/>
        <v>0</v>
      </c>
      <c r="AM500" s="337">
        <f t="shared" si="492"/>
        <v>0</v>
      </c>
      <c r="AN500" s="337">
        <f t="shared" si="492"/>
        <v>0</v>
      </c>
      <c r="AO500" s="337">
        <f t="shared" si="492"/>
        <v>0</v>
      </c>
      <c r="AP500" s="337">
        <f t="shared" si="492"/>
        <v>0</v>
      </c>
      <c r="AQ500" s="337">
        <f t="shared" si="492"/>
        <v>0</v>
      </c>
      <c r="AR500" s="337">
        <f t="shared" si="492"/>
        <v>0</v>
      </c>
      <c r="AS500" s="337">
        <f t="shared" si="492"/>
        <v>0</v>
      </c>
    </row>
    <row r="501" spans="1:45" ht="15" customHeight="1" x14ac:dyDescent="0.3">
      <c r="A501" s="170"/>
      <c r="B501" s="170"/>
      <c r="C501" s="171"/>
      <c r="D501" s="172"/>
      <c r="E501" s="550"/>
      <c r="F501" s="550"/>
      <c r="G501" s="550"/>
      <c r="H501" s="550"/>
      <c r="I501" s="550"/>
      <c r="J501" s="550"/>
      <c r="K501" s="550"/>
      <c r="L501" s="550"/>
      <c r="M501" s="550"/>
      <c r="N501" s="550"/>
      <c r="O501" s="550"/>
      <c r="P501" s="550"/>
      <c r="Q501" s="550"/>
      <c r="R501" s="550"/>
      <c r="S501" s="550"/>
      <c r="T501" s="550"/>
      <c r="U501" s="550"/>
      <c r="V501" s="550"/>
      <c r="W501" s="550"/>
      <c r="X501" s="550"/>
      <c r="Y501" s="550"/>
      <c r="Z501" s="550"/>
      <c r="AA501" s="550"/>
      <c r="AB501" s="550"/>
      <c r="AC501" s="550"/>
      <c r="AD501" s="550"/>
      <c r="AE501" s="550"/>
      <c r="AF501" s="550"/>
      <c r="AG501" s="550"/>
      <c r="AH501" s="550"/>
      <c r="AI501" s="550"/>
      <c r="AJ501" s="550"/>
      <c r="AK501" s="550"/>
      <c r="AL501" s="550"/>
      <c r="AM501" s="550"/>
      <c r="AN501" s="550"/>
      <c r="AO501" s="550"/>
      <c r="AP501" s="550"/>
      <c r="AQ501" s="550"/>
      <c r="AR501" s="550"/>
      <c r="AS501" s="550"/>
    </row>
    <row r="502" spans="1:45" ht="15" customHeight="1" x14ac:dyDescent="0.3">
      <c r="A502" s="170"/>
      <c r="B502" s="170"/>
      <c r="C502" s="171"/>
      <c r="D502" s="172"/>
      <c r="E502" s="552" t="str">
        <f xml:space="preserve"> Inputs_Con!E$14</f>
        <v>Operating costs: FS or original</v>
      </c>
      <c r="F502" s="148" t="str">
        <f xml:space="preserve"> Inputs_Con!F$14</f>
        <v>FS</v>
      </c>
      <c r="G502" s="552" t="str">
        <f xml:space="preserve"> Inputs_Con!G$14</f>
        <v>selected</v>
      </c>
      <c r="H502" s="550"/>
      <c r="I502" s="550"/>
      <c r="J502" s="550"/>
      <c r="K502" s="550"/>
      <c r="L502" s="550"/>
      <c r="M502" s="550"/>
      <c r="N502" s="550"/>
      <c r="O502" s="550"/>
      <c r="P502" s="550"/>
      <c r="Q502" s="550"/>
      <c r="R502" s="550"/>
      <c r="S502" s="550"/>
      <c r="T502" s="550"/>
      <c r="U502" s="550"/>
      <c r="V502" s="550"/>
      <c r="W502" s="550"/>
      <c r="X502" s="550"/>
      <c r="Y502" s="550"/>
      <c r="Z502" s="550"/>
      <c r="AA502" s="550"/>
      <c r="AB502" s="550"/>
      <c r="AC502" s="550"/>
      <c r="AD502" s="550"/>
      <c r="AE502" s="550"/>
      <c r="AF502" s="550"/>
      <c r="AG502" s="550"/>
      <c r="AH502" s="550"/>
      <c r="AI502" s="550"/>
      <c r="AJ502" s="550"/>
      <c r="AK502" s="550"/>
      <c r="AL502" s="550"/>
      <c r="AM502" s="550"/>
      <c r="AN502" s="550"/>
      <c r="AO502" s="550"/>
      <c r="AP502" s="550"/>
      <c r="AQ502" s="550"/>
      <c r="AR502" s="550"/>
      <c r="AS502" s="550"/>
    </row>
    <row r="503" spans="1:45" ht="15" customHeight="1" x14ac:dyDescent="0.3">
      <c r="A503" s="170"/>
      <c r="B503" s="170"/>
      <c r="C503" s="171"/>
      <c r="D503" s="172"/>
      <c r="E503" s="550"/>
      <c r="F503" s="550"/>
      <c r="G503" s="550"/>
      <c r="H503" s="550"/>
      <c r="I503" s="550"/>
      <c r="J503" s="550"/>
      <c r="K503" s="550"/>
      <c r="L503" s="550"/>
      <c r="M503" s="550"/>
      <c r="N503" s="550"/>
      <c r="O503" s="550"/>
      <c r="P503" s="550"/>
      <c r="Q503" s="550"/>
      <c r="R503" s="550"/>
      <c r="S503" s="550"/>
      <c r="T503" s="550"/>
      <c r="U503" s="550"/>
      <c r="V503" s="550"/>
      <c r="W503" s="550"/>
      <c r="X503" s="550"/>
      <c r="Y503" s="550"/>
      <c r="Z503" s="550"/>
      <c r="AA503" s="550"/>
      <c r="AB503" s="550"/>
      <c r="AC503" s="550"/>
      <c r="AD503" s="550"/>
      <c r="AE503" s="550"/>
      <c r="AF503" s="550"/>
      <c r="AG503" s="550"/>
      <c r="AH503" s="550"/>
      <c r="AI503" s="550"/>
      <c r="AJ503" s="550"/>
      <c r="AK503" s="550"/>
      <c r="AL503" s="550"/>
      <c r="AM503" s="550"/>
      <c r="AN503" s="550"/>
      <c r="AO503" s="550"/>
      <c r="AP503" s="550"/>
      <c r="AQ503" s="550"/>
      <c r="AR503" s="550"/>
      <c r="AS503" s="550"/>
    </row>
    <row r="504" spans="1:45" ht="15" customHeight="1" x14ac:dyDescent="0.3">
      <c r="A504" s="266"/>
      <c r="B504" s="267"/>
      <c r="C504" s="268"/>
      <c r="D504" s="269"/>
      <c r="E504" s="269"/>
      <c r="F504" s="269" t="s">
        <v>319</v>
      </c>
      <c r="G504" s="269"/>
      <c r="H504" s="269"/>
      <c r="I504" s="269"/>
      <c r="J504" s="269"/>
      <c r="K504" s="269"/>
      <c r="L504" s="269"/>
      <c r="M504" s="269"/>
      <c r="N504" s="269"/>
      <c r="O504" s="269"/>
      <c r="P504" s="269"/>
      <c r="Q504" s="269"/>
      <c r="R504" s="269"/>
      <c r="S504" s="269"/>
      <c r="T504" s="269"/>
      <c r="U504" s="269"/>
      <c r="V504" s="269"/>
      <c r="W504" s="269"/>
      <c r="X504" s="269"/>
      <c r="Y504" s="269"/>
      <c r="Z504" s="269"/>
      <c r="AA504" s="269"/>
      <c r="AB504" s="269"/>
      <c r="AC504" s="269"/>
      <c r="AD504" s="269"/>
      <c r="AE504" s="269"/>
      <c r="AF504" s="269"/>
      <c r="AG504" s="269"/>
      <c r="AH504" s="269"/>
      <c r="AI504" s="269"/>
      <c r="AJ504" s="269"/>
      <c r="AK504" s="269"/>
      <c r="AL504" s="269"/>
      <c r="AM504" s="269"/>
      <c r="AN504" s="269"/>
      <c r="AO504" s="269"/>
      <c r="AP504" s="269"/>
      <c r="AQ504" s="269"/>
      <c r="AR504" s="269"/>
      <c r="AS504" s="269"/>
    </row>
    <row r="505" spans="1:45" ht="15" customHeight="1" x14ac:dyDescent="0.3">
      <c r="A505" s="170"/>
      <c r="B505" s="170"/>
      <c r="C505" s="171"/>
      <c r="D505" s="172"/>
      <c r="E505" s="128" t="str">
        <f xml:space="preserve"> E$488</f>
        <v>Operating costs: Original</v>
      </c>
      <c r="F505" s="128" t="str">
        <f t="shared" ref="F505:O505" si="493" xml:space="preserve"> F$488</f>
        <v>Original</v>
      </c>
      <c r="G505" s="128" t="str">
        <f t="shared" si="493"/>
        <v>$ mn</v>
      </c>
      <c r="H505" s="128">
        <f t="shared" si="493"/>
        <v>0</v>
      </c>
      <c r="I505" s="128">
        <f t="shared" si="493"/>
        <v>5418.3176461210014</v>
      </c>
      <c r="J505" s="128">
        <f t="shared" si="493"/>
        <v>0</v>
      </c>
      <c r="K505" s="128">
        <f t="shared" si="493"/>
        <v>0</v>
      </c>
      <c r="L505" s="128">
        <f t="shared" si="493"/>
        <v>0</v>
      </c>
      <c r="M505" s="128">
        <f t="shared" si="493"/>
        <v>0</v>
      </c>
      <c r="N505" s="128">
        <f t="shared" si="493"/>
        <v>0</v>
      </c>
      <c r="O505" s="128">
        <f t="shared" si="493"/>
        <v>0</v>
      </c>
      <c r="P505" s="128">
        <f t="shared" ref="P505:AS505" si="494" xml:space="preserve"> P$488</f>
        <v>0</v>
      </c>
      <c r="Q505" s="128">
        <f t="shared" si="494"/>
        <v>0</v>
      </c>
      <c r="R505" s="128">
        <f t="shared" si="494"/>
        <v>0</v>
      </c>
      <c r="S505" s="128">
        <f t="shared" si="494"/>
        <v>0</v>
      </c>
      <c r="T505" s="128">
        <f t="shared" si="494"/>
        <v>0</v>
      </c>
      <c r="U505" s="128">
        <f t="shared" si="494"/>
        <v>0</v>
      </c>
      <c r="V505" s="128">
        <f t="shared" si="494"/>
        <v>121.33414388108356</v>
      </c>
      <c r="W505" s="128">
        <f t="shared" si="494"/>
        <v>342.26181813719739</v>
      </c>
      <c r="X505" s="128">
        <f t="shared" si="494"/>
        <v>403.38751553391376</v>
      </c>
      <c r="Y505" s="128">
        <f t="shared" si="494"/>
        <v>405.56111835076956</v>
      </c>
      <c r="Z505" s="128">
        <f t="shared" si="494"/>
        <v>664.57414730034407</v>
      </c>
      <c r="AA505" s="128">
        <f t="shared" si="494"/>
        <v>457.31154299999997</v>
      </c>
      <c r="AB505" s="128">
        <f t="shared" si="494"/>
        <v>386.36053726519577</v>
      </c>
      <c r="AC505" s="128">
        <f t="shared" si="494"/>
        <v>245.43370480494707</v>
      </c>
      <c r="AD505" s="128">
        <f t="shared" si="494"/>
        <v>342.3234974769772</v>
      </c>
      <c r="AE505" s="128">
        <f t="shared" si="494"/>
        <v>342.3234974769772</v>
      </c>
      <c r="AF505" s="128">
        <f t="shared" si="494"/>
        <v>342.3234974769772</v>
      </c>
      <c r="AG505" s="128">
        <f t="shared" si="494"/>
        <v>342.3234974769772</v>
      </c>
      <c r="AH505" s="128">
        <f t="shared" si="494"/>
        <v>342.3234974769772</v>
      </c>
      <c r="AI505" s="128">
        <f t="shared" si="494"/>
        <v>282.37938041469488</v>
      </c>
      <c r="AJ505" s="128">
        <f t="shared" si="494"/>
        <v>281.60364175139449</v>
      </c>
      <c r="AK505" s="128">
        <f t="shared" si="494"/>
        <v>116.49260829657536</v>
      </c>
      <c r="AL505" s="128">
        <f t="shared" si="494"/>
        <v>0</v>
      </c>
      <c r="AM505" s="128">
        <f t="shared" si="494"/>
        <v>0</v>
      </c>
      <c r="AN505" s="128">
        <f t="shared" si="494"/>
        <v>0</v>
      </c>
      <c r="AO505" s="128">
        <f t="shared" si="494"/>
        <v>0</v>
      </c>
      <c r="AP505" s="128">
        <f t="shared" si="494"/>
        <v>0</v>
      </c>
      <c r="AQ505" s="128">
        <f t="shared" si="494"/>
        <v>0</v>
      </c>
      <c r="AR505" s="128">
        <f t="shared" si="494"/>
        <v>0</v>
      </c>
      <c r="AS505" s="128">
        <f t="shared" si="494"/>
        <v>0</v>
      </c>
    </row>
    <row r="506" spans="1:45" ht="15" customHeight="1" x14ac:dyDescent="0.3">
      <c r="A506" s="170"/>
      <c r="B506" s="170"/>
      <c r="C506" s="171"/>
      <c r="D506" s="172"/>
      <c r="E506" s="300" t="str">
        <f xml:space="preserve"> E$500</f>
        <v>Operating costs: FS</v>
      </c>
      <c r="F506" s="300" t="str">
        <f t="shared" ref="F506:O506" si="495" xml:space="preserve"> F$500</f>
        <v>FS</v>
      </c>
      <c r="G506" s="300" t="str">
        <f t="shared" si="495"/>
        <v>$ mn</v>
      </c>
      <c r="H506" s="300">
        <f t="shared" si="495"/>
        <v>0</v>
      </c>
      <c r="I506" s="300">
        <f t="shared" si="495"/>
        <v>5735.6840569664346</v>
      </c>
      <c r="J506" s="300">
        <f t="shared" si="495"/>
        <v>0</v>
      </c>
      <c r="K506" s="300">
        <f t="shared" si="495"/>
        <v>0</v>
      </c>
      <c r="L506" s="300">
        <f t="shared" si="495"/>
        <v>0</v>
      </c>
      <c r="M506" s="300">
        <f t="shared" si="495"/>
        <v>0</v>
      </c>
      <c r="N506" s="300">
        <f t="shared" si="495"/>
        <v>0</v>
      </c>
      <c r="O506" s="300">
        <f t="shared" si="495"/>
        <v>0</v>
      </c>
      <c r="P506" s="300">
        <f t="shared" ref="P506:AS506" si="496" xml:space="preserve"> P$500</f>
        <v>0</v>
      </c>
      <c r="Q506" s="300">
        <f t="shared" si="496"/>
        <v>0</v>
      </c>
      <c r="R506" s="300">
        <f t="shared" si="496"/>
        <v>0</v>
      </c>
      <c r="S506" s="300">
        <f t="shared" si="496"/>
        <v>0</v>
      </c>
      <c r="T506" s="300">
        <f t="shared" si="496"/>
        <v>0</v>
      </c>
      <c r="U506" s="300">
        <f t="shared" si="496"/>
        <v>0</v>
      </c>
      <c r="V506" s="300">
        <f t="shared" si="496"/>
        <v>92.547447899999995</v>
      </c>
      <c r="W506" s="300">
        <f t="shared" si="496"/>
        <v>111.20828203000001</v>
      </c>
      <c r="X506" s="300">
        <f t="shared" si="496"/>
        <v>222.95433410956798</v>
      </c>
      <c r="Y506" s="300">
        <f t="shared" si="496"/>
        <v>275.07933724392001</v>
      </c>
      <c r="Z506" s="300">
        <f t="shared" si="496"/>
        <v>236.842377442112</v>
      </c>
      <c r="AA506" s="300">
        <f t="shared" si="496"/>
        <v>521.23181416247598</v>
      </c>
      <c r="AB506" s="300">
        <f t="shared" si="496"/>
        <v>440.66628007157567</v>
      </c>
      <c r="AC506" s="300">
        <f t="shared" si="496"/>
        <v>464.79267008102647</v>
      </c>
      <c r="AD506" s="300">
        <f t="shared" si="496"/>
        <v>452.3332813675184</v>
      </c>
      <c r="AE506" s="300">
        <f t="shared" si="496"/>
        <v>452.27608909817633</v>
      </c>
      <c r="AF506" s="300">
        <f t="shared" si="496"/>
        <v>452.30852197109141</v>
      </c>
      <c r="AG506" s="300">
        <f t="shared" si="496"/>
        <v>452.35455903314897</v>
      </c>
      <c r="AH506" s="300">
        <f t="shared" si="496"/>
        <v>452.30567431776825</v>
      </c>
      <c r="AI506" s="300">
        <f t="shared" si="496"/>
        <v>457.07232444633894</v>
      </c>
      <c r="AJ506" s="300">
        <f t="shared" si="496"/>
        <v>414.54490682433737</v>
      </c>
      <c r="AK506" s="300">
        <f t="shared" si="496"/>
        <v>237.16615686737759</v>
      </c>
      <c r="AL506" s="300">
        <f t="shared" si="496"/>
        <v>0</v>
      </c>
      <c r="AM506" s="300">
        <f t="shared" si="496"/>
        <v>0</v>
      </c>
      <c r="AN506" s="300">
        <f t="shared" si="496"/>
        <v>0</v>
      </c>
      <c r="AO506" s="300">
        <f t="shared" si="496"/>
        <v>0</v>
      </c>
      <c r="AP506" s="300">
        <f t="shared" si="496"/>
        <v>0</v>
      </c>
      <c r="AQ506" s="300">
        <f t="shared" si="496"/>
        <v>0</v>
      </c>
      <c r="AR506" s="300">
        <f t="shared" si="496"/>
        <v>0</v>
      </c>
      <c r="AS506" s="300">
        <f t="shared" si="496"/>
        <v>0</v>
      </c>
    </row>
    <row r="507" spans="1:45" ht="15" customHeight="1" x14ac:dyDescent="0.3">
      <c r="A507" s="266"/>
      <c r="B507" s="267"/>
      <c r="C507" s="268"/>
      <c r="D507" s="269"/>
      <c r="E507" s="269"/>
      <c r="F507" s="269" t="s">
        <v>320</v>
      </c>
      <c r="G507" s="269"/>
      <c r="H507" s="269"/>
      <c r="I507" s="269"/>
      <c r="J507" s="269"/>
      <c r="K507" s="269"/>
      <c r="L507" s="269"/>
      <c r="M507" s="269"/>
      <c r="N507" s="269"/>
      <c r="O507" s="269"/>
      <c r="P507" s="269"/>
      <c r="Q507" s="269"/>
      <c r="R507" s="269"/>
      <c r="S507" s="269"/>
      <c r="T507" s="269"/>
      <c r="U507" s="269"/>
      <c r="V507" s="269"/>
      <c r="W507" s="269"/>
      <c r="X507" s="269"/>
      <c r="Y507" s="269"/>
      <c r="Z507" s="269"/>
      <c r="AA507" s="269"/>
      <c r="AB507" s="269"/>
      <c r="AC507" s="269"/>
      <c r="AD507" s="269"/>
      <c r="AE507" s="269"/>
      <c r="AF507" s="269"/>
      <c r="AG507" s="269"/>
      <c r="AH507" s="269"/>
      <c r="AI507" s="269"/>
      <c r="AJ507" s="269"/>
      <c r="AK507" s="269"/>
      <c r="AL507" s="269"/>
      <c r="AM507" s="269"/>
      <c r="AN507" s="269"/>
      <c r="AO507" s="269"/>
      <c r="AP507" s="269"/>
      <c r="AQ507" s="269"/>
      <c r="AR507" s="269"/>
      <c r="AS507" s="269"/>
    </row>
    <row r="508" spans="1:45" ht="15" customHeight="1" x14ac:dyDescent="0.3">
      <c r="A508" s="530"/>
      <c r="B508" s="531"/>
      <c r="C508" s="532"/>
      <c r="D508" s="257"/>
      <c r="E508" s="257"/>
      <c r="F508" s="257"/>
      <c r="G508" s="257"/>
      <c r="H508" s="257"/>
      <c r="I508" s="257"/>
      <c r="J508" s="257"/>
      <c r="K508" s="257"/>
      <c r="L508" s="257"/>
      <c r="M508" s="257"/>
      <c r="N508" s="257"/>
      <c r="O508" s="257"/>
      <c r="P508" s="257"/>
      <c r="Q508" s="257"/>
      <c r="R508" s="257"/>
      <c r="S508" s="257"/>
      <c r="T508" s="257"/>
      <c r="U508" s="257"/>
      <c r="V508" s="257"/>
      <c r="W508" s="257"/>
      <c r="X508" s="257"/>
      <c r="Y508" s="257"/>
      <c r="Z508" s="257"/>
      <c r="AA508" s="257"/>
      <c r="AB508" s="257"/>
      <c r="AC508" s="257"/>
      <c r="AD508" s="257"/>
      <c r="AE508" s="257"/>
      <c r="AF508" s="257"/>
      <c r="AG508" s="257"/>
      <c r="AH508" s="257"/>
      <c r="AI508" s="257"/>
      <c r="AJ508" s="257"/>
      <c r="AK508" s="257"/>
      <c r="AL508" s="257"/>
      <c r="AM508" s="257"/>
      <c r="AN508" s="257"/>
      <c r="AO508" s="257"/>
      <c r="AP508" s="257"/>
      <c r="AQ508" s="257"/>
      <c r="AR508" s="257"/>
      <c r="AS508" s="257"/>
    </row>
    <row r="509" spans="1:45" ht="15" customHeight="1" x14ac:dyDescent="0.3">
      <c r="A509" s="530"/>
      <c r="B509" s="531"/>
      <c r="C509" s="532"/>
      <c r="D509" s="257"/>
      <c r="E509" s="257" t="s">
        <v>194</v>
      </c>
      <c r="F509" s="257" t="str">
        <f>F502</f>
        <v>FS</v>
      </c>
      <c r="G509" s="257" t="s">
        <v>346</v>
      </c>
      <c r="H509" s="257"/>
      <c r="I509" s="522">
        <f>SUM(K509:AS509)</f>
        <v>5735.6840569664346</v>
      </c>
      <c r="J509" s="257"/>
      <c r="K509" s="257">
        <f t="shared" ref="K509:AS509" si="497">INDEX(K504:K507, MATCH($F502, $F504:$F507, 0))</f>
        <v>0</v>
      </c>
      <c r="L509" s="257">
        <f t="shared" si="497"/>
        <v>0</v>
      </c>
      <c r="M509" s="257">
        <f t="shared" si="497"/>
        <v>0</v>
      </c>
      <c r="N509" s="257">
        <f t="shared" si="497"/>
        <v>0</v>
      </c>
      <c r="O509" s="257">
        <f t="shared" si="497"/>
        <v>0</v>
      </c>
      <c r="P509" s="257">
        <f t="shared" si="497"/>
        <v>0</v>
      </c>
      <c r="Q509" s="257">
        <f t="shared" si="497"/>
        <v>0</v>
      </c>
      <c r="R509" s="257">
        <f t="shared" si="497"/>
        <v>0</v>
      </c>
      <c r="S509" s="257">
        <f t="shared" si="497"/>
        <v>0</v>
      </c>
      <c r="T509" s="257">
        <f t="shared" si="497"/>
        <v>0</v>
      </c>
      <c r="U509" s="257">
        <f t="shared" si="497"/>
        <v>0</v>
      </c>
      <c r="V509" s="257">
        <f t="shared" si="497"/>
        <v>92.547447899999995</v>
      </c>
      <c r="W509" s="257">
        <f t="shared" si="497"/>
        <v>111.20828203000001</v>
      </c>
      <c r="X509" s="257">
        <f t="shared" si="497"/>
        <v>222.95433410956798</v>
      </c>
      <c r="Y509" s="257">
        <f t="shared" si="497"/>
        <v>275.07933724392001</v>
      </c>
      <c r="Z509" s="257">
        <f t="shared" si="497"/>
        <v>236.842377442112</v>
      </c>
      <c r="AA509" s="257">
        <f t="shared" si="497"/>
        <v>521.23181416247598</v>
      </c>
      <c r="AB509" s="257">
        <f t="shared" si="497"/>
        <v>440.66628007157567</v>
      </c>
      <c r="AC509" s="257">
        <f t="shared" si="497"/>
        <v>464.79267008102647</v>
      </c>
      <c r="AD509" s="257">
        <f t="shared" si="497"/>
        <v>452.3332813675184</v>
      </c>
      <c r="AE509" s="257">
        <f t="shared" si="497"/>
        <v>452.27608909817633</v>
      </c>
      <c r="AF509" s="257">
        <f t="shared" si="497"/>
        <v>452.30852197109141</v>
      </c>
      <c r="AG509" s="257">
        <f t="shared" si="497"/>
        <v>452.35455903314897</v>
      </c>
      <c r="AH509" s="257">
        <f t="shared" si="497"/>
        <v>452.30567431776825</v>
      </c>
      <c r="AI509" s="257">
        <f t="shared" si="497"/>
        <v>457.07232444633894</v>
      </c>
      <c r="AJ509" s="257">
        <f t="shared" si="497"/>
        <v>414.54490682433737</v>
      </c>
      <c r="AK509" s="257">
        <f t="shared" si="497"/>
        <v>237.16615686737759</v>
      </c>
      <c r="AL509" s="257">
        <f t="shared" si="497"/>
        <v>0</v>
      </c>
      <c r="AM509" s="257">
        <f t="shared" si="497"/>
        <v>0</v>
      </c>
      <c r="AN509" s="257">
        <f t="shared" si="497"/>
        <v>0</v>
      </c>
      <c r="AO509" s="257">
        <f t="shared" si="497"/>
        <v>0</v>
      </c>
      <c r="AP509" s="257">
        <f t="shared" si="497"/>
        <v>0</v>
      </c>
      <c r="AQ509" s="257">
        <f t="shared" si="497"/>
        <v>0</v>
      </c>
      <c r="AR509" s="257">
        <f t="shared" si="497"/>
        <v>0</v>
      </c>
      <c r="AS509" s="257">
        <f t="shared" si="497"/>
        <v>0</v>
      </c>
    </row>
    <row r="510" spans="1:45" ht="15" customHeight="1" x14ac:dyDescent="0.3">
      <c r="A510" s="530"/>
      <c r="B510" s="531"/>
      <c r="C510" s="532"/>
      <c r="D510" s="257"/>
      <c r="E510" s="257"/>
      <c r="F510" s="257"/>
      <c r="G510" s="257"/>
      <c r="H510" s="257"/>
      <c r="I510" s="522"/>
      <c r="J510" s="257"/>
      <c r="K510" s="257"/>
      <c r="L510" s="257"/>
      <c r="M510" s="257"/>
      <c r="N510" s="257"/>
      <c r="O510" s="257"/>
      <c r="P510" s="257"/>
      <c r="Q510" s="257"/>
      <c r="R510" s="257"/>
      <c r="S510" s="257"/>
      <c r="T510" s="257"/>
      <c r="U510" s="257"/>
      <c r="V510" s="257"/>
      <c r="W510" s="257"/>
      <c r="X510" s="257"/>
      <c r="Y510" s="257"/>
      <c r="Z510" s="257"/>
      <c r="AA510" s="257"/>
      <c r="AB510" s="257"/>
      <c r="AC510" s="257"/>
      <c r="AD510" s="257"/>
      <c r="AE510" s="257"/>
      <c r="AF510" s="257"/>
      <c r="AG510" s="257"/>
      <c r="AH510" s="257"/>
      <c r="AI510" s="257"/>
      <c r="AJ510" s="257"/>
      <c r="AK510" s="257"/>
      <c r="AL510" s="257"/>
      <c r="AM510" s="257"/>
      <c r="AN510" s="257"/>
      <c r="AO510" s="257"/>
      <c r="AP510" s="257"/>
      <c r="AQ510" s="257"/>
      <c r="AR510" s="257"/>
      <c r="AS510" s="257"/>
    </row>
    <row r="511" spans="1:45" ht="15" customHeight="1" x14ac:dyDescent="0.3">
      <c r="A511" s="530"/>
      <c r="B511" s="531"/>
      <c r="C511" s="532" t="s">
        <v>1034</v>
      </c>
      <c r="D511" s="257"/>
      <c r="E511" s="257"/>
      <c r="F511" s="257"/>
      <c r="G511" s="257"/>
      <c r="H511" s="257"/>
      <c r="I511" s="522"/>
      <c r="J511" s="257"/>
      <c r="K511" s="257"/>
      <c r="L511" s="257"/>
      <c r="M511" s="257"/>
      <c r="N511" s="257"/>
      <c r="O511" s="257"/>
      <c r="P511" s="257"/>
      <c r="Q511" s="257"/>
      <c r="R511" s="257"/>
      <c r="S511" s="257"/>
      <c r="T511" s="257"/>
      <c r="U511" s="257"/>
      <c r="V511" s="257"/>
      <c r="W511" s="257"/>
      <c r="X511" s="257"/>
      <c r="Y511" s="257"/>
      <c r="Z511" s="257"/>
      <c r="AA511" s="257"/>
      <c r="AB511" s="257"/>
      <c r="AC511" s="257"/>
      <c r="AD511" s="257"/>
      <c r="AE511" s="257"/>
      <c r="AF511" s="257"/>
      <c r="AG511" s="257"/>
      <c r="AH511" s="257"/>
      <c r="AI511" s="257"/>
      <c r="AJ511" s="257"/>
      <c r="AK511" s="257"/>
      <c r="AL511" s="257"/>
      <c r="AM511" s="257"/>
      <c r="AN511" s="257"/>
      <c r="AO511" s="257"/>
      <c r="AP511" s="257"/>
      <c r="AQ511" s="257"/>
      <c r="AR511" s="257"/>
      <c r="AS511" s="257"/>
    </row>
    <row r="512" spans="1:45" ht="15" customHeight="1" x14ac:dyDescent="0.3">
      <c r="A512" s="530"/>
      <c r="B512" s="531"/>
      <c r="C512" s="532"/>
      <c r="D512" s="257"/>
      <c r="E512" s="655" t="str">
        <f xml:space="preserve"> Inputs_TS!E$19</f>
        <v>Operating cost Sensitivity (forecast period)</v>
      </c>
      <c r="F512" s="655">
        <f xml:space="preserve"> Inputs_TS!F$19</f>
        <v>0</v>
      </c>
      <c r="G512" s="655" t="str">
        <f xml:space="preserve"> Inputs_TS!G$19</f>
        <v>%</v>
      </c>
      <c r="H512" s="655">
        <f xml:space="preserve"> Inputs_TS!H$19</f>
        <v>0</v>
      </c>
      <c r="I512" s="655">
        <f xml:space="preserve"> Inputs_TS!I$19</f>
        <v>0</v>
      </c>
      <c r="J512" s="655">
        <f xml:space="preserve"> Inputs_TS!J$19</f>
        <v>0</v>
      </c>
      <c r="K512" s="782">
        <f xml:space="preserve"> Inputs_TS!K$19</f>
        <v>1</v>
      </c>
      <c r="L512" s="782">
        <f xml:space="preserve"> Inputs_TS!L$19</f>
        <v>1</v>
      </c>
      <c r="M512" s="782">
        <f xml:space="preserve"> Inputs_TS!M$19</f>
        <v>1</v>
      </c>
      <c r="N512" s="782">
        <f xml:space="preserve"> Inputs_TS!N$19</f>
        <v>1</v>
      </c>
      <c r="O512" s="782">
        <f xml:space="preserve"> Inputs_TS!O$19</f>
        <v>1</v>
      </c>
      <c r="P512" s="782">
        <f xml:space="preserve"> Inputs_TS!P$19</f>
        <v>1</v>
      </c>
      <c r="Q512" s="782">
        <f xml:space="preserve"> Inputs_TS!Q$19</f>
        <v>1</v>
      </c>
      <c r="R512" s="782">
        <f xml:space="preserve"> Inputs_TS!R$19</f>
        <v>1</v>
      </c>
      <c r="S512" s="782">
        <f xml:space="preserve"> Inputs_TS!S$19</f>
        <v>1</v>
      </c>
      <c r="T512" s="782">
        <f xml:space="preserve"> Inputs_TS!T$19</f>
        <v>1</v>
      </c>
      <c r="U512" s="782">
        <f xml:space="preserve"> Inputs_TS!U$19</f>
        <v>1</v>
      </c>
      <c r="V512" s="782">
        <f xml:space="preserve"> Inputs_TS!V$19</f>
        <v>1</v>
      </c>
      <c r="W512" s="782">
        <f xml:space="preserve"> Inputs_TS!W$19</f>
        <v>1</v>
      </c>
      <c r="X512" s="782">
        <f xml:space="preserve"> Inputs_TS!X$19</f>
        <v>1</v>
      </c>
      <c r="Y512" s="782">
        <f xml:space="preserve"> Inputs_TS!Y$19</f>
        <v>1</v>
      </c>
      <c r="Z512" s="782">
        <f xml:space="preserve"> Inputs_TS!Z$19</f>
        <v>1</v>
      </c>
      <c r="AA512" s="782">
        <f xml:space="preserve"> Inputs_TS!AA$19</f>
        <v>1</v>
      </c>
      <c r="AB512" s="782">
        <f xml:space="preserve"> Inputs_TS!AB$19</f>
        <v>1</v>
      </c>
      <c r="AC512" s="782">
        <f xml:space="preserve"> Inputs_TS!AC$19</f>
        <v>1</v>
      </c>
      <c r="AD512" s="782">
        <f xml:space="preserve"> Inputs_TS!AD$19</f>
        <v>1</v>
      </c>
      <c r="AE512" s="782">
        <f xml:space="preserve"> Inputs_TS!AE$19</f>
        <v>1</v>
      </c>
      <c r="AF512" s="782">
        <f xml:space="preserve"> Inputs_TS!AF$19</f>
        <v>1</v>
      </c>
      <c r="AG512" s="782">
        <f xml:space="preserve"> Inputs_TS!AG$19</f>
        <v>1</v>
      </c>
      <c r="AH512" s="782">
        <f xml:space="preserve"> Inputs_TS!AH$19</f>
        <v>1</v>
      </c>
      <c r="AI512" s="782">
        <f xml:space="preserve"> Inputs_TS!AI$19</f>
        <v>1</v>
      </c>
      <c r="AJ512" s="782">
        <f xml:space="preserve"> Inputs_TS!AJ$19</f>
        <v>1</v>
      </c>
      <c r="AK512" s="782">
        <f xml:space="preserve"> Inputs_TS!AK$19</f>
        <v>1</v>
      </c>
      <c r="AL512" s="782">
        <f xml:space="preserve"> Inputs_TS!AL$19</f>
        <v>1</v>
      </c>
      <c r="AM512" s="782">
        <f xml:space="preserve"> Inputs_TS!AM$19</f>
        <v>1</v>
      </c>
      <c r="AN512" s="782">
        <f xml:space="preserve"> Inputs_TS!AN$19</f>
        <v>1</v>
      </c>
      <c r="AO512" s="782">
        <f xml:space="preserve"> Inputs_TS!AO$19</f>
        <v>1</v>
      </c>
      <c r="AP512" s="782">
        <f xml:space="preserve"> Inputs_TS!AP$19</f>
        <v>1</v>
      </c>
      <c r="AQ512" s="782">
        <f xml:space="preserve"> Inputs_TS!AQ$19</f>
        <v>1</v>
      </c>
      <c r="AR512" s="782">
        <f xml:space="preserve"> Inputs_TS!AR$19</f>
        <v>1</v>
      </c>
      <c r="AS512" s="782">
        <f xml:space="preserve"> Inputs_TS!AS$19</f>
        <v>1</v>
      </c>
    </row>
    <row r="513" spans="1:45" ht="15" customHeight="1" x14ac:dyDescent="0.3">
      <c r="A513" s="530"/>
      <c r="B513" s="531"/>
      <c r="C513" s="532"/>
      <c r="D513" s="257"/>
      <c r="E513" s="1209" t="str">
        <f xml:space="preserve"> 'T&amp;E'!E$43</f>
        <v>Cost inflation from 2022</v>
      </c>
      <c r="F513" s="1209">
        <f xml:space="preserve"> 'T&amp;E'!F$43</f>
        <v>0</v>
      </c>
      <c r="G513" s="1209" t="str">
        <f xml:space="preserve"> 'T&amp;E'!G$43</f>
        <v>index</v>
      </c>
      <c r="H513" s="1209">
        <f xml:space="preserve"> 'T&amp;E'!H$43</f>
        <v>0</v>
      </c>
      <c r="I513" s="1209">
        <f xml:space="preserve"> 'T&amp;E'!I$43</f>
        <v>0</v>
      </c>
      <c r="J513" s="1209">
        <f xml:space="preserve"> 'T&amp;E'!J$43</f>
        <v>0</v>
      </c>
      <c r="K513" s="1209">
        <f xml:space="preserve"> 'T&amp;E'!K$43</f>
        <v>1</v>
      </c>
      <c r="L513" s="1209">
        <f xml:space="preserve"> 'T&amp;E'!L$43</f>
        <v>1</v>
      </c>
      <c r="M513" s="1209">
        <f xml:space="preserve"> 'T&amp;E'!M$43</f>
        <v>1</v>
      </c>
      <c r="N513" s="1209">
        <f xml:space="preserve"> 'T&amp;E'!N$43</f>
        <v>1</v>
      </c>
      <c r="O513" s="1209">
        <f xml:space="preserve"> 'T&amp;E'!O$43</f>
        <v>1</v>
      </c>
      <c r="P513" s="1209">
        <f xml:space="preserve"> 'T&amp;E'!P$43</f>
        <v>1</v>
      </c>
      <c r="Q513" s="1209">
        <f xml:space="preserve"> 'T&amp;E'!Q$43</f>
        <v>1</v>
      </c>
      <c r="R513" s="1209">
        <f xml:space="preserve"> 'T&amp;E'!R$43</f>
        <v>1</v>
      </c>
      <c r="S513" s="1209">
        <f xml:space="preserve"> 'T&amp;E'!S$43</f>
        <v>1</v>
      </c>
      <c r="T513" s="1209">
        <f xml:space="preserve"> 'T&amp;E'!T$43</f>
        <v>1</v>
      </c>
      <c r="U513" s="1209">
        <f xml:space="preserve"> 'T&amp;E'!U$43</f>
        <v>1</v>
      </c>
      <c r="V513" s="1209">
        <f xml:space="preserve"> 'T&amp;E'!V$43</f>
        <v>1</v>
      </c>
      <c r="W513" s="1209">
        <f xml:space="preserve"> 'T&amp;E'!W$43</f>
        <v>1</v>
      </c>
      <c r="X513" s="1209">
        <f xml:space="preserve"> 'T&amp;E'!X$43</f>
        <v>1</v>
      </c>
      <c r="Y513" s="1209">
        <f xml:space="preserve"> 'T&amp;E'!Y$43</f>
        <v>1</v>
      </c>
      <c r="Z513" s="1209">
        <f xml:space="preserve"> 'T&amp;E'!Z$43</f>
        <v>1</v>
      </c>
      <c r="AA513" s="1209">
        <f xml:space="preserve"> 'T&amp;E'!AA$43</f>
        <v>1</v>
      </c>
      <c r="AB513" s="1209">
        <f xml:space="preserve"> 'T&amp;E'!AB$43</f>
        <v>1.0412780862879112</v>
      </c>
      <c r="AC513" s="1209">
        <f xml:space="preserve"> 'T&amp;E'!AC$43</f>
        <v>1.0720136693720632</v>
      </c>
      <c r="AD513" s="1209">
        <f xml:space="preserve"> 'T&amp;E'!AD$43</f>
        <v>1.1040410081161895</v>
      </c>
      <c r="AE513" s="1209">
        <f xml:space="preserve"> 'T&amp;E'!AE$43</f>
        <v>1.1312601452370783</v>
      </c>
      <c r="AF513" s="1209">
        <f xml:space="preserve"> 'T&amp;E'!AF$43</f>
        <v>1.1551337035454934</v>
      </c>
      <c r="AG513" s="1209">
        <f xml:space="preserve"> 'T&amp;E'!AG$43</f>
        <v>1.1800324647586502</v>
      </c>
      <c r="AH513" s="1209">
        <f xml:space="preserve"> 'T&amp;E'!AH$43</f>
        <v>1.2056283639470313</v>
      </c>
      <c r="AI513" s="1209">
        <f xml:space="preserve"> 'T&amp;E'!AI$43</f>
        <v>1.2318496369073046</v>
      </c>
      <c r="AJ513" s="1209">
        <f xml:space="preserve"> 'T&amp;E'!AJ$43</f>
        <v>1.2564866296454509</v>
      </c>
      <c r="AK513" s="1209">
        <f xml:space="preserve"> 'T&amp;E'!AK$43</f>
        <v>1.2816163622383598</v>
      </c>
      <c r="AL513" s="1209">
        <f xml:space="preserve"> 'T&amp;E'!AL$43</f>
        <v>1.307248689483127</v>
      </c>
      <c r="AM513" s="1209">
        <f xml:space="preserve"> 'T&amp;E'!AM$43</f>
        <v>1.3333936632727896</v>
      </c>
      <c r="AN513" s="1209">
        <f xml:space="preserve"> 'T&amp;E'!AN$43</f>
        <v>1.3600615365382454</v>
      </c>
      <c r="AO513" s="1209">
        <f xml:space="preserve"> 'T&amp;E'!AO$43</f>
        <v>1.3872627672690103</v>
      </c>
      <c r="AP513" s="1209">
        <f xml:space="preserve"> 'T&amp;E'!AP$43</f>
        <v>1.4150080226143906</v>
      </c>
      <c r="AQ513" s="1209">
        <f xml:space="preserve"> 'T&amp;E'!AQ$43</f>
        <v>1.4433081830666785</v>
      </c>
      <c r="AR513" s="1209">
        <f xml:space="preserve"> 'T&amp;E'!AR$43</f>
        <v>1.4721743467280122</v>
      </c>
      <c r="AS513" s="1209">
        <f xml:space="preserve"> 'T&amp;E'!AS$43</f>
        <v>1.5016178336625725</v>
      </c>
    </row>
    <row r="514" spans="1:45" ht="15" customHeight="1" x14ac:dyDescent="0.3">
      <c r="A514" s="530"/>
      <c r="B514" s="531"/>
      <c r="C514" s="532"/>
      <c r="D514" s="257"/>
      <c r="E514" s="257"/>
      <c r="F514" s="257"/>
      <c r="G514" s="257"/>
      <c r="H514" s="257"/>
      <c r="I514" s="522"/>
      <c r="J514" s="257"/>
      <c r="K514" s="257"/>
      <c r="L514" s="257"/>
      <c r="M514" s="257"/>
      <c r="N514" s="257"/>
      <c r="O514" s="257"/>
      <c r="P514" s="257"/>
      <c r="Q514" s="257"/>
      <c r="R514" s="257"/>
      <c r="S514" s="257"/>
      <c r="T514" s="257"/>
      <c r="U514" s="257"/>
      <c r="V514" s="257"/>
      <c r="W514" s="257"/>
      <c r="X514" s="257"/>
      <c r="Y514" s="257"/>
      <c r="Z514" s="257"/>
      <c r="AA514" s="257"/>
      <c r="AB514" s="257"/>
      <c r="AC514" s="257"/>
      <c r="AD514" s="257"/>
      <c r="AE514" s="257"/>
      <c r="AF514" s="257"/>
      <c r="AG514" s="257"/>
      <c r="AH514" s="257"/>
      <c r="AI514" s="257"/>
      <c r="AJ514" s="257"/>
      <c r="AK514" s="257"/>
      <c r="AL514" s="257"/>
      <c r="AM514" s="257"/>
      <c r="AN514" s="257"/>
      <c r="AO514" s="257"/>
      <c r="AP514" s="257"/>
      <c r="AQ514" s="257"/>
      <c r="AR514" s="257"/>
      <c r="AS514" s="257"/>
    </row>
    <row r="515" spans="1:45" ht="15" customHeight="1" x14ac:dyDescent="0.3">
      <c r="A515" s="530"/>
      <c r="B515" s="531"/>
      <c r="C515" s="532"/>
      <c r="D515" s="257"/>
      <c r="E515" s="257" t="s">
        <v>971</v>
      </c>
      <c r="F515" s="257"/>
      <c r="G515" s="257" t="s">
        <v>346</v>
      </c>
      <c r="H515" s="257"/>
      <c r="I515" s="522">
        <f>SUM(K515:AS515)</f>
        <v>6417.4732060838423</v>
      </c>
      <c r="J515" s="257"/>
      <c r="K515" s="257">
        <f>K509 * K512 * K513</f>
        <v>0</v>
      </c>
      <c r="L515" s="257">
        <f t="shared" ref="L515:AS515" si="498">L509 * L512 * L513</f>
        <v>0</v>
      </c>
      <c r="M515" s="257">
        <f t="shared" si="498"/>
        <v>0</v>
      </c>
      <c r="N515" s="257">
        <f t="shared" si="498"/>
        <v>0</v>
      </c>
      <c r="O515" s="257">
        <f t="shared" si="498"/>
        <v>0</v>
      </c>
      <c r="P515" s="257">
        <f t="shared" si="498"/>
        <v>0</v>
      </c>
      <c r="Q515" s="257">
        <f t="shared" si="498"/>
        <v>0</v>
      </c>
      <c r="R515" s="257">
        <f t="shared" si="498"/>
        <v>0</v>
      </c>
      <c r="S515" s="257">
        <f t="shared" si="498"/>
        <v>0</v>
      </c>
      <c r="T515" s="257">
        <f t="shared" si="498"/>
        <v>0</v>
      </c>
      <c r="U515" s="257">
        <f t="shared" si="498"/>
        <v>0</v>
      </c>
      <c r="V515" s="257">
        <f t="shared" si="498"/>
        <v>92.547447899999995</v>
      </c>
      <c r="W515" s="257">
        <f t="shared" si="498"/>
        <v>111.20828203000001</v>
      </c>
      <c r="X515" s="257">
        <f t="shared" si="498"/>
        <v>222.95433410956798</v>
      </c>
      <c r="Y515" s="257">
        <f t="shared" si="498"/>
        <v>275.07933724392001</v>
      </c>
      <c r="Z515" s="257">
        <f t="shared" si="498"/>
        <v>236.842377442112</v>
      </c>
      <c r="AA515" s="257">
        <f t="shared" si="498"/>
        <v>521.23181416247598</v>
      </c>
      <c r="AB515" s="257">
        <f t="shared" si="498"/>
        <v>458.85614080454303</v>
      </c>
      <c r="AC515" s="257">
        <f t="shared" si="498"/>
        <v>498.26409575079998</v>
      </c>
      <c r="AD515" s="257">
        <f t="shared" si="498"/>
        <v>499.39449196549901</v>
      </c>
      <c r="AE515" s="257">
        <f t="shared" si="498"/>
        <v>511.64191424046072</v>
      </c>
      <c r="AF515" s="257">
        <f t="shared" si="498"/>
        <v>522.47681812965493</v>
      </c>
      <c r="AG515" s="257">
        <f t="shared" si="498"/>
        <v>533.79306524069909</v>
      </c>
      <c r="AH515" s="257">
        <f t="shared" si="498"/>
        <v>545.3125501316897</v>
      </c>
      <c r="AI515" s="257">
        <f t="shared" si="498"/>
        <v>563.04437690960037</v>
      </c>
      <c r="AJ515" s="257">
        <f t="shared" si="498"/>
        <v>520.87013281239911</v>
      </c>
      <c r="AK515" s="257">
        <f t="shared" si="498"/>
        <v>303.9560272104207</v>
      </c>
      <c r="AL515" s="257">
        <f t="shared" si="498"/>
        <v>0</v>
      </c>
      <c r="AM515" s="257">
        <f t="shared" si="498"/>
        <v>0</v>
      </c>
      <c r="AN515" s="257">
        <f t="shared" si="498"/>
        <v>0</v>
      </c>
      <c r="AO515" s="257">
        <f t="shared" si="498"/>
        <v>0</v>
      </c>
      <c r="AP515" s="257">
        <f t="shared" si="498"/>
        <v>0</v>
      </c>
      <c r="AQ515" s="257">
        <f t="shared" si="498"/>
        <v>0</v>
      </c>
      <c r="AR515" s="257">
        <f t="shared" si="498"/>
        <v>0</v>
      </c>
      <c r="AS515" s="257">
        <f t="shared" si="498"/>
        <v>0</v>
      </c>
    </row>
    <row r="516" spans="1:45" ht="15" customHeight="1" x14ac:dyDescent="0.3">
      <c r="A516" s="530"/>
      <c r="B516" s="531"/>
      <c r="C516" s="532"/>
      <c r="D516" s="257"/>
      <c r="E516" s="257"/>
      <c r="F516" s="257"/>
      <c r="G516" s="257"/>
      <c r="H516" s="257"/>
      <c r="I516" s="522"/>
      <c r="J516" s="257"/>
      <c r="K516" s="257"/>
      <c r="L516" s="257"/>
      <c r="M516" s="257"/>
      <c r="N516" s="257"/>
      <c r="O516" s="257"/>
      <c r="P516" s="257"/>
      <c r="Q516" s="257"/>
      <c r="R516" s="257"/>
      <c r="S516" s="257"/>
      <c r="T516" s="257"/>
      <c r="U516" s="257"/>
      <c r="V516" s="257"/>
      <c r="W516" s="257"/>
      <c r="X516" s="257"/>
      <c r="Y516" s="257"/>
      <c r="Z516" s="257"/>
      <c r="AA516" s="257"/>
      <c r="AB516" s="257"/>
      <c r="AC516" s="257"/>
      <c r="AD516" s="257"/>
      <c r="AE516" s="257"/>
      <c r="AF516" s="257"/>
      <c r="AG516" s="257"/>
      <c r="AH516" s="257"/>
      <c r="AI516" s="257"/>
      <c r="AJ516" s="257"/>
      <c r="AK516" s="257"/>
      <c r="AL516" s="257"/>
      <c r="AM516" s="257"/>
      <c r="AN516" s="257"/>
      <c r="AO516" s="257"/>
      <c r="AP516" s="257"/>
      <c r="AQ516" s="257"/>
      <c r="AR516" s="257"/>
      <c r="AS516" s="257"/>
    </row>
    <row r="517" spans="1:45" ht="15" customHeight="1" x14ac:dyDescent="0.3">
      <c r="A517" s="530"/>
      <c r="B517" s="531"/>
      <c r="C517" s="532"/>
      <c r="D517" s="257"/>
      <c r="E517" s="656" t="str">
        <f xml:space="preserve"> Inputs_Con!E$96</f>
        <v>Management fees added to operating costs</v>
      </c>
      <c r="F517" s="827">
        <f xml:space="preserve"> Inputs_Con!F$96</f>
        <v>0</v>
      </c>
      <c r="G517" s="656" t="str">
        <f xml:space="preserve"> Inputs_Con!G$96</f>
        <v>%</v>
      </c>
      <c r="H517" s="257"/>
      <c r="I517" s="522"/>
      <c r="J517" s="257"/>
      <c r="K517" s="257"/>
      <c r="L517" s="257"/>
      <c r="M517" s="257"/>
      <c r="N517" s="257"/>
      <c r="O517" s="257"/>
      <c r="P517" s="257"/>
      <c r="Q517" s="257"/>
      <c r="R517" s="257"/>
      <c r="S517" s="257"/>
      <c r="T517" s="257"/>
      <c r="U517" s="257"/>
      <c r="V517" s="257"/>
      <c r="W517" s="257"/>
      <c r="X517" s="257"/>
      <c r="Y517" s="257"/>
      <c r="Z517" s="257"/>
      <c r="AA517" s="257"/>
      <c r="AB517" s="257"/>
      <c r="AC517" s="257"/>
      <c r="AD517" s="257"/>
      <c r="AE517" s="257"/>
      <c r="AF517" s="257"/>
      <c r="AG517" s="257"/>
      <c r="AH517" s="257"/>
      <c r="AI517" s="257"/>
      <c r="AJ517" s="257"/>
      <c r="AK517" s="257"/>
      <c r="AL517" s="257"/>
      <c r="AM517" s="257"/>
      <c r="AN517" s="257"/>
      <c r="AO517" s="257"/>
      <c r="AP517" s="257"/>
      <c r="AQ517" s="257"/>
      <c r="AR517" s="257"/>
      <c r="AS517" s="257"/>
    </row>
    <row r="518" spans="1:45" ht="15" customHeight="1" x14ac:dyDescent="0.3">
      <c r="A518" s="530"/>
      <c r="B518" s="531"/>
      <c r="C518" s="532"/>
      <c r="D518" s="257"/>
      <c r="E518" s="463" t="str">
        <f xml:space="preserve"> E517</f>
        <v>Management fees added to operating costs</v>
      </c>
      <c r="F518" s="463"/>
      <c r="G518" s="463" t="s">
        <v>346</v>
      </c>
      <c r="H518" s="257"/>
      <c r="I518" s="463">
        <f xml:space="preserve"> SUM(K518:AU518)</f>
        <v>0</v>
      </c>
      <c r="J518" s="463"/>
      <c r="K518" s="463">
        <f xml:space="preserve"> K509 * $F517</f>
        <v>0</v>
      </c>
      <c r="L518" s="463">
        <f t="shared" ref="L518:AS518" si="499" xml:space="preserve"> L509 * $F517</f>
        <v>0</v>
      </c>
      <c r="M518" s="463">
        <f t="shared" si="499"/>
        <v>0</v>
      </c>
      <c r="N518" s="463">
        <f t="shared" si="499"/>
        <v>0</v>
      </c>
      <c r="O518" s="463">
        <f t="shared" si="499"/>
        <v>0</v>
      </c>
      <c r="P518" s="463">
        <f t="shared" si="499"/>
        <v>0</v>
      </c>
      <c r="Q518" s="463">
        <f t="shared" si="499"/>
        <v>0</v>
      </c>
      <c r="R518" s="463">
        <f t="shared" si="499"/>
        <v>0</v>
      </c>
      <c r="S518" s="463">
        <f t="shared" si="499"/>
        <v>0</v>
      </c>
      <c r="T518" s="463">
        <f t="shared" si="499"/>
        <v>0</v>
      </c>
      <c r="U518" s="463">
        <f t="shared" si="499"/>
        <v>0</v>
      </c>
      <c r="V518" s="463">
        <f t="shared" si="499"/>
        <v>0</v>
      </c>
      <c r="W518" s="463">
        <f t="shared" si="499"/>
        <v>0</v>
      </c>
      <c r="X518" s="463">
        <f t="shared" si="499"/>
        <v>0</v>
      </c>
      <c r="Y518" s="463">
        <f t="shared" si="499"/>
        <v>0</v>
      </c>
      <c r="Z518" s="463">
        <f t="shared" si="499"/>
        <v>0</v>
      </c>
      <c r="AA518" s="463">
        <f t="shared" si="499"/>
        <v>0</v>
      </c>
      <c r="AB518" s="463">
        <f t="shared" si="499"/>
        <v>0</v>
      </c>
      <c r="AC518" s="463">
        <f t="shared" si="499"/>
        <v>0</v>
      </c>
      <c r="AD518" s="463">
        <f t="shared" si="499"/>
        <v>0</v>
      </c>
      <c r="AE518" s="463">
        <f t="shared" si="499"/>
        <v>0</v>
      </c>
      <c r="AF518" s="463">
        <f t="shared" si="499"/>
        <v>0</v>
      </c>
      <c r="AG518" s="463">
        <f t="shared" si="499"/>
        <v>0</v>
      </c>
      <c r="AH518" s="463">
        <f t="shared" si="499"/>
        <v>0</v>
      </c>
      <c r="AI518" s="463">
        <f t="shared" si="499"/>
        <v>0</v>
      </c>
      <c r="AJ518" s="463">
        <f t="shared" si="499"/>
        <v>0</v>
      </c>
      <c r="AK518" s="463">
        <f t="shared" si="499"/>
        <v>0</v>
      </c>
      <c r="AL518" s="463">
        <f t="shared" si="499"/>
        <v>0</v>
      </c>
      <c r="AM518" s="463">
        <f t="shared" si="499"/>
        <v>0</v>
      </c>
      <c r="AN518" s="463">
        <f t="shared" si="499"/>
        <v>0</v>
      </c>
      <c r="AO518" s="463">
        <f t="shared" si="499"/>
        <v>0</v>
      </c>
      <c r="AP518" s="463">
        <f t="shared" si="499"/>
        <v>0</v>
      </c>
      <c r="AQ518" s="463">
        <f t="shared" si="499"/>
        <v>0</v>
      </c>
      <c r="AR518" s="463">
        <f t="shared" si="499"/>
        <v>0</v>
      </c>
      <c r="AS518" s="463">
        <f t="shared" si="499"/>
        <v>0</v>
      </c>
    </row>
    <row r="519" spans="1:45" ht="15" customHeight="1" x14ac:dyDescent="0.3">
      <c r="A519" s="530"/>
      <c r="B519" s="531"/>
      <c r="C519" s="532"/>
      <c r="D519" s="257"/>
      <c r="E519" s="257"/>
      <c r="F519" s="257"/>
      <c r="G519" s="257"/>
      <c r="H519" s="257"/>
      <c r="I519" s="257"/>
      <c r="J519" s="257"/>
      <c r="K519" s="257"/>
      <c r="L519" s="257"/>
      <c r="M519" s="257"/>
      <c r="N519" s="257"/>
      <c r="O519" s="257"/>
      <c r="P519" s="257"/>
      <c r="Q519" s="257"/>
      <c r="R519" s="257"/>
      <c r="S519" s="257"/>
      <c r="T519" s="257"/>
      <c r="U519" s="257"/>
      <c r="V519" s="257"/>
      <c r="W519" s="257"/>
      <c r="X519" s="257"/>
      <c r="Y519" s="257"/>
      <c r="Z519" s="257"/>
      <c r="AA519" s="257"/>
      <c r="AB519" s="257"/>
      <c r="AC519" s="257"/>
      <c r="AD519" s="257"/>
      <c r="AE519" s="257"/>
      <c r="AF519" s="257"/>
      <c r="AG519" s="257"/>
      <c r="AH519" s="257"/>
      <c r="AI519" s="257"/>
      <c r="AJ519" s="257"/>
      <c r="AK519" s="257"/>
      <c r="AL519" s="257"/>
      <c r="AM519" s="257"/>
      <c r="AN519" s="257"/>
      <c r="AO519" s="257"/>
      <c r="AP519" s="257"/>
      <c r="AQ519" s="257"/>
      <c r="AR519" s="257"/>
      <c r="AS519" s="257"/>
    </row>
    <row r="520" spans="1:45" ht="15" customHeight="1" x14ac:dyDescent="0.3">
      <c r="A520" s="765"/>
      <c r="B520" s="766"/>
      <c r="C520" s="767"/>
      <c r="D520" s="765"/>
      <c r="E520" s="765" t="s">
        <v>971</v>
      </c>
      <c r="F520" s="765" t="str">
        <f>F502</f>
        <v>FS</v>
      </c>
      <c r="G520" s="765" t="s">
        <v>346</v>
      </c>
      <c r="H520" s="765"/>
      <c r="I520" s="765">
        <f>SUM(K520:AS520)</f>
        <v>6417.4732060838423</v>
      </c>
      <c r="J520" s="765"/>
      <c r="K520" s="1074">
        <f xml:space="preserve"> K515 + K518</f>
        <v>0</v>
      </c>
      <c r="L520" s="1074">
        <f t="shared" ref="L520:AS520" si="500" xml:space="preserve"> L515 + L518</f>
        <v>0</v>
      </c>
      <c r="M520" s="1074">
        <f t="shared" si="500"/>
        <v>0</v>
      </c>
      <c r="N520" s="1074">
        <f t="shared" si="500"/>
        <v>0</v>
      </c>
      <c r="O520" s="1074">
        <f t="shared" si="500"/>
        <v>0</v>
      </c>
      <c r="P520" s="1074">
        <f t="shared" si="500"/>
        <v>0</v>
      </c>
      <c r="Q520" s="1074">
        <f t="shared" si="500"/>
        <v>0</v>
      </c>
      <c r="R520" s="1074">
        <f t="shared" si="500"/>
        <v>0</v>
      </c>
      <c r="S520" s="1074">
        <f t="shared" si="500"/>
        <v>0</v>
      </c>
      <c r="T520" s="1074">
        <f t="shared" si="500"/>
        <v>0</v>
      </c>
      <c r="U520" s="1074">
        <f t="shared" si="500"/>
        <v>0</v>
      </c>
      <c r="V520" s="1074">
        <f t="shared" si="500"/>
        <v>92.547447899999995</v>
      </c>
      <c r="W520" s="1074">
        <f t="shared" si="500"/>
        <v>111.20828203000001</v>
      </c>
      <c r="X520" s="1074">
        <f t="shared" si="500"/>
        <v>222.95433410956798</v>
      </c>
      <c r="Y520" s="1074">
        <f t="shared" si="500"/>
        <v>275.07933724392001</v>
      </c>
      <c r="Z520" s="1074">
        <f t="shared" si="500"/>
        <v>236.842377442112</v>
      </c>
      <c r="AA520" s="1074">
        <f t="shared" si="500"/>
        <v>521.23181416247598</v>
      </c>
      <c r="AB520" s="1074">
        <f t="shared" si="500"/>
        <v>458.85614080454303</v>
      </c>
      <c r="AC520" s="1074">
        <f t="shared" si="500"/>
        <v>498.26409575079998</v>
      </c>
      <c r="AD520" s="1074">
        <f t="shared" si="500"/>
        <v>499.39449196549901</v>
      </c>
      <c r="AE520" s="1074">
        <f t="shared" si="500"/>
        <v>511.64191424046072</v>
      </c>
      <c r="AF520" s="1074">
        <f t="shared" si="500"/>
        <v>522.47681812965493</v>
      </c>
      <c r="AG520" s="1074">
        <f t="shared" si="500"/>
        <v>533.79306524069909</v>
      </c>
      <c r="AH520" s="1074">
        <f t="shared" si="500"/>
        <v>545.3125501316897</v>
      </c>
      <c r="AI520" s="1074">
        <f t="shared" si="500"/>
        <v>563.04437690960037</v>
      </c>
      <c r="AJ520" s="1074">
        <f t="shared" si="500"/>
        <v>520.87013281239911</v>
      </c>
      <c r="AK520" s="1074">
        <f t="shared" si="500"/>
        <v>303.9560272104207</v>
      </c>
      <c r="AL520" s="1074">
        <f t="shared" si="500"/>
        <v>0</v>
      </c>
      <c r="AM520" s="1074">
        <f t="shared" si="500"/>
        <v>0</v>
      </c>
      <c r="AN520" s="1074">
        <f t="shared" si="500"/>
        <v>0</v>
      </c>
      <c r="AO520" s="1074">
        <f t="shared" si="500"/>
        <v>0</v>
      </c>
      <c r="AP520" s="1074">
        <f t="shared" si="500"/>
        <v>0</v>
      </c>
      <c r="AQ520" s="1074">
        <f t="shared" si="500"/>
        <v>0</v>
      </c>
      <c r="AR520" s="1074">
        <f t="shared" si="500"/>
        <v>0</v>
      </c>
      <c r="AS520" s="1074">
        <f t="shared" si="500"/>
        <v>0</v>
      </c>
    </row>
    <row r="521" spans="1:45" ht="15" customHeight="1" x14ac:dyDescent="0.3">
      <c r="A521" s="530"/>
      <c r="B521" s="531"/>
      <c r="C521" s="532"/>
      <c r="D521" s="257"/>
      <c r="E521" s="257"/>
      <c r="F521" s="257"/>
      <c r="G521" s="257"/>
      <c r="H521" s="257"/>
      <c r="I521" s="257"/>
      <c r="J521" s="257"/>
      <c r="K521" s="257"/>
      <c r="L521" s="257"/>
      <c r="M521" s="257"/>
      <c r="N521" s="257"/>
      <c r="O521" s="257"/>
      <c r="P521" s="257"/>
      <c r="Q521" s="257"/>
      <c r="R521" s="257"/>
      <c r="S521" s="257"/>
      <c r="T521" s="257"/>
      <c r="U521" s="257"/>
      <c r="V521" s="257"/>
      <c r="W521" s="257"/>
      <c r="X521" s="257"/>
      <c r="Y521" s="257"/>
      <c r="Z521" s="257"/>
      <c r="AA521" s="257"/>
      <c r="AB521" s="257"/>
      <c r="AC521" s="257"/>
      <c r="AD521" s="257"/>
      <c r="AE521" s="257"/>
      <c r="AF521" s="257"/>
      <c r="AG521" s="257"/>
      <c r="AH521" s="257"/>
      <c r="AI521" s="257"/>
      <c r="AJ521" s="257"/>
      <c r="AK521" s="257"/>
      <c r="AL521" s="257"/>
      <c r="AM521" s="257"/>
      <c r="AN521" s="257"/>
      <c r="AO521" s="257"/>
      <c r="AP521" s="257"/>
      <c r="AQ521" s="257"/>
      <c r="AR521" s="257"/>
      <c r="AS521" s="257"/>
    </row>
    <row r="522" spans="1:45" ht="15" customHeight="1" collapsed="1" x14ac:dyDescent="0.3">
      <c r="A522" s="15" t="s">
        <v>292</v>
      </c>
      <c r="B522" s="119"/>
      <c r="C522" s="120"/>
      <c r="D522" s="121"/>
      <c r="E522" s="119"/>
      <c r="F522" s="119"/>
      <c r="G522" s="119"/>
      <c r="H522" s="119"/>
      <c r="I522" s="119"/>
      <c r="J522" s="16"/>
      <c r="K522" s="16"/>
      <c r="L522" s="16"/>
      <c r="M522" s="16"/>
      <c r="N522" s="16"/>
      <c r="O522" s="16"/>
      <c r="P522" s="16"/>
      <c r="Q522" s="16"/>
      <c r="R522" s="16"/>
      <c r="S522" s="16"/>
      <c r="T522" s="16"/>
      <c r="U522" s="16"/>
      <c r="V522" s="16"/>
      <c r="W522" s="16"/>
      <c r="X522" s="16"/>
      <c r="Y522" s="16"/>
      <c r="Z522" s="16"/>
      <c r="AA522" s="16"/>
      <c r="AB522" s="16"/>
      <c r="AC522" s="16"/>
      <c r="AD522" s="16"/>
      <c r="AE522" s="16"/>
      <c r="AF522" s="16"/>
      <c r="AG522" s="16"/>
      <c r="AH522" s="16"/>
      <c r="AI522" s="16"/>
      <c r="AJ522" s="16"/>
      <c r="AK522" s="16"/>
      <c r="AL522" s="16"/>
      <c r="AM522" s="16"/>
      <c r="AN522" s="16"/>
      <c r="AO522" s="16"/>
      <c r="AP522" s="16"/>
      <c r="AQ522" s="16"/>
      <c r="AR522" s="16"/>
      <c r="AS522" s="16"/>
    </row>
    <row r="523" spans="1:45" ht="15" customHeight="1" x14ac:dyDescent="0.3">
      <c r="I523" s="116"/>
      <c r="AL523" s="42"/>
      <c r="AM523" s="42"/>
      <c r="AN523" s="42"/>
      <c r="AO523" s="42"/>
      <c r="AP523" s="42"/>
      <c r="AQ523" s="42"/>
      <c r="AR523" s="42"/>
      <c r="AS523" s="42"/>
    </row>
    <row r="524" spans="1:45" ht="15" customHeight="1" x14ac:dyDescent="0.3">
      <c r="B524" s="112" t="s">
        <v>562</v>
      </c>
      <c r="I524" s="116"/>
      <c r="AL524" s="42"/>
      <c r="AM524" s="42"/>
      <c r="AN524" s="42"/>
      <c r="AO524" s="42"/>
      <c r="AP524" s="42"/>
      <c r="AQ524" s="42"/>
      <c r="AR524" s="42"/>
      <c r="AS524" s="42"/>
    </row>
    <row r="525" spans="1:45" ht="15" customHeight="1" x14ac:dyDescent="0.3">
      <c r="I525" s="116"/>
      <c r="AL525" s="42"/>
      <c r="AM525" s="42"/>
      <c r="AN525" s="42"/>
      <c r="AO525" s="42"/>
      <c r="AP525" s="42"/>
      <c r="AQ525" s="42"/>
      <c r="AR525" s="42"/>
      <c r="AS525" s="42"/>
    </row>
    <row r="526" spans="1:45" ht="15" customHeight="1" x14ac:dyDescent="0.3">
      <c r="C526" s="113" t="s">
        <v>150</v>
      </c>
      <c r="D526" s="113"/>
      <c r="I526" s="116"/>
      <c r="AL526" s="42"/>
      <c r="AM526" s="42"/>
      <c r="AN526" s="42"/>
      <c r="AO526" s="42"/>
      <c r="AP526" s="42"/>
      <c r="AQ526" s="42"/>
      <c r="AR526" s="42"/>
      <c r="AS526" s="42"/>
    </row>
    <row r="527" spans="1:45" ht="15" customHeight="1" x14ac:dyDescent="0.3">
      <c r="A527" s="150"/>
      <c r="B527" s="177"/>
      <c r="C527" s="151"/>
      <c r="D527" s="177"/>
      <c r="E527" s="104" t="str">
        <f xml:space="preserve"> Inputs_TS!E$276</f>
        <v>Total assets at June 2014 prior to purchase by Zijin</v>
      </c>
      <c r="F527" s="104">
        <f xml:space="preserve"> Inputs_TS!F$276</f>
        <v>22.69415</v>
      </c>
      <c r="G527" s="104" t="str">
        <f xml:space="preserve"> Inputs_TS!G$276</f>
        <v>$ mn</v>
      </c>
      <c r="H527" s="57" t="str">
        <f xml:space="preserve"> Inputs_TS!H$276</f>
        <v>III</v>
      </c>
      <c r="I527" s="57"/>
      <c r="J527" s="136"/>
      <c r="K527" s="104"/>
      <c r="L527" s="104"/>
      <c r="M527" s="104"/>
      <c r="N527" s="104"/>
      <c r="O527" s="104"/>
      <c r="P527" s="104"/>
      <c r="Q527" s="104"/>
      <c r="R527" s="104"/>
      <c r="S527" s="104"/>
      <c r="T527" s="104"/>
      <c r="U527" s="104"/>
      <c r="V527" s="104"/>
      <c r="W527" s="104"/>
      <c r="X527" s="104"/>
      <c r="Y527" s="104"/>
      <c r="Z527" s="104"/>
      <c r="AA527" s="104"/>
      <c r="AB527" s="104"/>
      <c r="AC527" s="104"/>
      <c r="AD527" s="104"/>
      <c r="AE527" s="104"/>
      <c r="AF527" s="104"/>
      <c r="AG527" s="104"/>
      <c r="AH527" s="104"/>
      <c r="AI527" s="104"/>
      <c r="AJ527" s="104"/>
      <c r="AK527" s="104"/>
      <c r="AL527" s="104"/>
      <c r="AM527" s="104"/>
      <c r="AN527" s="104"/>
      <c r="AO527" s="104"/>
      <c r="AP527" s="104"/>
      <c r="AQ527" s="104"/>
      <c r="AR527" s="104"/>
      <c r="AS527" s="104"/>
    </row>
    <row r="528" spans="1:45" ht="15" customHeight="1" x14ac:dyDescent="0.3">
      <c r="D528" s="113"/>
      <c r="E528" s="42" t="s">
        <v>150</v>
      </c>
      <c r="G528" s="40" t="str">
        <f xml:space="preserve"> G$545</f>
        <v>$ mn</v>
      </c>
      <c r="I528" s="116">
        <f>SUM(K528:AS528)</f>
        <v>22.69415</v>
      </c>
      <c r="K528" s="42">
        <f t="shared" ref="K528:AS528" si="501">(K2 = 2014) * $F527</f>
        <v>0</v>
      </c>
      <c r="L528" s="42">
        <f t="shared" si="501"/>
        <v>0</v>
      </c>
      <c r="M528" s="42">
        <f t="shared" si="501"/>
        <v>0</v>
      </c>
      <c r="N528" s="42">
        <f t="shared" si="501"/>
        <v>0</v>
      </c>
      <c r="O528" s="42">
        <f t="shared" si="501"/>
        <v>0</v>
      </c>
      <c r="P528" s="42">
        <f t="shared" si="501"/>
        <v>0</v>
      </c>
      <c r="Q528" s="42">
        <f t="shared" si="501"/>
        <v>0</v>
      </c>
      <c r="R528" s="42">
        <f t="shared" si="501"/>
        <v>0</v>
      </c>
      <c r="S528" s="42">
        <f t="shared" si="501"/>
        <v>22.69415</v>
      </c>
      <c r="T528" s="42">
        <f t="shared" si="501"/>
        <v>0</v>
      </c>
      <c r="U528" s="42">
        <f t="shared" si="501"/>
        <v>0</v>
      </c>
      <c r="V528" s="42">
        <f t="shared" si="501"/>
        <v>0</v>
      </c>
      <c r="W528" s="42">
        <f t="shared" si="501"/>
        <v>0</v>
      </c>
      <c r="X528" s="42">
        <f t="shared" si="501"/>
        <v>0</v>
      </c>
      <c r="Y528" s="42">
        <f t="shared" si="501"/>
        <v>0</v>
      </c>
      <c r="Z528" s="42">
        <f t="shared" si="501"/>
        <v>0</v>
      </c>
      <c r="AA528" s="42">
        <f t="shared" si="501"/>
        <v>0</v>
      </c>
      <c r="AB528" s="42">
        <f t="shared" si="501"/>
        <v>0</v>
      </c>
      <c r="AC528" s="42">
        <f t="shared" si="501"/>
        <v>0</v>
      </c>
      <c r="AD528" s="42">
        <f t="shared" si="501"/>
        <v>0</v>
      </c>
      <c r="AE528" s="42">
        <f t="shared" si="501"/>
        <v>0</v>
      </c>
      <c r="AF528" s="42">
        <f t="shared" si="501"/>
        <v>0</v>
      </c>
      <c r="AG528" s="42">
        <f t="shared" si="501"/>
        <v>0</v>
      </c>
      <c r="AH528" s="42">
        <f t="shared" si="501"/>
        <v>0</v>
      </c>
      <c r="AI528" s="42">
        <f t="shared" si="501"/>
        <v>0</v>
      </c>
      <c r="AJ528" s="42">
        <f t="shared" si="501"/>
        <v>0</v>
      </c>
      <c r="AK528" s="42">
        <f t="shared" si="501"/>
        <v>0</v>
      </c>
      <c r="AL528" s="42">
        <f t="shared" si="501"/>
        <v>0</v>
      </c>
      <c r="AM528" s="42">
        <f t="shared" si="501"/>
        <v>0</v>
      </c>
      <c r="AN528" s="42">
        <f t="shared" si="501"/>
        <v>0</v>
      </c>
      <c r="AO528" s="42">
        <f t="shared" si="501"/>
        <v>0</v>
      </c>
      <c r="AP528" s="42">
        <f t="shared" si="501"/>
        <v>0</v>
      </c>
      <c r="AQ528" s="42">
        <f t="shared" si="501"/>
        <v>0</v>
      </c>
      <c r="AR528" s="42">
        <f t="shared" si="501"/>
        <v>0</v>
      </c>
      <c r="AS528" s="42">
        <f t="shared" si="501"/>
        <v>0</v>
      </c>
    </row>
    <row r="529" spans="1:45" ht="15" customHeight="1" x14ac:dyDescent="0.3">
      <c r="D529" s="113"/>
      <c r="I529" s="116"/>
      <c r="AL529" s="42"/>
      <c r="AM529" s="42"/>
      <c r="AN529" s="42"/>
      <c r="AO529" s="42"/>
      <c r="AP529" s="42"/>
      <c r="AQ529" s="42"/>
      <c r="AR529" s="42"/>
      <c r="AS529" s="42"/>
    </row>
    <row r="530" spans="1:45" ht="15" customHeight="1" x14ac:dyDescent="0.3">
      <c r="C530" s="113" t="s">
        <v>199</v>
      </c>
      <c r="D530" s="113"/>
      <c r="I530" s="116"/>
      <c r="AL530" s="42"/>
      <c r="AM530" s="42"/>
      <c r="AN530" s="42"/>
      <c r="AO530" s="42"/>
      <c r="AP530" s="42"/>
      <c r="AQ530" s="42"/>
      <c r="AR530" s="42"/>
      <c r="AS530" s="42"/>
    </row>
    <row r="531" spans="1:45" ht="15" customHeight="1" x14ac:dyDescent="0.3">
      <c r="D531" s="113"/>
      <c r="E531" s="61" t="str">
        <f xml:space="preserve"> Inputs_TS!E$293</f>
        <v>COMMUS capex</v>
      </c>
      <c r="F531" s="104"/>
      <c r="G531" s="104" t="str">
        <f xml:space="preserve"> Inputs_TS!G$293</f>
        <v>$ mn</v>
      </c>
      <c r="H531" s="57"/>
      <c r="I531" s="57">
        <f xml:space="preserve"> Inputs_TS!I$293</f>
        <v>462.76471292061171</v>
      </c>
      <c r="J531" s="136">
        <f xml:space="preserve"> Inputs_TS!J$293</f>
        <v>0</v>
      </c>
      <c r="K531" s="104">
        <f xml:space="preserve"> Inputs_TS!K$293</f>
        <v>0</v>
      </c>
      <c r="L531" s="104">
        <f xml:space="preserve"> Inputs_TS!L$293</f>
        <v>0</v>
      </c>
      <c r="M531" s="104">
        <f xml:space="preserve"> Inputs_TS!M$293</f>
        <v>0</v>
      </c>
      <c r="N531" s="104">
        <f xml:space="preserve"> Inputs_TS!N$293</f>
        <v>0</v>
      </c>
      <c r="O531" s="104">
        <f xml:space="preserve"> Inputs_TS!O$293</f>
        <v>0</v>
      </c>
      <c r="P531" s="104">
        <f xml:space="preserve"> Inputs_TS!P$293</f>
        <v>0</v>
      </c>
      <c r="Q531" s="104">
        <f xml:space="preserve"> Inputs_TS!Q$293</f>
        <v>0</v>
      </c>
      <c r="R531" s="104">
        <f xml:space="preserve"> Inputs_TS!R$293</f>
        <v>0</v>
      </c>
      <c r="S531" s="104">
        <f xml:space="preserve"> Inputs_TS!S$293</f>
        <v>0</v>
      </c>
      <c r="T531" s="104">
        <f xml:space="preserve"> Inputs_TS!T$293</f>
        <v>22.767780583959592</v>
      </c>
      <c r="U531" s="104">
        <f xml:space="preserve"> Inputs_TS!U$293</f>
        <v>78.248965691220988</v>
      </c>
      <c r="V531" s="104">
        <f xml:space="preserve"> Inputs_TS!V$293</f>
        <v>41.784470172324077</v>
      </c>
      <c r="W531" s="104">
        <f xml:space="preserve"> Inputs_TS!W$293</f>
        <v>54.990631775265186</v>
      </c>
      <c r="X531" s="104">
        <f xml:space="preserve"> Inputs_TS!X$293</f>
        <v>180.98618646254408</v>
      </c>
      <c r="Y531" s="104">
        <f xml:space="preserve"> Inputs_TS!Y$293</f>
        <v>34.523140584530026</v>
      </c>
      <c r="Z531" s="104">
        <f xml:space="preserve"> Inputs_TS!Z$293</f>
        <v>49.463537650767755</v>
      </c>
      <c r="AA531" s="104">
        <f xml:space="preserve"> Inputs_TS!AA$293</f>
        <v>0</v>
      </c>
      <c r="AB531" s="104">
        <f xml:space="preserve"> Inputs_TS!AB$293</f>
        <v>0</v>
      </c>
      <c r="AC531" s="104">
        <f xml:space="preserve"> Inputs_TS!AC$293</f>
        <v>0</v>
      </c>
      <c r="AD531" s="104">
        <f xml:space="preserve"> Inputs_TS!AD$293</f>
        <v>0</v>
      </c>
      <c r="AE531" s="104">
        <f xml:space="preserve"> Inputs_TS!AE$293</f>
        <v>0</v>
      </c>
      <c r="AF531" s="104">
        <f xml:space="preserve"> Inputs_TS!AF$293</f>
        <v>0</v>
      </c>
      <c r="AG531" s="104">
        <f xml:space="preserve"> Inputs_TS!AG$293</f>
        <v>0</v>
      </c>
      <c r="AH531" s="104">
        <f xml:space="preserve"> Inputs_TS!AH$293</f>
        <v>0</v>
      </c>
      <c r="AI531" s="104">
        <f xml:space="preserve"> Inputs_TS!AI$293</f>
        <v>0</v>
      </c>
      <c r="AJ531" s="104">
        <f xml:space="preserve"> Inputs_TS!AJ$293</f>
        <v>0</v>
      </c>
      <c r="AK531" s="104">
        <f xml:space="preserve"> Inputs_TS!AK$293</f>
        <v>0</v>
      </c>
      <c r="AL531" s="104">
        <f xml:space="preserve"> Inputs_TS!AL$293</f>
        <v>0</v>
      </c>
      <c r="AM531" s="104">
        <f xml:space="preserve"> Inputs_TS!AM$293</f>
        <v>0</v>
      </c>
      <c r="AN531" s="104">
        <f xml:space="preserve"> Inputs_TS!AN$293</f>
        <v>0</v>
      </c>
      <c r="AO531" s="104">
        <f xml:space="preserve"> Inputs_TS!AO$293</f>
        <v>0</v>
      </c>
      <c r="AP531" s="104">
        <f xml:space="preserve"> Inputs_TS!AP$293</f>
        <v>0</v>
      </c>
      <c r="AQ531" s="104">
        <f xml:space="preserve"> Inputs_TS!AQ$293</f>
        <v>0</v>
      </c>
      <c r="AR531" s="104">
        <f xml:space="preserve"> Inputs_TS!AR$293</f>
        <v>0</v>
      </c>
      <c r="AS531" s="104">
        <f xml:space="preserve"> Inputs_TS!AS$293</f>
        <v>0</v>
      </c>
    </row>
    <row r="532" spans="1:45" ht="15" customHeight="1" x14ac:dyDescent="0.3">
      <c r="D532" s="113"/>
      <c r="E532" s="61"/>
      <c r="F532" s="104"/>
      <c r="G532" s="104"/>
      <c r="H532" s="57"/>
      <c r="I532" s="57"/>
      <c r="J532" s="136"/>
      <c r="K532" s="104"/>
      <c r="L532" s="104"/>
      <c r="M532" s="104"/>
      <c r="N532" s="104"/>
      <c r="O532" s="104"/>
      <c r="P532" s="104"/>
      <c r="Q532" s="104"/>
      <c r="R532" s="104"/>
      <c r="S532" s="104"/>
      <c r="T532" s="104"/>
      <c r="U532" s="104"/>
      <c r="V532" s="104"/>
      <c r="W532" s="104"/>
      <c r="X532" s="104"/>
      <c r="Y532" s="104"/>
      <c r="Z532" s="104"/>
      <c r="AA532" s="104"/>
      <c r="AB532" s="104"/>
      <c r="AC532" s="104"/>
      <c r="AD532" s="104"/>
      <c r="AE532" s="104"/>
      <c r="AF532" s="104"/>
      <c r="AG532" s="104"/>
      <c r="AH532" s="104"/>
      <c r="AI532" s="104"/>
      <c r="AJ532" s="104"/>
      <c r="AK532" s="104"/>
      <c r="AL532" s="104"/>
      <c r="AM532" s="104"/>
      <c r="AN532" s="104"/>
      <c r="AO532" s="104"/>
      <c r="AP532" s="104"/>
      <c r="AQ532" s="104"/>
      <c r="AR532" s="104"/>
      <c r="AS532" s="104"/>
    </row>
    <row r="533" spans="1:45" ht="15" customHeight="1" x14ac:dyDescent="0.3">
      <c r="C533" s="113" t="s">
        <v>264</v>
      </c>
      <c r="D533" s="113"/>
      <c r="E533" s="61"/>
      <c r="F533" s="104"/>
      <c r="G533" s="104"/>
      <c r="H533" s="57"/>
      <c r="I533" s="57"/>
      <c r="J533" s="136"/>
      <c r="K533" s="104"/>
      <c r="L533" s="104"/>
      <c r="M533" s="104"/>
      <c r="N533" s="104"/>
      <c r="O533" s="104"/>
      <c r="P533" s="104"/>
      <c r="Q533" s="104"/>
      <c r="R533" s="104"/>
      <c r="S533" s="104"/>
      <c r="T533" s="104"/>
      <c r="U533" s="104"/>
      <c r="V533" s="104"/>
      <c r="W533" s="104"/>
      <c r="X533" s="104"/>
      <c r="Y533" s="104"/>
      <c r="Z533" s="104"/>
      <c r="AA533" s="104"/>
      <c r="AB533" s="104"/>
      <c r="AC533" s="104"/>
      <c r="AD533" s="104"/>
      <c r="AE533" s="104"/>
      <c r="AF533" s="104"/>
      <c r="AG533" s="104"/>
      <c r="AH533" s="104"/>
      <c r="AI533" s="104"/>
      <c r="AJ533" s="104"/>
      <c r="AK533" s="104"/>
      <c r="AL533" s="104"/>
      <c r="AM533" s="104"/>
      <c r="AN533" s="104"/>
      <c r="AO533" s="104"/>
      <c r="AP533" s="104"/>
      <c r="AQ533" s="104"/>
      <c r="AR533" s="104"/>
      <c r="AS533" s="104"/>
    </row>
    <row r="534" spans="1:45" ht="15" customHeight="1" x14ac:dyDescent="0.3">
      <c r="D534" s="113"/>
      <c r="E534" s="61" t="str">
        <f xml:space="preserve"> Inputs_TS!E$273</f>
        <v>Future capital costs</v>
      </c>
      <c r="F534" s="94">
        <f xml:space="preserve"> Inputs_TS!F$273</f>
        <v>27.265523095919626</v>
      </c>
      <c r="G534" s="61" t="str">
        <f xml:space="preserve"> Inputs_TS!G$273</f>
        <v>$ mn</v>
      </c>
      <c r="H534" s="61"/>
      <c r="I534" s="61"/>
      <c r="J534" s="136"/>
      <c r="K534" s="104"/>
      <c r="L534" s="104"/>
      <c r="M534" s="104"/>
      <c r="N534" s="104"/>
      <c r="O534" s="104"/>
      <c r="P534" s="104"/>
      <c r="Q534" s="104"/>
      <c r="R534" s="104"/>
      <c r="S534" s="104"/>
      <c r="T534" s="104"/>
      <c r="U534" s="104"/>
      <c r="V534" s="104"/>
      <c r="W534" s="104"/>
      <c r="X534" s="104"/>
      <c r="Y534" s="104"/>
      <c r="Z534" s="104"/>
      <c r="AA534" s="104"/>
      <c r="AB534" s="104"/>
      <c r="AC534" s="104"/>
      <c r="AD534" s="104"/>
      <c r="AE534" s="104"/>
      <c r="AF534" s="104"/>
      <c r="AG534" s="104"/>
      <c r="AH534" s="104"/>
      <c r="AI534" s="104"/>
      <c r="AJ534" s="104"/>
      <c r="AK534" s="104"/>
      <c r="AL534" s="104"/>
      <c r="AM534" s="104"/>
      <c r="AN534" s="104"/>
      <c r="AO534" s="104"/>
      <c r="AP534" s="104"/>
      <c r="AQ534" s="104"/>
      <c r="AR534" s="104"/>
      <c r="AS534" s="104"/>
    </row>
    <row r="535" spans="1:45" ht="15" customHeight="1" x14ac:dyDescent="0.3">
      <c r="A535" s="1"/>
      <c r="E535" s="104" t="str">
        <f xml:space="preserve"> Inputs_TS!E$73</f>
        <v>Life of Mine (as of end 2024)</v>
      </c>
      <c r="F535" s="104">
        <f xml:space="preserve"> Inputs_TS!F$73</f>
        <v>9</v>
      </c>
      <c r="G535" s="104" t="str">
        <f xml:space="preserve"> Inputs_TS!G$73</f>
        <v>years</v>
      </c>
      <c r="H535" s="57" t="str">
        <f xml:space="preserve"> Inputs_TS!H$73</f>
        <v>IX</v>
      </c>
      <c r="I535" s="57"/>
      <c r="J535" s="21"/>
      <c r="AL535" s="42"/>
      <c r="AM535" s="42"/>
      <c r="AN535" s="42"/>
      <c r="AO535" s="42"/>
      <c r="AP535" s="42"/>
      <c r="AQ535" s="42"/>
      <c r="AR535" s="42"/>
      <c r="AS535" s="42"/>
    </row>
    <row r="536" spans="1:45" ht="15" customHeight="1" x14ac:dyDescent="0.3">
      <c r="A536" s="1"/>
      <c r="E536" s="104" t="s">
        <v>265</v>
      </c>
      <c r="F536" s="179">
        <f>F534/F535</f>
        <v>3.0295025662132917</v>
      </c>
      <c r="G536" s="104"/>
      <c r="H536" s="57"/>
      <c r="I536" s="57"/>
      <c r="J536" s="21"/>
      <c r="AL536" s="42"/>
      <c r="AM536" s="42"/>
      <c r="AN536" s="42"/>
      <c r="AO536" s="42"/>
      <c r="AP536" s="42"/>
      <c r="AQ536" s="42"/>
      <c r="AR536" s="42"/>
      <c r="AS536" s="42"/>
    </row>
    <row r="537" spans="1:45" ht="15" customHeight="1" x14ac:dyDescent="0.3">
      <c r="A537" s="1"/>
      <c r="E537" s="104"/>
      <c r="F537" s="179"/>
      <c r="G537" s="104"/>
      <c r="H537" s="57"/>
      <c r="I537" s="57"/>
      <c r="J537" s="21"/>
      <c r="AL537" s="42"/>
      <c r="AM537" s="42"/>
      <c r="AN537" s="42"/>
      <c r="AO537" s="42"/>
      <c r="AP537" s="42"/>
      <c r="AQ537" s="42"/>
      <c r="AR537" s="42"/>
      <c r="AS537" s="42"/>
    </row>
    <row r="538" spans="1:45" ht="15" customHeight="1" x14ac:dyDescent="0.3">
      <c r="A538" s="139"/>
      <c r="B538" s="180"/>
      <c r="C538" s="181"/>
      <c r="D538" s="36"/>
      <c r="E538" s="36" t="s">
        <v>167</v>
      </c>
      <c r="F538" s="182"/>
      <c r="G538" s="36" t="s">
        <v>160</v>
      </c>
      <c r="H538" s="183"/>
      <c r="I538" s="183"/>
      <c r="J538" s="184"/>
      <c r="K538" s="36">
        <f t="shared" ref="K538:AS538" si="502">IF(AND(K2 &gt;= 2025, K2 &lt;= 2025 + $F535 -1), 1,)</f>
        <v>0</v>
      </c>
      <c r="L538" s="36">
        <f t="shared" si="502"/>
        <v>0</v>
      </c>
      <c r="M538" s="36">
        <f t="shared" si="502"/>
        <v>0</v>
      </c>
      <c r="N538" s="36">
        <f t="shared" si="502"/>
        <v>0</v>
      </c>
      <c r="O538" s="36">
        <f t="shared" si="502"/>
        <v>0</v>
      </c>
      <c r="P538" s="36">
        <f t="shared" si="502"/>
        <v>0</v>
      </c>
      <c r="Q538" s="36">
        <f t="shared" si="502"/>
        <v>0</v>
      </c>
      <c r="R538" s="36">
        <f t="shared" si="502"/>
        <v>0</v>
      </c>
      <c r="S538" s="36">
        <f t="shared" si="502"/>
        <v>0</v>
      </c>
      <c r="T538" s="36">
        <f t="shared" si="502"/>
        <v>0</v>
      </c>
      <c r="U538" s="36">
        <f t="shared" si="502"/>
        <v>0</v>
      </c>
      <c r="V538" s="36">
        <f t="shared" si="502"/>
        <v>0</v>
      </c>
      <c r="W538" s="36">
        <f t="shared" si="502"/>
        <v>0</v>
      </c>
      <c r="X538" s="36">
        <f t="shared" si="502"/>
        <v>0</v>
      </c>
      <c r="Y538" s="36">
        <f t="shared" si="502"/>
        <v>0</v>
      </c>
      <c r="Z538" s="36">
        <f t="shared" si="502"/>
        <v>0</v>
      </c>
      <c r="AA538" s="36">
        <f t="shared" si="502"/>
        <v>0</v>
      </c>
      <c r="AB538" s="36">
        <f t="shared" si="502"/>
        <v>0</v>
      </c>
      <c r="AC538" s="36">
        <f t="shared" si="502"/>
        <v>0</v>
      </c>
      <c r="AD538" s="36">
        <f t="shared" si="502"/>
        <v>1</v>
      </c>
      <c r="AE538" s="36">
        <f t="shared" si="502"/>
        <v>1</v>
      </c>
      <c r="AF538" s="36">
        <f t="shared" si="502"/>
        <v>1</v>
      </c>
      <c r="AG538" s="36">
        <f t="shared" si="502"/>
        <v>1</v>
      </c>
      <c r="AH538" s="36">
        <f t="shared" si="502"/>
        <v>1</v>
      </c>
      <c r="AI538" s="36">
        <f t="shared" si="502"/>
        <v>1</v>
      </c>
      <c r="AJ538" s="36">
        <f t="shared" si="502"/>
        <v>1</v>
      </c>
      <c r="AK538" s="36">
        <f t="shared" si="502"/>
        <v>1</v>
      </c>
      <c r="AL538" s="36">
        <f t="shared" si="502"/>
        <v>1</v>
      </c>
      <c r="AM538" s="36">
        <f t="shared" si="502"/>
        <v>0</v>
      </c>
      <c r="AN538" s="36">
        <f t="shared" si="502"/>
        <v>0</v>
      </c>
      <c r="AO538" s="36">
        <f t="shared" si="502"/>
        <v>0</v>
      </c>
      <c r="AP538" s="36">
        <f t="shared" si="502"/>
        <v>0</v>
      </c>
      <c r="AQ538" s="36">
        <f t="shared" si="502"/>
        <v>0</v>
      </c>
      <c r="AR538" s="36">
        <f t="shared" si="502"/>
        <v>0</v>
      </c>
      <c r="AS538" s="36">
        <f t="shared" si="502"/>
        <v>0</v>
      </c>
    </row>
    <row r="539" spans="1:45" ht="15" customHeight="1" x14ac:dyDescent="0.3">
      <c r="A539" s="139"/>
      <c r="B539" s="180"/>
      <c r="C539" s="181"/>
      <c r="D539" s="36"/>
      <c r="E539" s="36" t="s">
        <v>264</v>
      </c>
      <c r="F539" s="182"/>
      <c r="G539" s="40" t="str">
        <f xml:space="preserve"> G$545</f>
        <v>$ mn</v>
      </c>
      <c r="H539" s="183"/>
      <c r="I539" s="183">
        <f>SUM(K539:AS539)</f>
        <v>27.265523095919626</v>
      </c>
      <c r="J539" s="184"/>
      <c r="K539" s="36">
        <f t="shared" ref="K539:O539" si="503">K538 * $F536</f>
        <v>0</v>
      </c>
      <c r="L539" s="36">
        <f t="shared" si="503"/>
        <v>0</v>
      </c>
      <c r="M539" s="36">
        <f t="shared" si="503"/>
        <v>0</v>
      </c>
      <c r="N539" s="36">
        <f t="shared" si="503"/>
        <v>0</v>
      </c>
      <c r="O539" s="36">
        <f t="shared" si="503"/>
        <v>0</v>
      </c>
      <c r="P539" s="36">
        <f t="shared" ref="P539:AS539" si="504">P538 * $F536</f>
        <v>0</v>
      </c>
      <c r="Q539" s="36">
        <f t="shared" si="504"/>
        <v>0</v>
      </c>
      <c r="R539" s="36">
        <f t="shared" si="504"/>
        <v>0</v>
      </c>
      <c r="S539" s="36">
        <f t="shared" si="504"/>
        <v>0</v>
      </c>
      <c r="T539" s="36">
        <f t="shared" si="504"/>
        <v>0</v>
      </c>
      <c r="U539" s="36">
        <f t="shared" si="504"/>
        <v>0</v>
      </c>
      <c r="V539" s="36">
        <f t="shared" si="504"/>
        <v>0</v>
      </c>
      <c r="W539" s="36">
        <f t="shared" si="504"/>
        <v>0</v>
      </c>
      <c r="X539" s="36">
        <f t="shared" si="504"/>
        <v>0</v>
      </c>
      <c r="Y539" s="36">
        <f t="shared" si="504"/>
        <v>0</v>
      </c>
      <c r="Z539" s="36">
        <f t="shared" si="504"/>
        <v>0</v>
      </c>
      <c r="AA539" s="36">
        <f t="shared" si="504"/>
        <v>0</v>
      </c>
      <c r="AB539" s="36">
        <f t="shared" si="504"/>
        <v>0</v>
      </c>
      <c r="AC539" s="36">
        <f t="shared" si="504"/>
        <v>0</v>
      </c>
      <c r="AD539" s="36">
        <f t="shared" si="504"/>
        <v>3.0295025662132917</v>
      </c>
      <c r="AE539" s="36">
        <f t="shared" si="504"/>
        <v>3.0295025662132917</v>
      </c>
      <c r="AF539" s="36">
        <f t="shared" si="504"/>
        <v>3.0295025662132917</v>
      </c>
      <c r="AG539" s="36">
        <f t="shared" si="504"/>
        <v>3.0295025662132917</v>
      </c>
      <c r="AH539" s="36">
        <f t="shared" si="504"/>
        <v>3.0295025662132917</v>
      </c>
      <c r="AI539" s="36">
        <f t="shared" si="504"/>
        <v>3.0295025662132917</v>
      </c>
      <c r="AJ539" s="36">
        <f t="shared" si="504"/>
        <v>3.0295025662132917</v>
      </c>
      <c r="AK539" s="36">
        <f t="shared" si="504"/>
        <v>3.0295025662132917</v>
      </c>
      <c r="AL539" s="36">
        <f t="shared" si="504"/>
        <v>3.0295025662132917</v>
      </c>
      <c r="AM539" s="36">
        <f t="shared" si="504"/>
        <v>0</v>
      </c>
      <c r="AN539" s="36">
        <f t="shared" si="504"/>
        <v>0</v>
      </c>
      <c r="AO539" s="36">
        <f t="shared" si="504"/>
        <v>0</v>
      </c>
      <c r="AP539" s="36">
        <f t="shared" si="504"/>
        <v>0</v>
      </c>
      <c r="AQ539" s="36">
        <f t="shared" si="504"/>
        <v>0</v>
      </c>
      <c r="AR539" s="36">
        <f t="shared" si="504"/>
        <v>0</v>
      </c>
      <c r="AS539" s="36">
        <f t="shared" si="504"/>
        <v>0</v>
      </c>
    </row>
    <row r="540" spans="1:45" ht="15" customHeight="1" x14ac:dyDescent="0.3">
      <c r="D540" s="113"/>
      <c r="E540" s="61"/>
      <c r="F540" s="104"/>
      <c r="G540" s="104"/>
      <c r="H540" s="57"/>
      <c r="I540" s="57"/>
      <c r="J540" s="136"/>
      <c r="K540" s="104"/>
      <c r="L540" s="104"/>
      <c r="M540" s="104"/>
      <c r="N540" s="104"/>
      <c r="O540" s="104"/>
      <c r="P540" s="104"/>
      <c r="Q540" s="104"/>
      <c r="R540" s="104"/>
      <c r="S540" s="104"/>
      <c r="T540" s="104"/>
      <c r="U540" s="104"/>
      <c r="V540" s="104"/>
      <c r="W540" s="104"/>
      <c r="X540" s="104"/>
      <c r="Y540" s="104"/>
      <c r="Z540" s="104"/>
      <c r="AA540" s="104"/>
      <c r="AB540" s="104"/>
      <c r="AC540" s="104"/>
      <c r="AD540" s="104"/>
      <c r="AE540" s="104"/>
      <c r="AF540" s="104"/>
      <c r="AG540" s="104"/>
      <c r="AH540" s="104"/>
      <c r="AI540" s="104"/>
      <c r="AJ540" s="104"/>
      <c r="AK540" s="104"/>
      <c r="AL540" s="104"/>
      <c r="AM540" s="104"/>
      <c r="AN540" s="104"/>
      <c r="AO540" s="104"/>
      <c r="AP540" s="104"/>
      <c r="AQ540" s="104"/>
      <c r="AR540" s="104"/>
      <c r="AS540" s="104"/>
    </row>
    <row r="541" spans="1:45" ht="15" customHeight="1" x14ac:dyDescent="0.3">
      <c r="C541" s="113" t="s">
        <v>201</v>
      </c>
      <c r="D541" s="113"/>
      <c r="I541" s="116"/>
      <c r="AL541" s="42"/>
      <c r="AM541" s="42"/>
      <c r="AN541" s="42"/>
      <c r="AO541" s="42"/>
      <c r="AP541" s="42"/>
      <c r="AQ541" s="42"/>
      <c r="AR541" s="42"/>
      <c r="AS541" s="42"/>
    </row>
    <row r="542" spans="1:45" ht="15" customHeight="1" x14ac:dyDescent="0.3">
      <c r="E542" s="40" t="str">
        <f t="shared" ref="E542:O542" si="505" xml:space="preserve"> E$528</f>
        <v>Initial capex</v>
      </c>
      <c r="F542" s="40">
        <f t="shared" si="505"/>
        <v>0</v>
      </c>
      <c r="G542" s="40" t="str">
        <f t="shared" si="505"/>
        <v>$ mn</v>
      </c>
      <c r="H542" s="40">
        <f t="shared" si="505"/>
        <v>0</v>
      </c>
      <c r="I542" s="40">
        <f t="shared" si="505"/>
        <v>22.69415</v>
      </c>
      <c r="J542" s="40">
        <f t="shared" si="505"/>
        <v>0</v>
      </c>
      <c r="K542" s="40">
        <f t="shared" si="505"/>
        <v>0</v>
      </c>
      <c r="L542" s="40">
        <f t="shared" si="505"/>
        <v>0</v>
      </c>
      <c r="M542" s="40">
        <f t="shared" si="505"/>
        <v>0</v>
      </c>
      <c r="N542" s="40">
        <f t="shared" si="505"/>
        <v>0</v>
      </c>
      <c r="O542" s="40">
        <f t="shared" si="505"/>
        <v>0</v>
      </c>
      <c r="P542" s="40">
        <f t="shared" ref="P542:AS542" si="506" xml:space="preserve"> P$528</f>
        <v>0</v>
      </c>
      <c r="Q542" s="40">
        <f t="shared" si="506"/>
        <v>0</v>
      </c>
      <c r="R542" s="40">
        <f t="shared" si="506"/>
        <v>0</v>
      </c>
      <c r="S542" s="40">
        <f t="shared" si="506"/>
        <v>22.69415</v>
      </c>
      <c r="T542" s="40">
        <f t="shared" si="506"/>
        <v>0</v>
      </c>
      <c r="U542" s="40">
        <f t="shared" si="506"/>
        <v>0</v>
      </c>
      <c r="V542" s="40">
        <f t="shared" si="506"/>
        <v>0</v>
      </c>
      <c r="W542" s="40">
        <f t="shared" si="506"/>
        <v>0</v>
      </c>
      <c r="X542" s="40">
        <f t="shared" si="506"/>
        <v>0</v>
      </c>
      <c r="Y542" s="40">
        <f t="shared" si="506"/>
        <v>0</v>
      </c>
      <c r="Z542" s="40">
        <f t="shared" si="506"/>
        <v>0</v>
      </c>
      <c r="AA542" s="40">
        <f t="shared" si="506"/>
        <v>0</v>
      </c>
      <c r="AB542" s="40">
        <f t="shared" si="506"/>
        <v>0</v>
      </c>
      <c r="AC542" s="40">
        <f t="shared" si="506"/>
        <v>0</v>
      </c>
      <c r="AD542" s="40">
        <f t="shared" si="506"/>
        <v>0</v>
      </c>
      <c r="AE542" s="40">
        <f t="shared" si="506"/>
        <v>0</v>
      </c>
      <c r="AF542" s="40">
        <f t="shared" si="506"/>
        <v>0</v>
      </c>
      <c r="AG542" s="40">
        <f t="shared" si="506"/>
        <v>0</v>
      </c>
      <c r="AH542" s="40">
        <f t="shared" si="506"/>
        <v>0</v>
      </c>
      <c r="AI542" s="40">
        <f t="shared" si="506"/>
        <v>0</v>
      </c>
      <c r="AJ542" s="40">
        <f t="shared" si="506"/>
        <v>0</v>
      </c>
      <c r="AK542" s="40">
        <f t="shared" si="506"/>
        <v>0</v>
      </c>
      <c r="AL542" s="40">
        <f t="shared" si="506"/>
        <v>0</v>
      </c>
      <c r="AM542" s="40">
        <f t="shared" si="506"/>
        <v>0</v>
      </c>
      <c r="AN542" s="40">
        <f t="shared" si="506"/>
        <v>0</v>
      </c>
      <c r="AO542" s="40">
        <f t="shared" si="506"/>
        <v>0</v>
      </c>
      <c r="AP542" s="40">
        <f t="shared" si="506"/>
        <v>0</v>
      </c>
      <c r="AQ542" s="40">
        <f t="shared" si="506"/>
        <v>0</v>
      </c>
      <c r="AR542" s="40">
        <f t="shared" si="506"/>
        <v>0</v>
      </c>
      <c r="AS542" s="40">
        <f t="shared" si="506"/>
        <v>0</v>
      </c>
    </row>
    <row r="543" spans="1:45" ht="15" customHeight="1" x14ac:dyDescent="0.3">
      <c r="E543" s="61" t="str">
        <f xml:space="preserve"> Inputs_TS!E$293</f>
        <v>COMMUS capex</v>
      </c>
      <c r="F543" s="104"/>
      <c r="G543" s="104" t="str">
        <f xml:space="preserve"> Inputs_TS!G$293</f>
        <v>$ mn</v>
      </c>
      <c r="H543" s="57"/>
      <c r="I543" s="57">
        <f xml:space="preserve"> Inputs_TS!I$293</f>
        <v>462.76471292061171</v>
      </c>
      <c r="J543" s="136">
        <f xml:space="preserve"> Inputs_TS!J$293</f>
        <v>0</v>
      </c>
      <c r="K543" s="104">
        <f xml:space="preserve"> Inputs_TS!K$293</f>
        <v>0</v>
      </c>
      <c r="L543" s="104">
        <f xml:space="preserve"> Inputs_TS!L$293</f>
        <v>0</v>
      </c>
      <c r="M543" s="104">
        <f xml:space="preserve"> Inputs_TS!M$293</f>
        <v>0</v>
      </c>
      <c r="N543" s="104">
        <f xml:space="preserve"> Inputs_TS!N$293</f>
        <v>0</v>
      </c>
      <c r="O543" s="104">
        <f xml:space="preserve"> Inputs_TS!O$293</f>
        <v>0</v>
      </c>
      <c r="P543" s="104">
        <f xml:space="preserve"> Inputs_TS!P$293</f>
        <v>0</v>
      </c>
      <c r="Q543" s="104">
        <f xml:space="preserve"> Inputs_TS!Q$293</f>
        <v>0</v>
      </c>
      <c r="R543" s="104">
        <f xml:space="preserve"> Inputs_TS!R$293</f>
        <v>0</v>
      </c>
      <c r="S543" s="104">
        <f xml:space="preserve"> Inputs_TS!S$293</f>
        <v>0</v>
      </c>
      <c r="T543" s="104">
        <f xml:space="preserve"> Inputs_TS!T$293</f>
        <v>22.767780583959592</v>
      </c>
      <c r="U543" s="104">
        <f xml:space="preserve"> Inputs_TS!U$293</f>
        <v>78.248965691220988</v>
      </c>
      <c r="V543" s="104">
        <f xml:space="preserve"> Inputs_TS!V$293</f>
        <v>41.784470172324077</v>
      </c>
      <c r="W543" s="104">
        <f xml:space="preserve"> Inputs_TS!W$293</f>
        <v>54.990631775265186</v>
      </c>
      <c r="X543" s="104">
        <f xml:space="preserve"> Inputs_TS!X$293</f>
        <v>180.98618646254408</v>
      </c>
      <c r="Y543" s="104">
        <f xml:space="preserve"> Inputs_TS!Y$293</f>
        <v>34.523140584530026</v>
      </c>
      <c r="Z543" s="104">
        <f xml:space="preserve"> Inputs_TS!Z$293</f>
        <v>49.463537650767755</v>
      </c>
      <c r="AA543" s="104">
        <f xml:space="preserve"> Inputs_TS!AA$293</f>
        <v>0</v>
      </c>
      <c r="AB543" s="104">
        <f xml:space="preserve"> Inputs_TS!AB$293</f>
        <v>0</v>
      </c>
      <c r="AC543" s="104">
        <f xml:space="preserve"> Inputs_TS!AC$293</f>
        <v>0</v>
      </c>
      <c r="AD543" s="104">
        <f xml:space="preserve"> Inputs_TS!AD$293</f>
        <v>0</v>
      </c>
      <c r="AE543" s="104">
        <f xml:space="preserve"> Inputs_TS!AE$293</f>
        <v>0</v>
      </c>
      <c r="AF543" s="104">
        <f xml:space="preserve"> Inputs_TS!AF$293</f>
        <v>0</v>
      </c>
      <c r="AG543" s="104">
        <f xml:space="preserve"> Inputs_TS!AG$293</f>
        <v>0</v>
      </c>
      <c r="AH543" s="104">
        <f xml:space="preserve"> Inputs_TS!AH$293</f>
        <v>0</v>
      </c>
      <c r="AI543" s="104">
        <f xml:space="preserve"> Inputs_TS!AI$293</f>
        <v>0</v>
      </c>
      <c r="AJ543" s="104">
        <f xml:space="preserve"> Inputs_TS!AJ$293</f>
        <v>0</v>
      </c>
      <c r="AK543" s="104">
        <f xml:space="preserve"> Inputs_TS!AK$293</f>
        <v>0</v>
      </c>
      <c r="AL543" s="104">
        <f xml:space="preserve"> Inputs_TS!AL$293</f>
        <v>0</v>
      </c>
      <c r="AM543" s="104">
        <f xml:space="preserve"> Inputs_TS!AM$293</f>
        <v>0</v>
      </c>
      <c r="AN543" s="104">
        <f xml:space="preserve"> Inputs_TS!AN$293</f>
        <v>0</v>
      </c>
      <c r="AO543" s="104">
        <f xml:space="preserve"> Inputs_TS!AO$293</f>
        <v>0</v>
      </c>
      <c r="AP543" s="104">
        <f xml:space="preserve"> Inputs_TS!AP$293</f>
        <v>0</v>
      </c>
      <c r="AQ543" s="104">
        <f xml:space="preserve"> Inputs_TS!AQ$293</f>
        <v>0</v>
      </c>
      <c r="AR543" s="104">
        <f xml:space="preserve"> Inputs_TS!AR$293</f>
        <v>0</v>
      </c>
      <c r="AS543" s="104">
        <f xml:space="preserve"> Inputs_TS!AS$293</f>
        <v>0</v>
      </c>
    </row>
    <row r="544" spans="1:45" ht="15" customHeight="1" x14ac:dyDescent="0.3">
      <c r="E544" s="40" t="str">
        <f t="shared" ref="E544:O544" si="507" xml:space="preserve"> E$539</f>
        <v>Future capex</v>
      </c>
      <c r="F544" s="40">
        <f t="shared" si="507"/>
        <v>0</v>
      </c>
      <c r="G544" s="40" t="str">
        <f t="shared" si="507"/>
        <v>$ mn</v>
      </c>
      <c r="H544" s="40">
        <f t="shared" si="507"/>
        <v>0</v>
      </c>
      <c r="I544" s="40">
        <f t="shared" si="507"/>
        <v>27.265523095919626</v>
      </c>
      <c r="J544" s="40">
        <f t="shared" si="507"/>
        <v>0</v>
      </c>
      <c r="K544" s="40">
        <f t="shared" si="507"/>
        <v>0</v>
      </c>
      <c r="L544" s="40">
        <f t="shared" si="507"/>
        <v>0</v>
      </c>
      <c r="M544" s="40">
        <f t="shared" si="507"/>
        <v>0</v>
      </c>
      <c r="N544" s="40">
        <f t="shared" si="507"/>
        <v>0</v>
      </c>
      <c r="O544" s="40">
        <f t="shared" si="507"/>
        <v>0</v>
      </c>
      <c r="P544" s="40">
        <f t="shared" ref="P544:AS544" si="508" xml:space="preserve"> P$539</f>
        <v>0</v>
      </c>
      <c r="Q544" s="40">
        <f t="shared" si="508"/>
        <v>0</v>
      </c>
      <c r="R544" s="40">
        <f t="shared" si="508"/>
        <v>0</v>
      </c>
      <c r="S544" s="40">
        <f t="shared" si="508"/>
        <v>0</v>
      </c>
      <c r="T544" s="40">
        <f t="shared" si="508"/>
        <v>0</v>
      </c>
      <c r="U544" s="40">
        <f t="shared" si="508"/>
        <v>0</v>
      </c>
      <c r="V544" s="40">
        <f t="shared" si="508"/>
        <v>0</v>
      </c>
      <c r="W544" s="40">
        <f t="shared" si="508"/>
        <v>0</v>
      </c>
      <c r="X544" s="40">
        <f t="shared" si="508"/>
        <v>0</v>
      </c>
      <c r="Y544" s="40">
        <f t="shared" si="508"/>
        <v>0</v>
      </c>
      <c r="Z544" s="40">
        <f t="shared" si="508"/>
        <v>0</v>
      </c>
      <c r="AA544" s="40">
        <f t="shared" si="508"/>
        <v>0</v>
      </c>
      <c r="AB544" s="40">
        <f t="shared" si="508"/>
        <v>0</v>
      </c>
      <c r="AC544" s="40">
        <f t="shared" si="508"/>
        <v>0</v>
      </c>
      <c r="AD544" s="40">
        <f t="shared" si="508"/>
        <v>3.0295025662132917</v>
      </c>
      <c r="AE544" s="40">
        <f t="shared" si="508"/>
        <v>3.0295025662132917</v>
      </c>
      <c r="AF544" s="40">
        <f t="shared" si="508"/>
        <v>3.0295025662132917</v>
      </c>
      <c r="AG544" s="40">
        <f t="shared" si="508"/>
        <v>3.0295025662132917</v>
      </c>
      <c r="AH544" s="40">
        <f t="shared" si="508"/>
        <v>3.0295025662132917</v>
      </c>
      <c r="AI544" s="40">
        <f t="shared" si="508"/>
        <v>3.0295025662132917</v>
      </c>
      <c r="AJ544" s="40">
        <f t="shared" si="508"/>
        <v>3.0295025662132917</v>
      </c>
      <c r="AK544" s="40">
        <f t="shared" si="508"/>
        <v>3.0295025662132917</v>
      </c>
      <c r="AL544" s="40">
        <f t="shared" si="508"/>
        <v>3.0295025662132917</v>
      </c>
      <c r="AM544" s="40">
        <f t="shared" si="508"/>
        <v>0</v>
      </c>
      <c r="AN544" s="40">
        <f t="shared" si="508"/>
        <v>0</v>
      </c>
      <c r="AO544" s="40">
        <f t="shared" si="508"/>
        <v>0</v>
      </c>
      <c r="AP544" s="40">
        <f t="shared" si="508"/>
        <v>0</v>
      </c>
      <c r="AQ544" s="40">
        <f t="shared" si="508"/>
        <v>0</v>
      </c>
      <c r="AR544" s="40">
        <f t="shared" si="508"/>
        <v>0</v>
      </c>
      <c r="AS544" s="40">
        <f t="shared" si="508"/>
        <v>0</v>
      </c>
    </row>
    <row r="545" spans="1:45" ht="15" customHeight="1" x14ac:dyDescent="0.3">
      <c r="A545" s="123"/>
      <c r="B545" s="123"/>
      <c r="C545" s="124"/>
      <c r="D545" s="109"/>
      <c r="E545" s="109" t="s">
        <v>562</v>
      </c>
      <c r="F545" s="109" t="s">
        <v>553</v>
      </c>
      <c r="G545" s="109" t="s">
        <v>346</v>
      </c>
      <c r="H545" s="125"/>
      <c r="I545" s="125">
        <f>SUM(K545:AS545)</f>
        <v>512.7243860165313</v>
      </c>
      <c r="J545" s="138"/>
      <c r="K545" s="109">
        <f t="shared" ref="K545:O545" si="509">SUM(K542:K544)</f>
        <v>0</v>
      </c>
      <c r="L545" s="109">
        <f t="shared" si="509"/>
        <v>0</v>
      </c>
      <c r="M545" s="109">
        <f t="shared" si="509"/>
        <v>0</v>
      </c>
      <c r="N545" s="109">
        <f t="shared" si="509"/>
        <v>0</v>
      </c>
      <c r="O545" s="109">
        <f t="shared" si="509"/>
        <v>0</v>
      </c>
      <c r="P545" s="109">
        <f>SUM(P542:P544)</f>
        <v>0</v>
      </c>
      <c r="Q545" s="109">
        <f t="shared" ref="Q545:AS545" si="510">SUM(Q542:Q544)</f>
        <v>0</v>
      </c>
      <c r="R545" s="109">
        <f t="shared" si="510"/>
        <v>0</v>
      </c>
      <c r="S545" s="109">
        <f t="shared" si="510"/>
        <v>22.69415</v>
      </c>
      <c r="T545" s="109">
        <f t="shared" si="510"/>
        <v>22.767780583959592</v>
      </c>
      <c r="U545" s="109">
        <f t="shared" si="510"/>
        <v>78.248965691220988</v>
      </c>
      <c r="V545" s="109">
        <f t="shared" si="510"/>
        <v>41.784470172324077</v>
      </c>
      <c r="W545" s="109">
        <f t="shared" si="510"/>
        <v>54.990631775265186</v>
      </c>
      <c r="X545" s="109">
        <f t="shared" si="510"/>
        <v>180.98618646254408</v>
      </c>
      <c r="Y545" s="109">
        <f t="shared" si="510"/>
        <v>34.523140584530026</v>
      </c>
      <c r="Z545" s="109">
        <f t="shared" si="510"/>
        <v>49.463537650767755</v>
      </c>
      <c r="AA545" s="109">
        <f t="shared" si="510"/>
        <v>0</v>
      </c>
      <c r="AB545" s="109">
        <f t="shared" si="510"/>
        <v>0</v>
      </c>
      <c r="AC545" s="109">
        <f t="shared" si="510"/>
        <v>0</v>
      </c>
      <c r="AD545" s="109">
        <f t="shared" si="510"/>
        <v>3.0295025662132917</v>
      </c>
      <c r="AE545" s="109">
        <f t="shared" si="510"/>
        <v>3.0295025662132917</v>
      </c>
      <c r="AF545" s="109">
        <f t="shared" si="510"/>
        <v>3.0295025662132917</v>
      </c>
      <c r="AG545" s="109">
        <f t="shared" si="510"/>
        <v>3.0295025662132917</v>
      </c>
      <c r="AH545" s="109">
        <f t="shared" si="510"/>
        <v>3.0295025662132917</v>
      </c>
      <c r="AI545" s="109">
        <f t="shared" si="510"/>
        <v>3.0295025662132917</v>
      </c>
      <c r="AJ545" s="109">
        <f t="shared" si="510"/>
        <v>3.0295025662132917</v>
      </c>
      <c r="AK545" s="109">
        <f t="shared" si="510"/>
        <v>3.0295025662132917</v>
      </c>
      <c r="AL545" s="109">
        <f t="shared" si="510"/>
        <v>3.0295025662132917</v>
      </c>
      <c r="AM545" s="109">
        <f t="shared" si="510"/>
        <v>0</v>
      </c>
      <c r="AN545" s="109">
        <f t="shared" si="510"/>
        <v>0</v>
      </c>
      <c r="AO545" s="109">
        <f t="shared" si="510"/>
        <v>0</v>
      </c>
      <c r="AP545" s="109">
        <f t="shared" si="510"/>
        <v>0</v>
      </c>
      <c r="AQ545" s="109">
        <f t="shared" si="510"/>
        <v>0</v>
      </c>
      <c r="AR545" s="109">
        <f t="shared" si="510"/>
        <v>0</v>
      </c>
      <c r="AS545" s="109">
        <f t="shared" si="510"/>
        <v>0</v>
      </c>
    </row>
    <row r="546" spans="1:45" ht="15" customHeight="1" x14ac:dyDescent="0.3">
      <c r="I546" s="116"/>
      <c r="AL546" s="42"/>
      <c r="AM546" s="42"/>
      <c r="AN546" s="42"/>
      <c r="AO546" s="42"/>
      <c r="AP546" s="42"/>
      <c r="AQ546" s="42"/>
      <c r="AR546" s="42"/>
      <c r="AS546" s="42"/>
    </row>
    <row r="547" spans="1:45" ht="14.4" x14ac:dyDescent="0.3">
      <c r="A547" s="88"/>
      <c r="B547" s="112" t="s">
        <v>559</v>
      </c>
      <c r="C547" s="168"/>
      <c r="D547" s="168"/>
      <c r="E547" s="168"/>
      <c r="F547" s="168"/>
      <c r="G547" s="106"/>
      <c r="H547" s="168"/>
      <c r="I547" s="168"/>
      <c r="J547" s="168"/>
      <c r="K547" s="168"/>
      <c r="L547" s="168"/>
      <c r="M547" s="168"/>
      <c r="N547" s="168"/>
      <c r="O547" s="168"/>
      <c r="P547" s="168"/>
      <c r="Q547" s="168"/>
      <c r="R547" s="168"/>
      <c r="S547" s="168"/>
      <c r="T547" s="168"/>
      <c r="U547" s="168"/>
      <c r="V547" s="168"/>
      <c r="W547" s="168"/>
      <c r="X547" s="168"/>
      <c r="Y547" s="168"/>
      <c r="Z547" s="168"/>
      <c r="AA547" s="168"/>
      <c r="AB547" s="168"/>
      <c r="AC547" s="168"/>
      <c r="AD547" s="168"/>
      <c r="AE547" s="168"/>
      <c r="AF547" s="168"/>
      <c r="AG547" s="168"/>
      <c r="AH547" s="168"/>
      <c r="AI547" s="168"/>
      <c r="AJ547" s="168"/>
      <c r="AK547" s="168"/>
      <c r="AL547" s="168"/>
      <c r="AM547" s="168"/>
      <c r="AN547" s="168"/>
      <c r="AO547" s="168"/>
      <c r="AP547" s="168"/>
      <c r="AQ547" s="168"/>
      <c r="AR547" s="168"/>
      <c r="AS547" s="168"/>
    </row>
    <row r="548" spans="1:45" ht="14.4" x14ac:dyDescent="0.3">
      <c r="A548" s="88"/>
      <c r="C548" s="168"/>
      <c r="D548" s="168"/>
      <c r="E548" s="177" t="str">
        <f xml:space="preserve"> 'Inputs_ FS'!E$46</f>
        <v>Construction investment</v>
      </c>
      <c r="F548" s="177">
        <f xml:space="preserve"> 'Inputs_ FS'!F$46</f>
        <v>0</v>
      </c>
      <c r="G548" s="177" t="str">
        <f xml:space="preserve"> 'Inputs_ FS'!G$46</f>
        <v>$ mn</v>
      </c>
      <c r="H548" s="177" t="str">
        <f xml:space="preserve"> 'Inputs_ FS'!H$46</f>
        <v>M</v>
      </c>
      <c r="I548" s="177">
        <f xml:space="preserve"> 'Inputs_ FS'!I$46</f>
        <v>583.0057502200001</v>
      </c>
      <c r="J548" s="177">
        <f xml:space="preserve"> 'Inputs_ FS'!J$46</f>
        <v>0</v>
      </c>
      <c r="K548" s="177">
        <f xml:space="preserve"> 'Inputs_ FS'!K$46</f>
        <v>0</v>
      </c>
      <c r="L548" s="177">
        <f xml:space="preserve"> 'Inputs_ FS'!L$46</f>
        <v>0</v>
      </c>
      <c r="M548" s="177">
        <f xml:space="preserve"> 'Inputs_ FS'!M$46</f>
        <v>0</v>
      </c>
      <c r="N548" s="177">
        <f xml:space="preserve"> 'Inputs_ FS'!N$46</f>
        <v>0</v>
      </c>
      <c r="O548" s="177">
        <f xml:space="preserve"> 'Inputs_ FS'!O$46</f>
        <v>0</v>
      </c>
      <c r="P548" s="177">
        <f xml:space="preserve"> 'Inputs_ FS'!P$46</f>
        <v>0</v>
      </c>
      <c r="Q548" s="177">
        <f xml:space="preserve"> 'Inputs_ FS'!Q$46</f>
        <v>0</v>
      </c>
      <c r="R548" s="177">
        <f xml:space="preserve"> 'Inputs_ FS'!R$46</f>
        <v>0</v>
      </c>
      <c r="S548" s="177">
        <f xml:space="preserve"> 'Inputs_ FS'!S$46</f>
        <v>0</v>
      </c>
      <c r="T548" s="177">
        <f xml:space="preserve"> 'Inputs_ FS'!T$46</f>
        <v>0</v>
      </c>
      <c r="U548" s="177">
        <f xml:space="preserve"> 'Inputs_ FS'!U$46</f>
        <v>0</v>
      </c>
      <c r="V548" s="177">
        <f xml:space="preserve"> 'Inputs_ FS'!V$46</f>
        <v>206.56673885000001</v>
      </c>
      <c r="W548" s="177">
        <f xml:space="preserve"> 'Inputs_ FS'!W$46</f>
        <v>93.857954650000011</v>
      </c>
      <c r="X548" s="177">
        <f xml:space="preserve"> 'Inputs_ FS'!X$46</f>
        <v>125.01304914000001</v>
      </c>
      <c r="Y548" s="177">
        <f xml:space="preserve"> 'Inputs_ FS'!Y$46</f>
        <v>4.0362397200000002</v>
      </c>
      <c r="Z548" s="177">
        <f xml:space="preserve"> 'Inputs_ FS'!Z$46</f>
        <v>68.970431939999997</v>
      </c>
      <c r="AA548" s="177">
        <f xml:space="preserve"> 'Inputs_ FS'!AA$46</f>
        <v>84.561335919999991</v>
      </c>
      <c r="AB548" s="177">
        <f xml:space="preserve"> 'Inputs_ FS'!AB$46</f>
        <v>0</v>
      </c>
      <c r="AC548" s="177">
        <f xml:space="preserve"> 'Inputs_ FS'!AC$46</f>
        <v>0</v>
      </c>
      <c r="AD548" s="177">
        <f xml:space="preserve"> 'Inputs_ FS'!AD$46</f>
        <v>0</v>
      </c>
      <c r="AE548" s="177">
        <f xml:space="preserve"> 'Inputs_ FS'!AE$46</f>
        <v>0</v>
      </c>
      <c r="AF548" s="177">
        <f xml:space="preserve"> 'Inputs_ FS'!AF$46</f>
        <v>0</v>
      </c>
      <c r="AG548" s="177">
        <f xml:space="preserve"> 'Inputs_ FS'!AG$46</f>
        <v>0</v>
      </c>
      <c r="AH548" s="177">
        <f xml:space="preserve"> 'Inputs_ FS'!AH$46</f>
        <v>0</v>
      </c>
      <c r="AI548" s="177">
        <f xml:space="preserve"> 'Inputs_ FS'!AI$46</f>
        <v>0</v>
      </c>
      <c r="AJ548" s="177">
        <f xml:space="preserve"> 'Inputs_ FS'!AJ$46</f>
        <v>0</v>
      </c>
      <c r="AK548" s="177">
        <f xml:space="preserve"> 'Inputs_ FS'!AK$46</f>
        <v>0</v>
      </c>
      <c r="AL548" s="177">
        <f xml:space="preserve"> 'Inputs_ FS'!AL$46</f>
        <v>0</v>
      </c>
      <c r="AM548" s="177">
        <f xml:space="preserve"> 'Inputs_ FS'!AM$46</f>
        <v>0</v>
      </c>
      <c r="AN548" s="177">
        <f xml:space="preserve"> 'Inputs_ FS'!AN$46</f>
        <v>0</v>
      </c>
      <c r="AO548" s="177">
        <f xml:space="preserve"> 'Inputs_ FS'!AO$46</f>
        <v>0</v>
      </c>
      <c r="AP548" s="177">
        <f xml:space="preserve"> 'Inputs_ FS'!AP$46</f>
        <v>0</v>
      </c>
      <c r="AQ548" s="177">
        <f xml:space="preserve"> 'Inputs_ FS'!AQ$46</f>
        <v>0</v>
      </c>
      <c r="AR548" s="177">
        <f xml:space="preserve"> 'Inputs_ FS'!AR$46</f>
        <v>0</v>
      </c>
      <c r="AS548" s="177">
        <f xml:space="preserve"> 'Inputs_ FS'!AS$46</f>
        <v>0</v>
      </c>
    </row>
    <row r="549" spans="1:45" ht="14.4" x14ac:dyDescent="0.3">
      <c r="A549" s="88"/>
      <c r="C549" s="168"/>
      <c r="D549" s="168"/>
      <c r="E549" s="177" t="str">
        <f xml:space="preserve"> 'Inputs_ FS'!E$47</f>
        <v>Environment rehabilitation</v>
      </c>
      <c r="F549" s="177">
        <f xml:space="preserve"> 'Inputs_ FS'!F$47</f>
        <v>0</v>
      </c>
      <c r="G549" s="177" t="str">
        <f xml:space="preserve"> 'Inputs_ FS'!G$47</f>
        <v>$ mn</v>
      </c>
      <c r="H549" s="177" t="str">
        <f xml:space="preserve"> 'Inputs_ FS'!H$47</f>
        <v>M</v>
      </c>
      <c r="I549" s="177">
        <f xml:space="preserve"> 'Inputs_ FS'!I$47</f>
        <v>241.71616872000004</v>
      </c>
      <c r="J549" s="177">
        <f xml:space="preserve"> 'Inputs_ FS'!J$47</f>
        <v>0</v>
      </c>
      <c r="K549" s="177">
        <f xml:space="preserve"> 'Inputs_ FS'!K$47</f>
        <v>0</v>
      </c>
      <c r="L549" s="177">
        <f xml:space="preserve"> 'Inputs_ FS'!L$47</f>
        <v>0</v>
      </c>
      <c r="M549" s="177">
        <f xml:space="preserve"> 'Inputs_ FS'!M$47</f>
        <v>0</v>
      </c>
      <c r="N549" s="177">
        <f xml:space="preserve"> 'Inputs_ FS'!N$47</f>
        <v>0</v>
      </c>
      <c r="O549" s="177">
        <f xml:space="preserve"> 'Inputs_ FS'!O$47</f>
        <v>0</v>
      </c>
      <c r="P549" s="177">
        <f xml:space="preserve"> 'Inputs_ FS'!P$47</f>
        <v>0</v>
      </c>
      <c r="Q549" s="177">
        <f xml:space="preserve"> 'Inputs_ FS'!Q$47</f>
        <v>0</v>
      </c>
      <c r="R549" s="177">
        <f xml:space="preserve"> 'Inputs_ FS'!R$47</f>
        <v>0</v>
      </c>
      <c r="S549" s="177">
        <f xml:space="preserve"> 'Inputs_ FS'!S$47</f>
        <v>0</v>
      </c>
      <c r="T549" s="177">
        <f xml:space="preserve"> 'Inputs_ FS'!T$47</f>
        <v>0</v>
      </c>
      <c r="U549" s="177">
        <f xml:space="preserve"> 'Inputs_ FS'!U$47</f>
        <v>0</v>
      </c>
      <c r="V549" s="177">
        <f xml:space="preserve"> 'Inputs_ FS'!V$47</f>
        <v>38.461454500000002</v>
      </c>
      <c r="W549" s="177">
        <f xml:space="preserve"> 'Inputs_ FS'!W$47</f>
        <v>17.47577308</v>
      </c>
      <c r="X549" s="177">
        <f xml:space="preserve"> 'Inputs_ FS'!X$47</f>
        <v>23.276659779999999</v>
      </c>
      <c r="Y549" s="177">
        <f xml:space="preserve"> 'Inputs_ FS'!Y$47</f>
        <v>0.75152297999999995</v>
      </c>
      <c r="Z549" s="177">
        <f xml:space="preserve"> 'Inputs_ FS'!Z$47</f>
        <v>12.841858459999999</v>
      </c>
      <c r="AA549" s="177">
        <f xml:space="preserve"> 'Inputs_ FS'!AA$47</f>
        <v>15.74479992</v>
      </c>
      <c r="AB549" s="177">
        <f xml:space="preserve"> 'Inputs_ FS'!AB$47</f>
        <v>99.765600000000006</v>
      </c>
      <c r="AC549" s="177">
        <f xml:space="preserve"> 'Inputs_ FS'!AC$47</f>
        <v>33.398499999999999</v>
      </c>
      <c r="AD549" s="177">
        <f xml:space="preserve"> 'Inputs_ FS'!AD$47</f>
        <v>0</v>
      </c>
      <c r="AE549" s="177">
        <f xml:space="preserve"> 'Inputs_ FS'!AE$47</f>
        <v>0</v>
      </c>
      <c r="AF549" s="177">
        <f xml:space="preserve"> 'Inputs_ FS'!AF$47</f>
        <v>0</v>
      </c>
      <c r="AG549" s="177">
        <f xml:space="preserve"> 'Inputs_ FS'!AG$47</f>
        <v>0</v>
      </c>
      <c r="AH549" s="177">
        <f xml:space="preserve"> 'Inputs_ FS'!AH$47</f>
        <v>0</v>
      </c>
      <c r="AI549" s="177">
        <f xml:space="preserve"> 'Inputs_ FS'!AI$47</f>
        <v>0</v>
      </c>
      <c r="AJ549" s="177">
        <f xml:space="preserve"> 'Inputs_ FS'!AJ$47</f>
        <v>0</v>
      </c>
      <c r="AK549" s="177">
        <f xml:space="preserve"> 'Inputs_ FS'!AK$47</f>
        <v>0</v>
      </c>
      <c r="AL549" s="177">
        <f xml:space="preserve"> 'Inputs_ FS'!AL$47</f>
        <v>0</v>
      </c>
      <c r="AM549" s="177">
        <f xml:space="preserve"> 'Inputs_ FS'!AM$47</f>
        <v>0</v>
      </c>
      <c r="AN549" s="177">
        <f xml:space="preserve"> 'Inputs_ FS'!AN$47</f>
        <v>0</v>
      </c>
      <c r="AO549" s="177">
        <f xml:space="preserve"> 'Inputs_ FS'!AO$47</f>
        <v>0</v>
      </c>
      <c r="AP549" s="177">
        <f xml:space="preserve"> 'Inputs_ FS'!AP$47</f>
        <v>0</v>
      </c>
      <c r="AQ549" s="177">
        <f xml:space="preserve"> 'Inputs_ FS'!AQ$47</f>
        <v>0</v>
      </c>
      <c r="AR549" s="177">
        <f xml:space="preserve"> 'Inputs_ FS'!AR$47</f>
        <v>0</v>
      </c>
      <c r="AS549" s="177">
        <f xml:space="preserve"> 'Inputs_ FS'!AS$47</f>
        <v>0</v>
      </c>
    </row>
    <row r="550" spans="1:45" ht="14.4" x14ac:dyDescent="0.3">
      <c r="A550" s="341"/>
      <c r="B550" s="123"/>
      <c r="C550" s="554"/>
      <c r="D550" s="554"/>
      <c r="E550" s="555" t="str">
        <f xml:space="preserve"> COMMUS_23FS_Model!E$160</f>
        <v>Capital costs: FS</v>
      </c>
      <c r="F550" s="555" t="str">
        <f xml:space="preserve"> COMMUS_23FS_Model!F$160</f>
        <v>FS</v>
      </c>
      <c r="G550" s="555" t="str">
        <f xml:space="preserve"> COMMUS_23FS_Model!G$160</f>
        <v>$ mn</v>
      </c>
      <c r="H550" s="555">
        <f xml:space="preserve"> COMMUS_23FS_Model!H$160</f>
        <v>0</v>
      </c>
      <c r="I550" s="555">
        <f xml:space="preserve"> COMMUS_23FS_Model!I$160</f>
        <v>824.72191894000002</v>
      </c>
      <c r="J550" s="555">
        <f xml:space="preserve"> COMMUS_23FS_Model!J$160</f>
        <v>0</v>
      </c>
      <c r="K550" s="555">
        <f xml:space="preserve"> COMMUS_23FS_Model!K$160</f>
        <v>0</v>
      </c>
      <c r="L550" s="555">
        <f xml:space="preserve"> COMMUS_23FS_Model!L$160</f>
        <v>0</v>
      </c>
      <c r="M550" s="555">
        <f xml:space="preserve"> COMMUS_23FS_Model!M$160</f>
        <v>0</v>
      </c>
      <c r="N550" s="555">
        <f xml:space="preserve"> COMMUS_23FS_Model!N$160</f>
        <v>0</v>
      </c>
      <c r="O550" s="555">
        <f xml:space="preserve"> COMMUS_23FS_Model!O$160</f>
        <v>0</v>
      </c>
      <c r="P550" s="555">
        <f xml:space="preserve"> COMMUS_23FS_Model!P$160</f>
        <v>0</v>
      </c>
      <c r="Q550" s="555">
        <f xml:space="preserve"> COMMUS_23FS_Model!Q$160</f>
        <v>0</v>
      </c>
      <c r="R550" s="555">
        <f xml:space="preserve"> COMMUS_23FS_Model!R$160</f>
        <v>0</v>
      </c>
      <c r="S550" s="555">
        <f xml:space="preserve"> COMMUS_23FS_Model!S$160</f>
        <v>0</v>
      </c>
      <c r="T550" s="555">
        <f xml:space="preserve"> COMMUS_23FS_Model!T$160</f>
        <v>0</v>
      </c>
      <c r="U550" s="555">
        <f xml:space="preserve"> COMMUS_23FS_Model!U$160</f>
        <v>0</v>
      </c>
      <c r="V550" s="555">
        <f xml:space="preserve"> COMMUS_23FS_Model!V$160</f>
        <v>245.02819335000001</v>
      </c>
      <c r="W550" s="555">
        <f xml:space="preserve"> COMMUS_23FS_Model!W$160</f>
        <v>111.33372773000001</v>
      </c>
      <c r="X550" s="555">
        <f xml:space="preserve"> COMMUS_23FS_Model!X$160</f>
        <v>148.28970892000001</v>
      </c>
      <c r="Y550" s="555">
        <f xml:space="preserve"> COMMUS_23FS_Model!Y$160</f>
        <v>4.7877627</v>
      </c>
      <c r="Z550" s="555">
        <f xml:space="preserve"> COMMUS_23FS_Model!Z$160</f>
        <v>81.812290399999995</v>
      </c>
      <c r="AA550" s="555">
        <f xml:space="preserve"> COMMUS_23FS_Model!AA$160</f>
        <v>100.30613584</v>
      </c>
      <c r="AB550" s="555">
        <f xml:space="preserve"> COMMUS_23FS_Model!AB$160</f>
        <v>99.765600000000006</v>
      </c>
      <c r="AC550" s="555">
        <f xml:space="preserve"> COMMUS_23FS_Model!AC$160</f>
        <v>33.398499999999999</v>
      </c>
      <c r="AD550" s="555">
        <f xml:space="preserve"> COMMUS_23FS_Model!AD$160</f>
        <v>0</v>
      </c>
      <c r="AE550" s="555">
        <f xml:space="preserve"> COMMUS_23FS_Model!AE$160</f>
        <v>0</v>
      </c>
      <c r="AF550" s="555">
        <f xml:space="preserve"> COMMUS_23FS_Model!AF$160</f>
        <v>0</v>
      </c>
      <c r="AG550" s="555">
        <f xml:space="preserve"> COMMUS_23FS_Model!AG$160</f>
        <v>0</v>
      </c>
      <c r="AH550" s="555">
        <f xml:space="preserve"> COMMUS_23FS_Model!AH$160</f>
        <v>0</v>
      </c>
      <c r="AI550" s="555">
        <f xml:space="preserve"> COMMUS_23FS_Model!AI$160</f>
        <v>0</v>
      </c>
      <c r="AJ550" s="555">
        <f xml:space="preserve"> COMMUS_23FS_Model!AJ$160</f>
        <v>0</v>
      </c>
      <c r="AK550" s="555">
        <f xml:space="preserve"> COMMUS_23FS_Model!AK$160</f>
        <v>0</v>
      </c>
      <c r="AL550" s="555">
        <f xml:space="preserve"> COMMUS_23FS_Model!AL$160</f>
        <v>0</v>
      </c>
      <c r="AM550" s="555">
        <f xml:space="preserve"> COMMUS_23FS_Model!AM$160</f>
        <v>0</v>
      </c>
      <c r="AN550" s="555">
        <f xml:space="preserve"> COMMUS_23FS_Model!AN$160</f>
        <v>0</v>
      </c>
      <c r="AO550" s="555">
        <f xml:space="preserve"> COMMUS_23FS_Model!AO$160</f>
        <v>0</v>
      </c>
      <c r="AP550" s="555">
        <f xml:space="preserve"> COMMUS_23FS_Model!AP$160</f>
        <v>0</v>
      </c>
      <c r="AQ550" s="555">
        <f xml:space="preserve"> COMMUS_23FS_Model!AQ$160</f>
        <v>0</v>
      </c>
      <c r="AR550" s="555">
        <f xml:space="preserve"> COMMUS_23FS_Model!AR$160</f>
        <v>0</v>
      </c>
      <c r="AS550" s="555">
        <f xml:space="preserve"> COMMUS_23FS_Model!AS$160</f>
        <v>0</v>
      </c>
    </row>
    <row r="551" spans="1:45" ht="14.4" x14ac:dyDescent="0.3">
      <c r="A551" s="851"/>
      <c r="B551" s="129"/>
      <c r="C551" s="1091"/>
      <c r="D551" s="1091"/>
      <c r="E551" s="1114"/>
      <c r="F551" s="1114"/>
      <c r="G551" s="1114"/>
      <c r="H551" s="1114"/>
      <c r="I551" s="1114"/>
      <c r="J551" s="1114"/>
      <c r="K551" s="1114"/>
      <c r="L551" s="1114"/>
      <c r="M551" s="1114"/>
      <c r="N551" s="1114"/>
      <c r="O551" s="1114"/>
      <c r="P551" s="1114"/>
      <c r="Q551" s="1114"/>
      <c r="R551" s="1114"/>
      <c r="S551" s="1114"/>
      <c r="T551" s="1114"/>
      <c r="U551" s="1114"/>
      <c r="V551" s="1114"/>
      <c r="W551" s="1114"/>
      <c r="X551" s="1114"/>
      <c r="Y551" s="1114"/>
      <c r="Z551" s="1114"/>
      <c r="AA551" s="1114"/>
      <c r="AB551" s="1114"/>
      <c r="AC551" s="1114"/>
      <c r="AD551" s="1114"/>
      <c r="AE551" s="1114"/>
      <c r="AF551" s="1114"/>
      <c r="AG551" s="1114"/>
      <c r="AH551" s="1114"/>
      <c r="AI551" s="1114"/>
      <c r="AJ551" s="1114"/>
      <c r="AK551" s="1114"/>
      <c r="AL551" s="1114"/>
      <c r="AM551" s="1114"/>
      <c r="AN551" s="1114"/>
      <c r="AO551" s="1114"/>
      <c r="AP551" s="1114"/>
      <c r="AQ551" s="1114"/>
      <c r="AR551" s="1114"/>
      <c r="AS551" s="1114"/>
    </row>
    <row r="552" spans="1:45" ht="14.4" x14ac:dyDescent="0.3">
      <c r="A552" s="851"/>
      <c r="B552" s="1115" t="s">
        <v>1063</v>
      </c>
      <c r="D552" s="1091"/>
      <c r="E552" s="1114"/>
      <c r="F552" s="1114"/>
      <c r="G552" s="1114"/>
      <c r="H552" s="1114"/>
      <c r="I552" s="1114"/>
      <c r="J552" s="1114"/>
      <c r="K552" s="1114"/>
      <c r="L552" s="1114"/>
      <c r="M552" s="1114"/>
      <c r="N552" s="1114"/>
      <c r="O552" s="1114"/>
      <c r="P552" s="1114"/>
      <c r="Q552" s="1114"/>
      <c r="R552" s="1114"/>
      <c r="S552" s="1114"/>
      <c r="T552" s="1114"/>
      <c r="U552" s="1114"/>
      <c r="V552" s="1114"/>
      <c r="W552" s="1114"/>
      <c r="X552" s="1114"/>
      <c r="Y552" s="1114"/>
      <c r="Z552" s="1114"/>
      <c r="AA552" s="1114"/>
      <c r="AB552" s="1114"/>
      <c r="AC552" s="1114"/>
      <c r="AD552" s="1114"/>
      <c r="AE552" s="1114"/>
      <c r="AF552" s="1114"/>
      <c r="AG552" s="1114"/>
      <c r="AH552" s="1114"/>
      <c r="AI552" s="1114"/>
      <c r="AJ552" s="1114"/>
      <c r="AK552" s="1114"/>
      <c r="AL552" s="1114"/>
      <c r="AM552" s="1114"/>
      <c r="AN552" s="1114"/>
      <c r="AO552" s="1114"/>
      <c r="AP552" s="1114"/>
      <c r="AQ552" s="1114"/>
      <c r="AR552" s="1114"/>
      <c r="AS552" s="1114"/>
    </row>
    <row r="553" spans="1:45" ht="14.4" x14ac:dyDescent="0.3">
      <c r="A553" s="851"/>
      <c r="B553" s="1115"/>
      <c r="D553" s="1091"/>
      <c r="E553" s="1114"/>
      <c r="F553" s="1114"/>
      <c r="G553" s="1114"/>
      <c r="H553" s="1114"/>
      <c r="I553" s="1114"/>
      <c r="J553" s="1114"/>
      <c r="K553" s="1114"/>
      <c r="L553" s="1114"/>
      <c r="M553" s="1114"/>
      <c r="N553" s="1114"/>
      <c r="O553" s="1114"/>
      <c r="P553" s="1114"/>
      <c r="Q553" s="1114"/>
      <c r="R553" s="1114"/>
      <c r="S553" s="1114"/>
      <c r="T553" s="1114"/>
      <c r="U553" s="1114"/>
      <c r="V553" s="1114"/>
      <c r="W553" s="1114"/>
      <c r="X553" s="1114"/>
      <c r="Y553" s="1114"/>
      <c r="Z553" s="1114"/>
      <c r="AA553" s="1114"/>
      <c r="AB553" s="1114"/>
      <c r="AC553" s="1114"/>
      <c r="AD553" s="1114"/>
      <c r="AE553" s="1114"/>
      <c r="AF553" s="1114"/>
      <c r="AG553" s="1114"/>
      <c r="AH553" s="1114"/>
      <c r="AI553" s="1114"/>
      <c r="AJ553" s="1114"/>
      <c r="AK553" s="1114"/>
      <c r="AL553" s="1114"/>
      <c r="AM553" s="1114"/>
      <c r="AN553" s="1114"/>
      <c r="AO553" s="1114"/>
      <c r="AP553" s="1114"/>
      <c r="AQ553" s="1114"/>
      <c r="AR553" s="1114"/>
      <c r="AS553" s="1114"/>
    </row>
    <row r="554" spans="1:45" ht="15" customHeight="1" x14ac:dyDescent="0.3">
      <c r="A554" s="266"/>
      <c r="B554" s="267"/>
      <c r="C554" s="268"/>
      <c r="D554" s="269"/>
      <c r="E554" s="269"/>
      <c r="F554" s="269" t="s">
        <v>319</v>
      </c>
      <c r="G554" s="269"/>
      <c r="H554" s="269"/>
      <c r="I554" s="269"/>
      <c r="J554" s="269"/>
      <c r="K554" s="269"/>
      <c r="L554" s="269"/>
      <c r="M554" s="269"/>
      <c r="N554" s="269"/>
      <c r="O554" s="269"/>
      <c r="P554" s="269"/>
      <c r="Q554" s="269"/>
      <c r="R554" s="269"/>
      <c r="S554" s="269"/>
      <c r="T554" s="269"/>
      <c r="U554" s="269"/>
      <c r="V554" s="269"/>
      <c r="W554" s="269"/>
      <c r="X554" s="269"/>
      <c r="Y554" s="269"/>
      <c r="Z554" s="269"/>
      <c r="AA554" s="269"/>
      <c r="AB554" s="269"/>
      <c r="AC554" s="269"/>
      <c r="AD554" s="269"/>
      <c r="AE554" s="269"/>
      <c r="AF554" s="269"/>
      <c r="AG554" s="269"/>
      <c r="AH554" s="269"/>
      <c r="AI554" s="269"/>
      <c r="AJ554" s="269"/>
      <c r="AK554" s="269"/>
      <c r="AL554" s="269"/>
      <c r="AM554" s="269"/>
      <c r="AN554" s="269"/>
      <c r="AO554" s="269"/>
      <c r="AP554" s="269"/>
      <c r="AQ554" s="269"/>
      <c r="AR554" s="269"/>
      <c r="AS554" s="269"/>
    </row>
    <row r="555" spans="1:45" ht="14.4" x14ac:dyDescent="0.3">
      <c r="A555" s="851"/>
      <c r="B555" s="129"/>
      <c r="C555" s="1091"/>
      <c r="D555" s="1091"/>
      <c r="E555" s="841" t="str">
        <f xml:space="preserve"> E$545</f>
        <v>Capital costs: Original</v>
      </c>
      <c r="F555" s="841" t="str">
        <f t="shared" ref="F555:AS555" si="511" xml:space="preserve"> F$545</f>
        <v>Original</v>
      </c>
      <c r="G555" s="841" t="str">
        <f t="shared" si="511"/>
        <v>$ mn</v>
      </c>
      <c r="H555" s="841">
        <f t="shared" si="511"/>
        <v>0</v>
      </c>
      <c r="I555" s="841">
        <f t="shared" si="511"/>
        <v>512.7243860165313</v>
      </c>
      <c r="J555" s="841">
        <f t="shared" si="511"/>
        <v>0</v>
      </c>
      <c r="K555" s="841">
        <f t="shared" si="511"/>
        <v>0</v>
      </c>
      <c r="L555" s="841">
        <f t="shared" si="511"/>
        <v>0</v>
      </c>
      <c r="M555" s="841">
        <f t="shared" si="511"/>
        <v>0</v>
      </c>
      <c r="N555" s="841">
        <f t="shared" si="511"/>
        <v>0</v>
      </c>
      <c r="O555" s="841">
        <f t="shared" si="511"/>
        <v>0</v>
      </c>
      <c r="P555" s="841">
        <f t="shared" si="511"/>
        <v>0</v>
      </c>
      <c r="Q555" s="841">
        <f t="shared" si="511"/>
        <v>0</v>
      </c>
      <c r="R555" s="841">
        <f t="shared" si="511"/>
        <v>0</v>
      </c>
      <c r="S555" s="841">
        <f t="shared" si="511"/>
        <v>22.69415</v>
      </c>
      <c r="T555" s="841">
        <f t="shared" si="511"/>
        <v>22.767780583959592</v>
      </c>
      <c r="U555" s="841">
        <f t="shared" si="511"/>
        <v>78.248965691220988</v>
      </c>
      <c r="V555" s="841">
        <f t="shared" si="511"/>
        <v>41.784470172324077</v>
      </c>
      <c r="W555" s="841">
        <f t="shared" si="511"/>
        <v>54.990631775265186</v>
      </c>
      <c r="X555" s="841">
        <f t="shared" si="511"/>
        <v>180.98618646254408</v>
      </c>
      <c r="Y555" s="841">
        <f t="shared" si="511"/>
        <v>34.523140584530026</v>
      </c>
      <c r="Z555" s="841">
        <f t="shared" si="511"/>
        <v>49.463537650767755</v>
      </c>
      <c r="AA555" s="841">
        <f t="shared" si="511"/>
        <v>0</v>
      </c>
      <c r="AB555" s="841">
        <f t="shared" si="511"/>
        <v>0</v>
      </c>
      <c r="AC555" s="841">
        <f t="shared" si="511"/>
        <v>0</v>
      </c>
      <c r="AD555" s="841">
        <f t="shared" si="511"/>
        <v>3.0295025662132917</v>
      </c>
      <c r="AE555" s="841">
        <f t="shared" si="511"/>
        <v>3.0295025662132917</v>
      </c>
      <c r="AF555" s="841">
        <f t="shared" si="511"/>
        <v>3.0295025662132917</v>
      </c>
      <c r="AG555" s="841">
        <f t="shared" si="511"/>
        <v>3.0295025662132917</v>
      </c>
      <c r="AH555" s="841">
        <f t="shared" si="511"/>
        <v>3.0295025662132917</v>
      </c>
      <c r="AI555" s="841">
        <f t="shared" si="511"/>
        <v>3.0295025662132917</v>
      </c>
      <c r="AJ555" s="841">
        <f t="shared" si="511"/>
        <v>3.0295025662132917</v>
      </c>
      <c r="AK555" s="841">
        <f t="shared" si="511"/>
        <v>3.0295025662132917</v>
      </c>
      <c r="AL555" s="841">
        <f t="shared" si="511"/>
        <v>3.0295025662132917</v>
      </c>
      <c r="AM555" s="841">
        <f t="shared" si="511"/>
        <v>0</v>
      </c>
      <c r="AN555" s="841">
        <f t="shared" si="511"/>
        <v>0</v>
      </c>
      <c r="AO555" s="841">
        <f t="shared" si="511"/>
        <v>0</v>
      </c>
      <c r="AP555" s="841">
        <f t="shared" si="511"/>
        <v>0</v>
      </c>
      <c r="AQ555" s="841">
        <f t="shared" si="511"/>
        <v>0</v>
      </c>
      <c r="AR555" s="841">
        <f t="shared" si="511"/>
        <v>0</v>
      </c>
      <c r="AS555" s="841">
        <f t="shared" si="511"/>
        <v>0</v>
      </c>
    </row>
    <row r="556" spans="1:45" ht="14.4" x14ac:dyDescent="0.3">
      <c r="A556" s="851"/>
      <c r="B556" s="129"/>
      <c r="C556" s="1091"/>
      <c r="D556" s="1091"/>
      <c r="E556" s="841" t="str">
        <f xml:space="preserve"> E$550</f>
        <v>Capital costs: FS</v>
      </c>
      <c r="F556" s="841" t="str">
        <f t="shared" ref="F556:AS556" si="512" xml:space="preserve"> F$550</f>
        <v>FS</v>
      </c>
      <c r="G556" s="841" t="str">
        <f t="shared" si="512"/>
        <v>$ mn</v>
      </c>
      <c r="H556" s="841">
        <f t="shared" si="512"/>
        <v>0</v>
      </c>
      <c r="I556" s="841">
        <f t="shared" si="512"/>
        <v>824.72191894000002</v>
      </c>
      <c r="J556" s="841">
        <f t="shared" si="512"/>
        <v>0</v>
      </c>
      <c r="K556" s="841">
        <f t="shared" si="512"/>
        <v>0</v>
      </c>
      <c r="L556" s="841">
        <f t="shared" si="512"/>
        <v>0</v>
      </c>
      <c r="M556" s="841">
        <f t="shared" si="512"/>
        <v>0</v>
      </c>
      <c r="N556" s="841">
        <f t="shared" si="512"/>
        <v>0</v>
      </c>
      <c r="O556" s="841">
        <f t="shared" si="512"/>
        <v>0</v>
      </c>
      <c r="P556" s="841">
        <f t="shared" si="512"/>
        <v>0</v>
      </c>
      <c r="Q556" s="841">
        <f t="shared" si="512"/>
        <v>0</v>
      </c>
      <c r="R556" s="841">
        <f t="shared" si="512"/>
        <v>0</v>
      </c>
      <c r="S556" s="841">
        <f t="shared" si="512"/>
        <v>0</v>
      </c>
      <c r="T556" s="841">
        <f t="shared" si="512"/>
        <v>0</v>
      </c>
      <c r="U556" s="841">
        <f t="shared" si="512"/>
        <v>0</v>
      </c>
      <c r="V556" s="841">
        <f t="shared" si="512"/>
        <v>245.02819335000001</v>
      </c>
      <c r="W556" s="841">
        <f t="shared" si="512"/>
        <v>111.33372773000001</v>
      </c>
      <c r="X556" s="841">
        <f t="shared" si="512"/>
        <v>148.28970892000001</v>
      </c>
      <c r="Y556" s="841">
        <f t="shared" si="512"/>
        <v>4.7877627</v>
      </c>
      <c r="Z556" s="841">
        <f t="shared" si="512"/>
        <v>81.812290399999995</v>
      </c>
      <c r="AA556" s="841">
        <f t="shared" si="512"/>
        <v>100.30613584</v>
      </c>
      <c r="AB556" s="841">
        <f t="shared" si="512"/>
        <v>99.765600000000006</v>
      </c>
      <c r="AC556" s="841">
        <f t="shared" si="512"/>
        <v>33.398499999999999</v>
      </c>
      <c r="AD556" s="841">
        <f t="shared" si="512"/>
        <v>0</v>
      </c>
      <c r="AE556" s="841">
        <f t="shared" si="512"/>
        <v>0</v>
      </c>
      <c r="AF556" s="841">
        <f t="shared" si="512"/>
        <v>0</v>
      </c>
      <c r="AG556" s="841">
        <f t="shared" si="512"/>
        <v>0</v>
      </c>
      <c r="AH556" s="841">
        <f t="shared" si="512"/>
        <v>0</v>
      </c>
      <c r="AI556" s="841">
        <f t="shared" si="512"/>
        <v>0</v>
      </c>
      <c r="AJ556" s="841">
        <f t="shared" si="512"/>
        <v>0</v>
      </c>
      <c r="AK556" s="841">
        <f t="shared" si="512"/>
        <v>0</v>
      </c>
      <c r="AL556" s="841">
        <f t="shared" si="512"/>
        <v>0</v>
      </c>
      <c r="AM556" s="841">
        <f t="shared" si="512"/>
        <v>0</v>
      </c>
      <c r="AN556" s="841">
        <f t="shared" si="512"/>
        <v>0</v>
      </c>
      <c r="AO556" s="841">
        <f t="shared" si="512"/>
        <v>0</v>
      </c>
      <c r="AP556" s="841">
        <f t="shared" si="512"/>
        <v>0</v>
      </c>
      <c r="AQ556" s="841">
        <f t="shared" si="512"/>
        <v>0</v>
      </c>
      <c r="AR556" s="841">
        <f t="shared" si="512"/>
        <v>0</v>
      </c>
      <c r="AS556" s="841">
        <f t="shared" si="512"/>
        <v>0</v>
      </c>
    </row>
    <row r="557" spans="1:45" ht="15" customHeight="1" x14ac:dyDescent="0.3">
      <c r="A557" s="266"/>
      <c r="B557" s="267"/>
      <c r="C557" s="268"/>
      <c r="D557" s="269"/>
      <c r="E557" s="269"/>
      <c r="F557" s="269" t="s">
        <v>320</v>
      </c>
      <c r="G557" s="269"/>
      <c r="H557" s="269"/>
      <c r="I557" s="269"/>
      <c r="J557" s="269"/>
      <c r="K557" s="269"/>
      <c r="L557" s="269"/>
      <c r="M557" s="269"/>
      <c r="N557" s="269"/>
      <c r="O557" s="269"/>
      <c r="P557" s="269"/>
      <c r="Q557" s="269"/>
      <c r="R557" s="269"/>
      <c r="S557" s="269"/>
      <c r="T557" s="269"/>
      <c r="U557" s="269"/>
      <c r="V557" s="269"/>
      <c r="W557" s="269"/>
      <c r="X557" s="269"/>
      <c r="Y557" s="269"/>
      <c r="Z557" s="269"/>
      <c r="AA557" s="269"/>
      <c r="AB557" s="269"/>
      <c r="AC557" s="269"/>
      <c r="AD557" s="269"/>
      <c r="AE557" s="269"/>
      <c r="AF557" s="269"/>
      <c r="AG557" s="269"/>
      <c r="AH557" s="269"/>
      <c r="AI557" s="269"/>
      <c r="AJ557" s="269"/>
      <c r="AK557" s="269"/>
      <c r="AL557" s="269"/>
      <c r="AM557" s="269"/>
      <c r="AN557" s="269"/>
      <c r="AO557" s="269"/>
      <c r="AP557" s="269"/>
      <c r="AQ557" s="269"/>
      <c r="AR557" s="269"/>
      <c r="AS557" s="269"/>
    </row>
    <row r="558" spans="1:45" ht="14.4" x14ac:dyDescent="0.3">
      <c r="A558" s="851"/>
      <c r="B558" s="129"/>
      <c r="C558" s="1091"/>
      <c r="D558" s="1091"/>
      <c r="E558" s="1114"/>
      <c r="F558" s="1114"/>
      <c r="G558" s="1114"/>
      <c r="H558" s="1114"/>
      <c r="I558" s="1114"/>
      <c r="J558" s="1114"/>
      <c r="K558" s="1114"/>
      <c r="L558" s="1114"/>
      <c r="M558" s="1114"/>
      <c r="N558" s="1114"/>
      <c r="O558" s="1114"/>
      <c r="P558" s="1114"/>
      <c r="Q558" s="1114"/>
      <c r="R558" s="1114"/>
      <c r="S558" s="1114"/>
      <c r="T558" s="1114"/>
      <c r="U558" s="1114"/>
      <c r="V558" s="1114"/>
      <c r="W558" s="1114"/>
      <c r="X558" s="1114"/>
      <c r="Y558" s="1114"/>
      <c r="Z558" s="1114"/>
      <c r="AA558" s="1114"/>
      <c r="AB558" s="1114"/>
      <c r="AC558" s="1114"/>
      <c r="AD558" s="1114"/>
      <c r="AE558" s="1114"/>
      <c r="AF558" s="1114"/>
      <c r="AG558" s="1114"/>
      <c r="AH558" s="1114"/>
      <c r="AI558" s="1114"/>
      <c r="AJ558" s="1114"/>
      <c r="AK558" s="1114"/>
      <c r="AL558" s="1114"/>
      <c r="AM558" s="1114"/>
      <c r="AN558" s="1114"/>
      <c r="AO558" s="1114"/>
      <c r="AP558" s="1114"/>
      <c r="AQ558" s="1114"/>
      <c r="AR558" s="1114"/>
      <c r="AS558" s="1114"/>
    </row>
    <row r="559" spans="1:45" ht="14.4" x14ac:dyDescent="0.3">
      <c r="A559" s="851"/>
      <c r="B559" s="129"/>
      <c r="C559" s="1091"/>
      <c r="D559" s="1091"/>
      <c r="E559" s="497" t="str">
        <f xml:space="preserve"> Inputs_Con!E$15</f>
        <v>Capital costs: FS or original</v>
      </c>
      <c r="F559" s="177" t="str">
        <f xml:space="preserve"> Inputs_Con!F$15</f>
        <v>FS</v>
      </c>
      <c r="G559" s="145" t="str">
        <f xml:space="preserve"> Inputs_Con!G$15</f>
        <v>selected</v>
      </c>
      <c r="H559" s="1114"/>
      <c r="I559" s="1114"/>
      <c r="J559" s="1114"/>
      <c r="K559" s="1114"/>
      <c r="L559" s="1114"/>
      <c r="M559" s="1114"/>
      <c r="N559" s="1114"/>
      <c r="O559" s="1114"/>
      <c r="P559" s="1114"/>
      <c r="Q559" s="1114"/>
      <c r="R559" s="1114"/>
      <c r="S559" s="1114"/>
      <c r="T559" s="1114"/>
      <c r="U559" s="1114"/>
      <c r="V559" s="1114"/>
      <c r="W559" s="1114"/>
      <c r="X559" s="1114"/>
      <c r="Y559" s="1114"/>
      <c r="Z559" s="1114"/>
      <c r="AA559" s="1114"/>
      <c r="AB559" s="1114"/>
      <c r="AC559" s="1114"/>
      <c r="AD559" s="1114"/>
      <c r="AE559" s="1114"/>
      <c r="AF559" s="1114"/>
      <c r="AG559" s="1114"/>
      <c r="AH559" s="1114"/>
      <c r="AI559" s="1114"/>
      <c r="AJ559" s="1114"/>
      <c r="AK559" s="1114"/>
      <c r="AL559" s="1114"/>
      <c r="AM559" s="1114"/>
      <c r="AN559" s="1114"/>
      <c r="AO559" s="1114"/>
      <c r="AP559" s="1114"/>
      <c r="AQ559" s="1114"/>
      <c r="AR559" s="1114"/>
      <c r="AS559" s="1114"/>
    </row>
    <row r="560" spans="1:45" s="143" customFormat="1" ht="14.4" x14ac:dyDescent="0.3">
      <c r="A560" s="1091"/>
      <c r="B560" s="264"/>
      <c r="C560" s="1091"/>
      <c r="D560" s="1091"/>
      <c r="E560" s="1091" t="s">
        <v>440</v>
      </c>
      <c r="F560" s="1091" t="str">
        <f>F559</f>
        <v>FS</v>
      </c>
      <c r="G560" s="1091"/>
      <c r="H560" s="1091"/>
      <c r="I560" s="1114"/>
      <c r="J560" s="1091"/>
      <c r="K560" s="1091">
        <f t="shared" ref="K560:AS560" si="513">INDEX(K554:K557, MATCH($F559, $F554:$F557, 0))</f>
        <v>0</v>
      </c>
      <c r="L560" s="1091">
        <f t="shared" si="513"/>
        <v>0</v>
      </c>
      <c r="M560" s="1091">
        <f t="shared" si="513"/>
        <v>0</v>
      </c>
      <c r="N560" s="1091">
        <f t="shared" si="513"/>
        <v>0</v>
      </c>
      <c r="O560" s="1091">
        <f t="shared" si="513"/>
        <v>0</v>
      </c>
      <c r="P560" s="1091">
        <f t="shared" si="513"/>
        <v>0</v>
      </c>
      <c r="Q560" s="1091">
        <f t="shared" si="513"/>
        <v>0</v>
      </c>
      <c r="R560" s="1091">
        <f t="shared" si="513"/>
        <v>0</v>
      </c>
      <c r="S560" s="1091">
        <f t="shared" si="513"/>
        <v>0</v>
      </c>
      <c r="T560" s="1091">
        <f t="shared" si="513"/>
        <v>0</v>
      </c>
      <c r="U560" s="1091">
        <f t="shared" si="513"/>
        <v>0</v>
      </c>
      <c r="V560" s="1091">
        <f t="shared" si="513"/>
        <v>245.02819335000001</v>
      </c>
      <c r="W560" s="1091">
        <f t="shared" si="513"/>
        <v>111.33372773000001</v>
      </c>
      <c r="X560" s="1091">
        <f t="shared" si="513"/>
        <v>148.28970892000001</v>
      </c>
      <c r="Y560" s="1091">
        <f t="shared" si="513"/>
        <v>4.7877627</v>
      </c>
      <c r="Z560" s="1091">
        <f t="shared" si="513"/>
        <v>81.812290399999995</v>
      </c>
      <c r="AA560" s="1091">
        <f t="shared" si="513"/>
        <v>100.30613584</v>
      </c>
      <c r="AB560" s="1091">
        <f t="shared" si="513"/>
        <v>99.765600000000006</v>
      </c>
      <c r="AC560" s="1091">
        <f t="shared" si="513"/>
        <v>33.398499999999999</v>
      </c>
      <c r="AD560" s="1091">
        <f t="shared" si="513"/>
        <v>0</v>
      </c>
      <c r="AE560" s="1091">
        <f t="shared" si="513"/>
        <v>0</v>
      </c>
      <c r="AF560" s="1091">
        <f t="shared" si="513"/>
        <v>0</v>
      </c>
      <c r="AG560" s="1091">
        <f t="shared" si="513"/>
        <v>0</v>
      </c>
      <c r="AH560" s="1091">
        <f t="shared" si="513"/>
        <v>0</v>
      </c>
      <c r="AI560" s="1091">
        <f t="shared" si="513"/>
        <v>0</v>
      </c>
      <c r="AJ560" s="1091">
        <f t="shared" si="513"/>
        <v>0</v>
      </c>
      <c r="AK560" s="1091">
        <f t="shared" si="513"/>
        <v>0</v>
      </c>
      <c r="AL560" s="1091">
        <f t="shared" si="513"/>
        <v>0</v>
      </c>
      <c r="AM560" s="1091">
        <f t="shared" si="513"/>
        <v>0</v>
      </c>
      <c r="AN560" s="1091">
        <f t="shared" si="513"/>
        <v>0</v>
      </c>
      <c r="AO560" s="1091">
        <f t="shared" si="513"/>
        <v>0</v>
      </c>
      <c r="AP560" s="1091">
        <f t="shared" si="513"/>
        <v>0</v>
      </c>
      <c r="AQ560" s="1091">
        <f t="shared" si="513"/>
        <v>0</v>
      </c>
      <c r="AR560" s="1091">
        <f t="shared" si="513"/>
        <v>0</v>
      </c>
      <c r="AS560" s="1091">
        <f t="shared" si="513"/>
        <v>0</v>
      </c>
    </row>
    <row r="561" spans="1:45" ht="14.4" x14ac:dyDescent="0.3">
      <c r="A561" s="851"/>
      <c r="B561" s="129"/>
      <c r="C561" s="1091"/>
      <c r="D561" s="1091"/>
      <c r="E561" s="1114"/>
      <c r="F561" s="1114"/>
      <c r="G561" s="1114"/>
      <c r="H561" s="1114"/>
      <c r="J561" s="1114"/>
      <c r="K561" s="1114"/>
      <c r="L561" s="1114"/>
      <c r="M561" s="1114"/>
      <c r="N561" s="1114"/>
      <c r="O561" s="1114"/>
      <c r="P561" s="1114"/>
      <c r="Q561" s="1114"/>
      <c r="R561" s="1114"/>
      <c r="S561" s="1114"/>
      <c r="T561" s="1114"/>
      <c r="U561" s="1114"/>
      <c r="V561" s="1114"/>
      <c r="W561" s="1114"/>
      <c r="X561" s="1114"/>
      <c r="Y561" s="1114"/>
      <c r="Z561" s="1114"/>
      <c r="AA561" s="1114"/>
      <c r="AB561" s="1114"/>
      <c r="AC561" s="1114"/>
      <c r="AD561" s="1114"/>
      <c r="AE561" s="1114"/>
      <c r="AF561" s="1114"/>
      <c r="AG561" s="1114"/>
      <c r="AH561" s="1114"/>
      <c r="AI561" s="1114"/>
      <c r="AJ561" s="1114"/>
      <c r="AK561" s="1114"/>
      <c r="AL561" s="1114"/>
      <c r="AM561" s="1114"/>
      <c r="AN561" s="1114"/>
      <c r="AO561" s="1114"/>
      <c r="AP561" s="1114"/>
      <c r="AQ561" s="1114"/>
      <c r="AR561" s="1114"/>
      <c r="AS561" s="1114"/>
    </row>
    <row r="562" spans="1:45" ht="15" customHeight="1" x14ac:dyDescent="0.3">
      <c r="A562" s="765"/>
      <c r="C562" s="696" t="s">
        <v>1034</v>
      </c>
      <c r="D562" s="765"/>
      <c r="E562" s="765"/>
      <c r="F562" s="765"/>
      <c r="G562" s="765"/>
      <c r="H562" s="765"/>
      <c r="I562" s="765"/>
      <c r="J562" s="765"/>
      <c r="K562" s="540"/>
      <c r="L562" s="540"/>
      <c r="M562" s="540"/>
      <c r="N562" s="540"/>
      <c r="O562" s="540"/>
      <c r="P562" s="540"/>
      <c r="Q562" s="540"/>
      <c r="R562" s="540"/>
      <c r="S562" s="540"/>
      <c r="T562" s="540"/>
      <c r="U562" s="540"/>
      <c r="V562" s="540"/>
      <c r="W562" s="540"/>
      <c r="X562" s="540"/>
      <c r="Y562" s="540"/>
      <c r="Z562" s="540"/>
      <c r="AA562" s="540"/>
      <c r="AB562" s="540"/>
      <c r="AC562" s="540"/>
      <c r="AD562" s="540"/>
      <c r="AE562" s="540"/>
      <c r="AF562" s="540"/>
      <c r="AG562" s="540"/>
      <c r="AH562" s="540"/>
      <c r="AI562" s="540"/>
      <c r="AJ562" s="540"/>
      <c r="AK562" s="540"/>
      <c r="AL562" s="540"/>
      <c r="AM562" s="540"/>
      <c r="AN562" s="540"/>
      <c r="AO562" s="540"/>
      <c r="AP562" s="540"/>
      <c r="AQ562" s="540"/>
      <c r="AR562" s="540"/>
      <c r="AS562" s="540"/>
    </row>
    <row r="563" spans="1:45" ht="15" customHeight="1" x14ac:dyDescent="0.3">
      <c r="A563" s="530"/>
      <c r="B563" s="531"/>
      <c r="C563" s="532"/>
      <c r="D563" s="257"/>
      <c r="E563" s="655" t="str">
        <f xml:space="preserve"> Inputs_TS!E$20</f>
        <v>Capital cost sensitivity (forecast period)</v>
      </c>
      <c r="F563" s="655">
        <f xml:space="preserve"> Inputs_TS!F$20</f>
        <v>0</v>
      </c>
      <c r="G563" s="655" t="str">
        <f xml:space="preserve"> Inputs_TS!G$20</f>
        <v>%</v>
      </c>
      <c r="H563" s="655">
        <f xml:space="preserve"> Inputs_TS!H$20</f>
        <v>0</v>
      </c>
      <c r="I563" s="655">
        <f xml:space="preserve"> Inputs_TS!I$20</f>
        <v>0</v>
      </c>
      <c r="J563" s="655">
        <f xml:space="preserve"> Inputs_TS!J$20</f>
        <v>0</v>
      </c>
      <c r="K563" s="782">
        <f xml:space="preserve"> Inputs_TS!K$20</f>
        <v>1</v>
      </c>
      <c r="L563" s="782">
        <f xml:space="preserve"> Inputs_TS!L$20</f>
        <v>1</v>
      </c>
      <c r="M563" s="782">
        <f xml:space="preserve"> Inputs_TS!M$20</f>
        <v>1</v>
      </c>
      <c r="N563" s="782">
        <f xml:space="preserve"> Inputs_TS!N$20</f>
        <v>1</v>
      </c>
      <c r="O563" s="782">
        <f xml:space="preserve"> Inputs_TS!O$20</f>
        <v>1</v>
      </c>
      <c r="P563" s="782">
        <f xml:space="preserve"> Inputs_TS!P$20</f>
        <v>1</v>
      </c>
      <c r="Q563" s="782">
        <f xml:space="preserve"> Inputs_TS!Q$20</f>
        <v>1</v>
      </c>
      <c r="R563" s="782">
        <f xml:space="preserve"> Inputs_TS!R$20</f>
        <v>1</v>
      </c>
      <c r="S563" s="782">
        <f xml:space="preserve"> Inputs_TS!S$20</f>
        <v>1</v>
      </c>
      <c r="T563" s="782">
        <f xml:space="preserve"> Inputs_TS!T$20</f>
        <v>1</v>
      </c>
      <c r="U563" s="782">
        <f xml:space="preserve"> Inputs_TS!U$20</f>
        <v>1</v>
      </c>
      <c r="V563" s="782">
        <f xml:space="preserve"> Inputs_TS!V$20</f>
        <v>1</v>
      </c>
      <c r="W563" s="782">
        <f xml:space="preserve"> Inputs_TS!W$20</f>
        <v>1</v>
      </c>
      <c r="X563" s="782">
        <f xml:space="preserve"> Inputs_TS!X$20</f>
        <v>1</v>
      </c>
      <c r="Y563" s="782">
        <f xml:space="preserve"> Inputs_TS!Y$20</f>
        <v>1</v>
      </c>
      <c r="Z563" s="782">
        <f xml:space="preserve"> Inputs_TS!Z$20</f>
        <v>1</v>
      </c>
      <c r="AA563" s="782">
        <f xml:space="preserve"> Inputs_TS!AA$20</f>
        <v>1</v>
      </c>
      <c r="AB563" s="782">
        <f xml:space="preserve"> Inputs_TS!AB$20</f>
        <v>1</v>
      </c>
      <c r="AC563" s="782">
        <f xml:space="preserve"> Inputs_TS!AC$20</f>
        <v>1</v>
      </c>
      <c r="AD563" s="782">
        <f xml:space="preserve"> Inputs_TS!AD$20</f>
        <v>1</v>
      </c>
      <c r="AE563" s="782">
        <f xml:space="preserve"> Inputs_TS!AE$20</f>
        <v>1</v>
      </c>
      <c r="AF563" s="782">
        <f xml:space="preserve"> Inputs_TS!AF$20</f>
        <v>1</v>
      </c>
      <c r="AG563" s="782">
        <f xml:space="preserve"> Inputs_TS!AG$20</f>
        <v>1</v>
      </c>
      <c r="AH563" s="782">
        <f xml:space="preserve"> Inputs_TS!AH$20</f>
        <v>1</v>
      </c>
      <c r="AI563" s="782">
        <f xml:space="preserve"> Inputs_TS!AI$20</f>
        <v>1</v>
      </c>
      <c r="AJ563" s="782">
        <f xml:space="preserve"> Inputs_TS!AJ$20</f>
        <v>1</v>
      </c>
      <c r="AK563" s="782">
        <f xml:space="preserve"> Inputs_TS!AK$20</f>
        <v>1</v>
      </c>
      <c r="AL563" s="782">
        <f xml:space="preserve"> Inputs_TS!AL$20</f>
        <v>1</v>
      </c>
      <c r="AM563" s="782">
        <f xml:space="preserve"> Inputs_TS!AM$20</f>
        <v>1</v>
      </c>
      <c r="AN563" s="782">
        <f xml:space="preserve"> Inputs_TS!AN$20</f>
        <v>1</v>
      </c>
      <c r="AO563" s="782">
        <f xml:space="preserve"> Inputs_TS!AO$20</f>
        <v>1</v>
      </c>
      <c r="AP563" s="782">
        <f xml:space="preserve"> Inputs_TS!AP$20</f>
        <v>1</v>
      </c>
      <c r="AQ563" s="782">
        <f xml:space="preserve"> Inputs_TS!AQ$20</f>
        <v>1</v>
      </c>
      <c r="AR563" s="782">
        <f xml:space="preserve"> Inputs_TS!AR$20</f>
        <v>1</v>
      </c>
      <c r="AS563" s="782">
        <f xml:space="preserve"> Inputs_TS!AS$20</f>
        <v>1</v>
      </c>
    </row>
    <row r="564" spans="1:45" ht="15" customHeight="1" x14ac:dyDescent="0.3">
      <c r="A564" s="530"/>
      <c r="B564" s="531"/>
      <c r="C564" s="532"/>
      <c r="D564" s="257"/>
      <c r="E564" s="1209" t="str">
        <f xml:space="preserve"> 'T&amp;E'!E$43</f>
        <v>Cost inflation from 2022</v>
      </c>
      <c r="F564" s="1209">
        <f xml:space="preserve"> 'T&amp;E'!F$43</f>
        <v>0</v>
      </c>
      <c r="G564" s="1209" t="str">
        <f xml:space="preserve"> 'T&amp;E'!G$43</f>
        <v>index</v>
      </c>
      <c r="H564" s="1209">
        <f xml:space="preserve"> 'T&amp;E'!H$43</f>
        <v>0</v>
      </c>
      <c r="I564" s="1209">
        <f xml:space="preserve"> 'T&amp;E'!I$43</f>
        <v>0</v>
      </c>
      <c r="J564" s="1209">
        <f xml:space="preserve"> 'T&amp;E'!J$43</f>
        <v>0</v>
      </c>
      <c r="K564" s="1209">
        <f xml:space="preserve"> 'T&amp;E'!K$43</f>
        <v>1</v>
      </c>
      <c r="L564" s="1209">
        <f xml:space="preserve"> 'T&amp;E'!L$43</f>
        <v>1</v>
      </c>
      <c r="M564" s="1209">
        <f xml:space="preserve"> 'T&amp;E'!M$43</f>
        <v>1</v>
      </c>
      <c r="N564" s="1209">
        <f xml:space="preserve"> 'T&amp;E'!N$43</f>
        <v>1</v>
      </c>
      <c r="O564" s="1209">
        <f xml:space="preserve"> 'T&amp;E'!O$43</f>
        <v>1</v>
      </c>
      <c r="P564" s="1209">
        <f xml:space="preserve"> 'T&amp;E'!P$43</f>
        <v>1</v>
      </c>
      <c r="Q564" s="1209">
        <f xml:space="preserve"> 'T&amp;E'!Q$43</f>
        <v>1</v>
      </c>
      <c r="R564" s="1209">
        <f xml:space="preserve"> 'T&amp;E'!R$43</f>
        <v>1</v>
      </c>
      <c r="S564" s="1209">
        <f xml:space="preserve"> 'T&amp;E'!S$43</f>
        <v>1</v>
      </c>
      <c r="T564" s="1209">
        <f xml:space="preserve"> 'T&amp;E'!T$43</f>
        <v>1</v>
      </c>
      <c r="U564" s="1209">
        <f xml:space="preserve"> 'T&amp;E'!U$43</f>
        <v>1</v>
      </c>
      <c r="V564" s="1209">
        <f xml:space="preserve"> 'T&amp;E'!V$43</f>
        <v>1</v>
      </c>
      <c r="W564" s="1209">
        <f xml:space="preserve"> 'T&amp;E'!W$43</f>
        <v>1</v>
      </c>
      <c r="X564" s="1209">
        <f xml:space="preserve"> 'T&amp;E'!X$43</f>
        <v>1</v>
      </c>
      <c r="Y564" s="1209">
        <f xml:space="preserve"> 'T&amp;E'!Y$43</f>
        <v>1</v>
      </c>
      <c r="Z564" s="1209">
        <f xml:space="preserve"> 'T&amp;E'!Z$43</f>
        <v>1</v>
      </c>
      <c r="AA564" s="1209">
        <f xml:space="preserve"> 'T&amp;E'!AA$43</f>
        <v>1</v>
      </c>
      <c r="AB564" s="1209">
        <f xml:space="preserve"> 'T&amp;E'!AB$43</f>
        <v>1.0412780862879112</v>
      </c>
      <c r="AC564" s="1209">
        <f xml:space="preserve"> 'T&amp;E'!AC$43</f>
        <v>1.0720136693720632</v>
      </c>
      <c r="AD564" s="1209">
        <f xml:space="preserve"> 'T&amp;E'!AD$43</f>
        <v>1.1040410081161895</v>
      </c>
      <c r="AE564" s="1209">
        <f xml:space="preserve"> 'T&amp;E'!AE$43</f>
        <v>1.1312601452370783</v>
      </c>
      <c r="AF564" s="1209">
        <f xml:space="preserve"> 'T&amp;E'!AF$43</f>
        <v>1.1551337035454934</v>
      </c>
      <c r="AG564" s="1209">
        <f xml:space="preserve"> 'T&amp;E'!AG$43</f>
        <v>1.1800324647586502</v>
      </c>
      <c r="AH564" s="1209">
        <f xml:space="preserve"> 'T&amp;E'!AH$43</f>
        <v>1.2056283639470313</v>
      </c>
      <c r="AI564" s="1209">
        <f xml:space="preserve"> 'T&amp;E'!AI$43</f>
        <v>1.2318496369073046</v>
      </c>
      <c r="AJ564" s="1209">
        <f xml:space="preserve"> 'T&amp;E'!AJ$43</f>
        <v>1.2564866296454509</v>
      </c>
      <c r="AK564" s="1209">
        <f xml:space="preserve"> 'T&amp;E'!AK$43</f>
        <v>1.2816163622383598</v>
      </c>
      <c r="AL564" s="1209">
        <f xml:space="preserve"> 'T&amp;E'!AL$43</f>
        <v>1.307248689483127</v>
      </c>
      <c r="AM564" s="1209">
        <f xml:space="preserve"> 'T&amp;E'!AM$43</f>
        <v>1.3333936632727896</v>
      </c>
      <c r="AN564" s="1209">
        <f xml:space="preserve"> 'T&amp;E'!AN$43</f>
        <v>1.3600615365382454</v>
      </c>
      <c r="AO564" s="1209">
        <f xml:space="preserve"> 'T&amp;E'!AO$43</f>
        <v>1.3872627672690103</v>
      </c>
      <c r="AP564" s="1209">
        <f xml:space="preserve"> 'T&amp;E'!AP$43</f>
        <v>1.4150080226143906</v>
      </c>
      <c r="AQ564" s="1209">
        <f xml:space="preserve"> 'T&amp;E'!AQ$43</f>
        <v>1.4433081830666785</v>
      </c>
      <c r="AR564" s="1209">
        <f xml:space="preserve"> 'T&amp;E'!AR$43</f>
        <v>1.4721743467280122</v>
      </c>
      <c r="AS564" s="1209">
        <f xml:space="preserve"> 'T&amp;E'!AS$43</f>
        <v>1.5016178336625725</v>
      </c>
    </row>
    <row r="565" spans="1:45" ht="15" customHeight="1" x14ac:dyDescent="0.3">
      <c r="A565" s="530"/>
      <c r="B565" s="531"/>
      <c r="C565" s="532"/>
      <c r="D565" s="257"/>
      <c r="E565" s="655"/>
      <c r="F565" s="655"/>
      <c r="G565" s="655"/>
      <c r="H565" s="655"/>
      <c r="I565" s="655"/>
      <c r="J565" s="655"/>
      <c r="K565" s="1081"/>
      <c r="L565" s="1081"/>
      <c r="M565" s="1081"/>
      <c r="N565" s="1081"/>
      <c r="O565" s="1081"/>
      <c r="P565" s="1081"/>
      <c r="Q565" s="1081"/>
      <c r="R565" s="1081"/>
      <c r="S565" s="1081"/>
      <c r="T565" s="1081"/>
      <c r="U565" s="1081"/>
      <c r="V565" s="1081"/>
      <c r="W565" s="1081"/>
      <c r="X565" s="1081"/>
      <c r="Y565" s="1081"/>
      <c r="Z565" s="1081"/>
      <c r="AA565" s="1081"/>
      <c r="AB565" s="1081"/>
      <c r="AC565" s="1081"/>
      <c r="AD565" s="1081"/>
      <c r="AE565" s="1081"/>
      <c r="AF565" s="1081"/>
      <c r="AG565" s="1081"/>
      <c r="AH565" s="1081"/>
      <c r="AI565" s="1081"/>
      <c r="AJ565" s="1081"/>
      <c r="AK565" s="1081"/>
      <c r="AL565" s="1081"/>
      <c r="AM565" s="1081"/>
      <c r="AN565" s="1081"/>
      <c r="AO565" s="1081"/>
      <c r="AP565" s="1081"/>
      <c r="AQ565" s="1081"/>
      <c r="AR565" s="1081"/>
      <c r="AS565" s="1081"/>
    </row>
    <row r="566" spans="1:45" ht="15" customHeight="1" x14ac:dyDescent="0.3">
      <c r="A566" s="765"/>
      <c r="B566" s="766"/>
      <c r="C566" s="767"/>
      <c r="D566" s="765"/>
      <c r="E566" s="765" t="s">
        <v>1035</v>
      </c>
      <c r="F566" s="765" t="str">
        <f>F560</f>
        <v>FS</v>
      </c>
      <c r="G566" s="765" t="s">
        <v>346</v>
      </c>
      <c r="H566" s="765"/>
      <c r="I566" s="765">
        <f>SUM(K566:AS566)</f>
        <v>831.24520052188814</v>
      </c>
      <c r="J566" s="765"/>
      <c r="K566" s="540">
        <f t="shared" ref="K566:AS566" si="514">K560 * K563 * K564</f>
        <v>0</v>
      </c>
      <c r="L566" s="540">
        <f t="shared" si="514"/>
        <v>0</v>
      </c>
      <c r="M566" s="540">
        <f t="shared" si="514"/>
        <v>0</v>
      </c>
      <c r="N566" s="540">
        <f t="shared" si="514"/>
        <v>0</v>
      </c>
      <c r="O566" s="540">
        <f t="shared" si="514"/>
        <v>0</v>
      </c>
      <c r="P566" s="540">
        <f t="shared" si="514"/>
        <v>0</v>
      </c>
      <c r="Q566" s="540">
        <f t="shared" si="514"/>
        <v>0</v>
      </c>
      <c r="R566" s="540">
        <f t="shared" si="514"/>
        <v>0</v>
      </c>
      <c r="S566" s="540">
        <f t="shared" si="514"/>
        <v>0</v>
      </c>
      <c r="T566" s="540">
        <f t="shared" si="514"/>
        <v>0</v>
      </c>
      <c r="U566" s="540">
        <f t="shared" si="514"/>
        <v>0</v>
      </c>
      <c r="V566" s="540">
        <f t="shared" si="514"/>
        <v>245.02819335000001</v>
      </c>
      <c r="W566" s="540">
        <f t="shared" si="514"/>
        <v>111.33372773000001</v>
      </c>
      <c r="X566" s="540">
        <f t="shared" si="514"/>
        <v>148.28970892000001</v>
      </c>
      <c r="Y566" s="540">
        <f t="shared" si="514"/>
        <v>4.7877627</v>
      </c>
      <c r="Z566" s="540">
        <f t="shared" si="514"/>
        <v>81.812290399999995</v>
      </c>
      <c r="AA566" s="540">
        <f t="shared" si="514"/>
        <v>100.30613584</v>
      </c>
      <c r="AB566" s="540">
        <f t="shared" si="514"/>
        <v>103.88373304536523</v>
      </c>
      <c r="AC566" s="540">
        <f t="shared" si="514"/>
        <v>35.80364853652285</v>
      </c>
      <c r="AD566" s="540">
        <f t="shared" si="514"/>
        <v>0</v>
      </c>
      <c r="AE566" s="540">
        <f t="shared" si="514"/>
        <v>0</v>
      </c>
      <c r="AF566" s="540">
        <f t="shared" si="514"/>
        <v>0</v>
      </c>
      <c r="AG566" s="540">
        <f t="shared" si="514"/>
        <v>0</v>
      </c>
      <c r="AH566" s="540">
        <f t="shared" si="514"/>
        <v>0</v>
      </c>
      <c r="AI566" s="540">
        <f t="shared" si="514"/>
        <v>0</v>
      </c>
      <c r="AJ566" s="540">
        <f t="shared" si="514"/>
        <v>0</v>
      </c>
      <c r="AK566" s="540">
        <f t="shared" si="514"/>
        <v>0</v>
      </c>
      <c r="AL566" s="540">
        <f t="shared" si="514"/>
        <v>0</v>
      </c>
      <c r="AM566" s="540">
        <f t="shared" si="514"/>
        <v>0</v>
      </c>
      <c r="AN566" s="540">
        <f t="shared" si="514"/>
        <v>0</v>
      </c>
      <c r="AO566" s="540">
        <f t="shared" si="514"/>
        <v>0</v>
      </c>
      <c r="AP566" s="540">
        <f t="shared" si="514"/>
        <v>0</v>
      </c>
      <c r="AQ566" s="540">
        <f t="shared" si="514"/>
        <v>0</v>
      </c>
      <c r="AR566" s="540">
        <f t="shared" si="514"/>
        <v>0</v>
      </c>
      <c r="AS566" s="540">
        <f t="shared" si="514"/>
        <v>0</v>
      </c>
    </row>
    <row r="567" spans="1:45" ht="15" customHeight="1" x14ac:dyDescent="0.3">
      <c r="A567" s="765"/>
      <c r="B567" s="766"/>
      <c r="C567" s="767"/>
      <c r="D567" s="765"/>
      <c r="E567" s="765"/>
      <c r="F567" s="765"/>
      <c r="G567" s="765"/>
      <c r="H567" s="765"/>
      <c r="I567" s="765"/>
      <c r="J567" s="765"/>
      <c r="K567" s="540"/>
      <c r="L567" s="540"/>
      <c r="M567" s="540"/>
      <c r="N567" s="540"/>
      <c r="O567" s="540"/>
      <c r="P567" s="540"/>
      <c r="Q567" s="540"/>
      <c r="R567" s="540"/>
      <c r="S567" s="540"/>
      <c r="T567" s="540"/>
      <c r="U567" s="540"/>
      <c r="V567" s="540"/>
      <c r="W567" s="540"/>
      <c r="X567" s="540"/>
      <c r="Y567" s="540"/>
      <c r="Z567" s="540"/>
      <c r="AA567" s="540"/>
      <c r="AB567" s="540"/>
      <c r="AC567" s="540"/>
      <c r="AD567" s="540"/>
      <c r="AE567" s="540"/>
      <c r="AF567" s="540"/>
      <c r="AG567" s="540"/>
      <c r="AH567" s="540"/>
      <c r="AI567" s="540"/>
      <c r="AJ567" s="540"/>
      <c r="AK567" s="540"/>
      <c r="AL567" s="540"/>
      <c r="AM567" s="540"/>
      <c r="AN567" s="540"/>
      <c r="AO567" s="540"/>
      <c r="AP567" s="540"/>
      <c r="AQ567" s="540"/>
      <c r="AR567" s="540"/>
      <c r="AS567" s="540"/>
    </row>
    <row r="568" spans="1:45" ht="15" customHeight="1" x14ac:dyDescent="0.3">
      <c r="A568" s="522"/>
      <c r="B568" s="695" t="s">
        <v>273</v>
      </c>
      <c r="C568" s="696"/>
      <c r="D568" s="522"/>
      <c r="E568" s="522"/>
      <c r="F568" s="522"/>
      <c r="G568" s="522"/>
      <c r="H568" s="522"/>
      <c r="I568" s="522"/>
      <c r="J568" s="522"/>
      <c r="K568" s="264"/>
      <c r="L568" s="264"/>
      <c r="M568" s="264"/>
      <c r="N568" s="264"/>
      <c r="O568" s="264"/>
      <c r="P568" s="264"/>
      <c r="Q568" s="264"/>
      <c r="R568" s="264"/>
      <c r="S568" s="264"/>
      <c r="T568" s="264"/>
      <c r="U568" s="264"/>
      <c r="V568" s="264"/>
      <c r="W568" s="264"/>
      <c r="X568" s="264"/>
      <c r="Y568" s="264"/>
      <c r="Z568" s="264"/>
      <c r="AA568" s="264"/>
      <c r="AB568" s="264"/>
      <c r="AC568" s="264"/>
      <c r="AD568" s="264"/>
      <c r="AE568" s="264"/>
      <c r="AF568" s="264"/>
      <c r="AG568" s="264"/>
      <c r="AH568" s="264"/>
      <c r="AI568" s="264"/>
      <c r="AJ568" s="264"/>
      <c r="AK568" s="264"/>
      <c r="AL568" s="264"/>
      <c r="AM568" s="264"/>
      <c r="AN568" s="264"/>
      <c r="AO568" s="264"/>
      <c r="AP568" s="264"/>
      <c r="AQ568" s="264"/>
      <c r="AR568" s="264"/>
      <c r="AS568" s="264"/>
    </row>
    <row r="569" spans="1:45" ht="15" customHeight="1" x14ac:dyDescent="0.3">
      <c r="I569" s="116"/>
      <c r="AL569" s="42"/>
      <c r="AM569" s="42"/>
      <c r="AN569" s="42"/>
      <c r="AO569" s="42"/>
      <c r="AP569" s="42"/>
      <c r="AQ569" s="42"/>
      <c r="AR569" s="42"/>
      <c r="AS569" s="42"/>
    </row>
    <row r="570" spans="1:45" ht="15" customHeight="1" x14ac:dyDescent="0.3">
      <c r="C570" s="113" t="s">
        <v>203</v>
      </c>
      <c r="I570" s="116"/>
      <c r="AL570" s="42"/>
      <c r="AM570" s="42"/>
      <c r="AN570" s="42"/>
      <c r="AO570" s="42"/>
      <c r="AP570" s="42"/>
      <c r="AQ570" s="42"/>
      <c r="AR570" s="42"/>
      <c r="AS570" s="42"/>
    </row>
    <row r="571" spans="1:45" ht="15" customHeight="1" x14ac:dyDescent="0.3">
      <c r="E571" s="40" t="str">
        <f t="shared" ref="E571:O571" si="515" xml:space="preserve"> E$472</f>
        <v>Total production</v>
      </c>
      <c r="F571" s="40">
        <f t="shared" si="515"/>
        <v>0</v>
      </c>
      <c r="G571" s="40" t="str">
        <f t="shared" si="515"/>
        <v>tonnes</v>
      </c>
      <c r="H571" s="40">
        <f t="shared" si="515"/>
        <v>0</v>
      </c>
      <c r="I571" s="40">
        <f t="shared" si="515"/>
        <v>1772.4925328571426</v>
      </c>
      <c r="J571" s="40">
        <f t="shared" si="515"/>
        <v>0</v>
      </c>
      <c r="K571" s="40">
        <f t="shared" si="515"/>
        <v>0</v>
      </c>
      <c r="L571" s="40">
        <f t="shared" si="515"/>
        <v>0</v>
      </c>
      <c r="M571" s="40">
        <f t="shared" si="515"/>
        <v>0</v>
      </c>
      <c r="N571" s="40">
        <f t="shared" si="515"/>
        <v>0</v>
      </c>
      <c r="O571" s="40">
        <f t="shared" si="515"/>
        <v>0</v>
      </c>
      <c r="P571" s="40">
        <f t="shared" ref="P571:AS571" si="516" xml:space="preserve"> P$472</f>
        <v>0</v>
      </c>
      <c r="Q571" s="40">
        <f t="shared" si="516"/>
        <v>0</v>
      </c>
      <c r="R571" s="40">
        <f t="shared" si="516"/>
        <v>0</v>
      </c>
      <c r="S571" s="40">
        <f t="shared" si="516"/>
        <v>0</v>
      </c>
      <c r="T571" s="40">
        <f t="shared" si="516"/>
        <v>0</v>
      </c>
      <c r="U571" s="40">
        <f t="shared" si="516"/>
        <v>0</v>
      </c>
      <c r="V571" s="40">
        <f t="shared" si="516"/>
        <v>39.692</v>
      </c>
      <c r="W571" s="40">
        <f t="shared" si="516"/>
        <v>111.964</v>
      </c>
      <c r="X571" s="40">
        <f t="shared" si="516"/>
        <v>131.96003000000002</v>
      </c>
      <c r="Y571" s="40">
        <f t="shared" si="516"/>
        <v>132.67107999999999</v>
      </c>
      <c r="Z571" s="40">
        <f t="shared" si="516"/>
        <v>217.40193000000002</v>
      </c>
      <c r="AA571" s="40">
        <f t="shared" si="516"/>
        <v>149.60017999999999</v>
      </c>
      <c r="AB571" s="40">
        <f t="shared" si="516"/>
        <v>126.39</v>
      </c>
      <c r="AC571" s="40">
        <f t="shared" si="516"/>
        <v>80.288650000000004</v>
      </c>
      <c r="AD571" s="40">
        <f t="shared" si="516"/>
        <v>111.98417714285715</v>
      </c>
      <c r="AE571" s="40">
        <f t="shared" si="516"/>
        <v>111.98417714285715</v>
      </c>
      <c r="AF571" s="40">
        <f t="shared" si="516"/>
        <v>111.98417714285715</v>
      </c>
      <c r="AG571" s="40">
        <f t="shared" si="516"/>
        <v>111.98417714285715</v>
      </c>
      <c r="AH571" s="40">
        <f t="shared" si="516"/>
        <v>111.98417714285715</v>
      </c>
      <c r="AI571" s="40">
        <f t="shared" si="516"/>
        <v>92.374677142857152</v>
      </c>
      <c r="AJ571" s="40">
        <f t="shared" si="516"/>
        <v>92.120910000000009</v>
      </c>
      <c r="AK571" s="40">
        <f t="shared" si="516"/>
        <v>38.10819</v>
      </c>
      <c r="AL571" s="40">
        <f t="shared" si="516"/>
        <v>0</v>
      </c>
      <c r="AM571" s="40">
        <f t="shared" si="516"/>
        <v>0</v>
      </c>
      <c r="AN571" s="40">
        <f t="shared" si="516"/>
        <v>0</v>
      </c>
      <c r="AO571" s="40">
        <f t="shared" si="516"/>
        <v>0</v>
      </c>
      <c r="AP571" s="40">
        <f t="shared" si="516"/>
        <v>0</v>
      </c>
      <c r="AQ571" s="40">
        <f t="shared" si="516"/>
        <v>0</v>
      </c>
      <c r="AR571" s="40">
        <f t="shared" si="516"/>
        <v>0</v>
      </c>
      <c r="AS571" s="40">
        <f t="shared" si="516"/>
        <v>0</v>
      </c>
    </row>
    <row r="572" spans="1:45" ht="15" customHeight="1" x14ac:dyDescent="0.3">
      <c r="E572" s="42" t="s">
        <v>202</v>
      </c>
      <c r="G572" s="42" t="s">
        <v>160</v>
      </c>
      <c r="I572" s="116"/>
      <c r="K572" s="42">
        <f t="shared" ref="K572:O572" si="517">(K571 &gt; 0) * 1</f>
        <v>0</v>
      </c>
      <c r="L572" s="42">
        <f t="shared" si="517"/>
        <v>0</v>
      </c>
      <c r="M572" s="42">
        <f t="shared" si="517"/>
        <v>0</v>
      </c>
      <c r="N572" s="42">
        <f t="shared" si="517"/>
        <v>0</v>
      </c>
      <c r="O572" s="42">
        <f t="shared" si="517"/>
        <v>0</v>
      </c>
      <c r="P572" s="42">
        <f t="shared" ref="P572:R572" si="518">(P571 &gt; 0) * 1</f>
        <v>0</v>
      </c>
      <c r="Q572" s="42">
        <f t="shared" si="518"/>
        <v>0</v>
      </c>
      <c r="R572" s="42">
        <f t="shared" si="518"/>
        <v>0</v>
      </c>
      <c r="S572" s="42">
        <f>(S571 &gt; 0) * 1</f>
        <v>0</v>
      </c>
      <c r="T572" s="42">
        <f t="shared" ref="T572:AQ572" si="519">(T571 &gt; 0) * 1</f>
        <v>0</v>
      </c>
      <c r="U572" s="42">
        <f t="shared" si="519"/>
        <v>0</v>
      </c>
      <c r="V572" s="42">
        <f t="shared" si="519"/>
        <v>1</v>
      </c>
      <c r="W572" s="42">
        <f t="shared" si="519"/>
        <v>1</v>
      </c>
      <c r="X572" s="42">
        <f t="shared" si="519"/>
        <v>1</v>
      </c>
      <c r="Y572" s="42">
        <f t="shared" si="519"/>
        <v>1</v>
      </c>
      <c r="Z572" s="42">
        <f t="shared" si="519"/>
        <v>1</v>
      </c>
      <c r="AA572" s="42">
        <f t="shared" si="519"/>
        <v>1</v>
      </c>
      <c r="AB572" s="42">
        <f t="shared" si="519"/>
        <v>1</v>
      </c>
      <c r="AC572" s="42">
        <f t="shared" si="519"/>
        <v>1</v>
      </c>
      <c r="AD572" s="42">
        <f t="shared" si="519"/>
        <v>1</v>
      </c>
      <c r="AE572" s="42">
        <f t="shared" si="519"/>
        <v>1</v>
      </c>
      <c r="AF572" s="42">
        <f t="shared" si="519"/>
        <v>1</v>
      </c>
      <c r="AG572" s="42">
        <f t="shared" si="519"/>
        <v>1</v>
      </c>
      <c r="AH572" s="42">
        <f t="shared" si="519"/>
        <v>1</v>
      </c>
      <c r="AI572" s="42">
        <f t="shared" si="519"/>
        <v>1</v>
      </c>
      <c r="AJ572" s="42">
        <f t="shared" si="519"/>
        <v>1</v>
      </c>
      <c r="AK572" s="42">
        <f t="shared" si="519"/>
        <v>1</v>
      </c>
      <c r="AL572" s="42">
        <f t="shared" si="519"/>
        <v>0</v>
      </c>
      <c r="AM572" s="42">
        <f t="shared" si="519"/>
        <v>0</v>
      </c>
      <c r="AN572" s="42">
        <f t="shared" si="519"/>
        <v>0</v>
      </c>
      <c r="AO572" s="42">
        <f t="shared" si="519"/>
        <v>0</v>
      </c>
      <c r="AP572" s="42">
        <f t="shared" si="519"/>
        <v>0</v>
      </c>
      <c r="AQ572" s="42">
        <f t="shared" si="519"/>
        <v>0</v>
      </c>
      <c r="AR572" s="42">
        <f t="shared" ref="AR572:AS572" si="520">(AR571 &gt; 0) * 1</f>
        <v>0</v>
      </c>
      <c r="AS572" s="42">
        <f t="shared" si="520"/>
        <v>0</v>
      </c>
    </row>
    <row r="573" spans="1:45" ht="15" customHeight="1" x14ac:dyDescent="0.3">
      <c r="E573" s="42" t="s">
        <v>204</v>
      </c>
      <c r="G573" s="42" t="s">
        <v>124</v>
      </c>
      <c r="I573" s="116"/>
      <c r="J573" s="879"/>
      <c r="K573" s="42">
        <f>K572 + J573</f>
        <v>0</v>
      </c>
      <c r="L573" s="42">
        <f t="shared" ref="L573:AS573" si="521">L572 + K573</f>
        <v>0</v>
      </c>
      <c r="M573" s="42">
        <f t="shared" si="521"/>
        <v>0</v>
      </c>
      <c r="N573" s="42">
        <f t="shared" si="521"/>
        <v>0</v>
      </c>
      <c r="O573" s="42">
        <f t="shared" si="521"/>
        <v>0</v>
      </c>
      <c r="P573" s="42">
        <f t="shared" si="521"/>
        <v>0</v>
      </c>
      <c r="Q573" s="42">
        <f t="shared" si="521"/>
        <v>0</v>
      </c>
      <c r="R573" s="42">
        <f t="shared" si="521"/>
        <v>0</v>
      </c>
      <c r="S573" s="42">
        <f t="shared" si="521"/>
        <v>0</v>
      </c>
      <c r="T573" s="42">
        <f t="shared" si="521"/>
        <v>0</v>
      </c>
      <c r="U573" s="42">
        <f t="shared" si="521"/>
        <v>0</v>
      </c>
      <c r="V573" s="42">
        <f t="shared" si="521"/>
        <v>1</v>
      </c>
      <c r="W573" s="42">
        <f t="shared" si="521"/>
        <v>2</v>
      </c>
      <c r="X573" s="42">
        <f t="shared" si="521"/>
        <v>3</v>
      </c>
      <c r="Y573" s="42">
        <f t="shared" si="521"/>
        <v>4</v>
      </c>
      <c r="Z573" s="42">
        <f t="shared" si="521"/>
        <v>5</v>
      </c>
      <c r="AA573" s="42">
        <f t="shared" si="521"/>
        <v>6</v>
      </c>
      <c r="AB573" s="42">
        <f t="shared" si="521"/>
        <v>7</v>
      </c>
      <c r="AC573" s="42">
        <f t="shared" si="521"/>
        <v>8</v>
      </c>
      <c r="AD573" s="42">
        <f t="shared" si="521"/>
        <v>9</v>
      </c>
      <c r="AE573" s="42">
        <f t="shared" si="521"/>
        <v>10</v>
      </c>
      <c r="AF573" s="42">
        <f t="shared" si="521"/>
        <v>11</v>
      </c>
      <c r="AG573" s="42">
        <f t="shared" si="521"/>
        <v>12</v>
      </c>
      <c r="AH573" s="42">
        <f t="shared" si="521"/>
        <v>13</v>
      </c>
      <c r="AI573" s="42">
        <f t="shared" si="521"/>
        <v>14</v>
      </c>
      <c r="AJ573" s="42">
        <f t="shared" si="521"/>
        <v>15</v>
      </c>
      <c r="AK573" s="42">
        <f t="shared" si="521"/>
        <v>16</v>
      </c>
      <c r="AL573" s="42">
        <f t="shared" si="521"/>
        <v>16</v>
      </c>
      <c r="AM573" s="42">
        <f t="shared" si="521"/>
        <v>16</v>
      </c>
      <c r="AN573" s="42">
        <f t="shared" si="521"/>
        <v>16</v>
      </c>
      <c r="AO573" s="42">
        <f t="shared" si="521"/>
        <v>16</v>
      </c>
      <c r="AP573" s="42">
        <f t="shared" si="521"/>
        <v>16</v>
      </c>
      <c r="AQ573" s="42">
        <f t="shared" si="521"/>
        <v>16</v>
      </c>
      <c r="AR573" s="42">
        <f t="shared" si="521"/>
        <v>16</v>
      </c>
      <c r="AS573" s="42">
        <f t="shared" si="521"/>
        <v>16</v>
      </c>
    </row>
    <row r="574" spans="1:45" ht="15" customHeight="1" x14ac:dyDescent="0.3">
      <c r="A574" s="847"/>
      <c r="B574" s="683"/>
      <c r="C574" s="684"/>
      <c r="D574" s="216"/>
      <c r="E574" s="216" t="s">
        <v>842</v>
      </c>
      <c r="F574" s="216">
        <f xml:space="preserve"> SUM(Q574:AV574)</f>
        <v>2032</v>
      </c>
      <c r="G574" s="216" t="s">
        <v>27</v>
      </c>
      <c r="H574" s="216"/>
      <c r="I574" s="216"/>
      <c r="J574" s="216"/>
      <c r="K574" s="216">
        <f t="shared" ref="K574:AS574" si="522" xml:space="preserve"> AND(K572 = 1, L572 = 0) * K2</f>
        <v>0</v>
      </c>
      <c r="L574" s="216">
        <f t="shared" si="522"/>
        <v>0</v>
      </c>
      <c r="M574" s="216">
        <f t="shared" si="522"/>
        <v>0</v>
      </c>
      <c r="N574" s="216">
        <f t="shared" si="522"/>
        <v>0</v>
      </c>
      <c r="O574" s="216">
        <f t="shared" si="522"/>
        <v>0</v>
      </c>
      <c r="P574" s="216">
        <f t="shared" si="522"/>
        <v>0</v>
      </c>
      <c r="Q574" s="216">
        <f t="shared" si="522"/>
        <v>0</v>
      </c>
      <c r="R574" s="216">
        <f t="shared" si="522"/>
        <v>0</v>
      </c>
      <c r="S574" s="216">
        <f t="shared" si="522"/>
        <v>0</v>
      </c>
      <c r="T574" s="216">
        <f t="shared" si="522"/>
        <v>0</v>
      </c>
      <c r="U574" s="216">
        <f t="shared" si="522"/>
        <v>0</v>
      </c>
      <c r="V574" s="216">
        <f t="shared" si="522"/>
        <v>0</v>
      </c>
      <c r="W574" s="216">
        <f t="shared" si="522"/>
        <v>0</v>
      </c>
      <c r="X574" s="216">
        <f t="shared" si="522"/>
        <v>0</v>
      </c>
      <c r="Y574" s="216">
        <f t="shared" si="522"/>
        <v>0</v>
      </c>
      <c r="Z574" s="216">
        <f t="shared" si="522"/>
        <v>0</v>
      </c>
      <c r="AA574" s="216">
        <f t="shared" si="522"/>
        <v>0</v>
      </c>
      <c r="AB574" s="216">
        <f t="shared" si="522"/>
        <v>0</v>
      </c>
      <c r="AC574" s="216">
        <f t="shared" si="522"/>
        <v>0</v>
      </c>
      <c r="AD574" s="216">
        <f t="shared" si="522"/>
        <v>0</v>
      </c>
      <c r="AE574" s="216">
        <f t="shared" si="522"/>
        <v>0</v>
      </c>
      <c r="AF574" s="216">
        <f t="shared" si="522"/>
        <v>0</v>
      </c>
      <c r="AG574" s="216">
        <f t="shared" si="522"/>
        <v>0</v>
      </c>
      <c r="AH574" s="216">
        <f t="shared" si="522"/>
        <v>0</v>
      </c>
      <c r="AI574" s="216">
        <f t="shared" si="522"/>
        <v>0</v>
      </c>
      <c r="AJ574" s="216">
        <f t="shared" si="522"/>
        <v>0</v>
      </c>
      <c r="AK574" s="216">
        <f t="shared" si="522"/>
        <v>2032</v>
      </c>
      <c r="AL574" s="216">
        <f t="shared" si="522"/>
        <v>0</v>
      </c>
      <c r="AM574" s="216">
        <f t="shared" si="522"/>
        <v>0</v>
      </c>
      <c r="AN574" s="216">
        <f t="shared" si="522"/>
        <v>0</v>
      </c>
      <c r="AO574" s="216">
        <f t="shared" si="522"/>
        <v>0</v>
      </c>
      <c r="AP574" s="216">
        <f t="shared" si="522"/>
        <v>0</v>
      </c>
      <c r="AQ574" s="216">
        <f t="shared" si="522"/>
        <v>0</v>
      </c>
      <c r="AR574" s="216">
        <f t="shared" si="522"/>
        <v>0</v>
      </c>
      <c r="AS574" s="216">
        <f t="shared" si="522"/>
        <v>0</v>
      </c>
    </row>
    <row r="575" spans="1:45" ht="15" customHeight="1" x14ac:dyDescent="0.3">
      <c r="I575" s="116"/>
      <c r="AL575" s="42"/>
      <c r="AM575" s="42"/>
      <c r="AN575" s="42"/>
      <c r="AO575" s="42"/>
      <c r="AP575" s="42"/>
      <c r="AQ575" s="42"/>
      <c r="AR575" s="42"/>
      <c r="AS575" s="42"/>
    </row>
    <row r="576" spans="1:45" ht="15" customHeight="1" x14ac:dyDescent="0.3">
      <c r="C576" s="113" t="s">
        <v>205</v>
      </c>
      <c r="I576" s="116"/>
      <c r="AL576" s="42"/>
      <c r="AM576" s="42"/>
      <c r="AN576" s="42"/>
      <c r="AO576" s="42"/>
      <c r="AP576" s="42"/>
      <c r="AQ576" s="42"/>
      <c r="AR576" s="42"/>
      <c r="AS576" s="42"/>
    </row>
    <row r="577" spans="1:45" ht="15" customHeight="1" x14ac:dyDescent="0.3">
      <c r="E577" s="463" t="s">
        <v>836</v>
      </c>
      <c r="F577" s="846">
        <v>2018</v>
      </c>
      <c r="G577" s="463" t="s">
        <v>27</v>
      </c>
      <c r="H577" s="40"/>
      <c r="I577" s="40"/>
      <c r="K577" s="40"/>
      <c r="L577" s="40"/>
      <c r="M577" s="40"/>
      <c r="N577" s="40"/>
      <c r="O577" s="40"/>
      <c r="P577" s="40"/>
      <c r="Q577" s="40"/>
      <c r="R577" s="40"/>
      <c r="S577" s="40"/>
      <c r="T577" s="40"/>
      <c r="U577" s="40"/>
      <c r="V577" s="40"/>
      <c r="W577" s="40"/>
      <c r="X577" s="40"/>
      <c r="Y577" s="40"/>
      <c r="Z577" s="40"/>
      <c r="AA577" s="40"/>
      <c r="AB577" s="40"/>
      <c r="AC577" s="40"/>
      <c r="AD577" s="40"/>
      <c r="AE577" s="40"/>
      <c r="AF577" s="40"/>
      <c r="AG577" s="40"/>
      <c r="AH577" s="40"/>
      <c r="AI577" s="40"/>
      <c r="AJ577" s="40"/>
      <c r="AK577" s="40"/>
      <c r="AL577" s="40"/>
      <c r="AM577" s="40"/>
      <c r="AN577" s="40"/>
      <c r="AO577" s="40"/>
      <c r="AP577" s="40"/>
      <c r="AQ577" s="40"/>
      <c r="AR577" s="40"/>
      <c r="AS577" s="40"/>
    </row>
    <row r="578" spans="1:45" ht="15" customHeight="1" x14ac:dyDescent="0.3">
      <c r="A578" s="150"/>
      <c r="B578" s="150"/>
      <c r="C578" s="151"/>
      <c r="D578" s="104"/>
      <c r="E578" s="104" t="str">
        <f xml:space="preserve"> 'T&amp;E'!E$9</f>
        <v>Model calendar year</v>
      </c>
      <c r="F578" s="104">
        <f xml:space="preserve"> 'T&amp;E'!F$9</f>
        <v>0</v>
      </c>
      <c r="G578" s="104" t="str">
        <f xml:space="preserve"> 'T&amp;E'!G$9</f>
        <v>year</v>
      </c>
      <c r="H578" s="104">
        <f xml:space="preserve"> 'T&amp;E'!H$9</f>
        <v>0</v>
      </c>
      <c r="I578" s="104">
        <f xml:space="preserve"> 'T&amp;E'!I$9</f>
        <v>0</v>
      </c>
      <c r="J578" s="104">
        <f xml:space="preserve"> 'T&amp;E'!J$9</f>
        <v>0</v>
      </c>
      <c r="K578" s="104">
        <f xml:space="preserve"> 'T&amp;E'!K$9</f>
        <v>2006</v>
      </c>
      <c r="L578" s="104">
        <f xml:space="preserve"> 'T&amp;E'!L$9</f>
        <v>2007</v>
      </c>
      <c r="M578" s="104">
        <f xml:space="preserve"> 'T&amp;E'!M$9</f>
        <v>2008</v>
      </c>
      <c r="N578" s="104">
        <f xml:space="preserve"> 'T&amp;E'!N$9</f>
        <v>2009</v>
      </c>
      <c r="O578" s="104">
        <f xml:space="preserve"> 'T&amp;E'!O$9</f>
        <v>2010</v>
      </c>
      <c r="P578" s="104">
        <f xml:space="preserve"> 'T&amp;E'!P$9</f>
        <v>2011</v>
      </c>
      <c r="Q578" s="104">
        <f xml:space="preserve"> 'T&amp;E'!Q$9</f>
        <v>2012</v>
      </c>
      <c r="R578" s="104">
        <f xml:space="preserve"> 'T&amp;E'!R$9</f>
        <v>2013</v>
      </c>
      <c r="S578" s="104">
        <f xml:space="preserve"> 'T&amp;E'!S$9</f>
        <v>2014</v>
      </c>
      <c r="T578" s="104">
        <f xml:space="preserve"> 'T&amp;E'!T$9</f>
        <v>2015</v>
      </c>
      <c r="U578" s="104">
        <f xml:space="preserve"> 'T&amp;E'!U$9</f>
        <v>2016</v>
      </c>
      <c r="V578" s="104">
        <f xml:space="preserve"> 'T&amp;E'!V$9</f>
        <v>2017</v>
      </c>
      <c r="W578" s="104">
        <f xml:space="preserve"> 'T&amp;E'!W$9</f>
        <v>2018</v>
      </c>
      <c r="X578" s="104">
        <f xml:space="preserve"> 'T&amp;E'!X$9</f>
        <v>2019</v>
      </c>
      <c r="Y578" s="104">
        <f xml:space="preserve"> 'T&amp;E'!Y$9</f>
        <v>2020</v>
      </c>
      <c r="Z578" s="104">
        <f xml:space="preserve"> 'T&amp;E'!Z$9</f>
        <v>2021</v>
      </c>
      <c r="AA578" s="104">
        <f xml:space="preserve"> 'T&amp;E'!AA$9</f>
        <v>2022</v>
      </c>
      <c r="AB578" s="104">
        <f xml:space="preserve"> 'T&amp;E'!AB$9</f>
        <v>2023</v>
      </c>
      <c r="AC578" s="104">
        <f xml:space="preserve"> 'T&amp;E'!AC$9</f>
        <v>2024</v>
      </c>
      <c r="AD578" s="104">
        <f xml:space="preserve"> 'T&amp;E'!AD$9</f>
        <v>2025</v>
      </c>
      <c r="AE578" s="104">
        <f xml:space="preserve"> 'T&amp;E'!AE$9</f>
        <v>2026</v>
      </c>
      <c r="AF578" s="104">
        <f xml:space="preserve"> 'T&amp;E'!AF$9</f>
        <v>2027</v>
      </c>
      <c r="AG578" s="104">
        <f xml:space="preserve"> 'T&amp;E'!AG$9</f>
        <v>2028</v>
      </c>
      <c r="AH578" s="104">
        <f xml:space="preserve"> 'T&amp;E'!AH$9</f>
        <v>2029</v>
      </c>
      <c r="AI578" s="104">
        <f xml:space="preserve"> 'T&amp;E'!AI$9</f>
        <v>2030</v>
      </c>
      <c r="AJ578" s="104">
        <f xml:space="preserve"> 'T&amp;E'!AJ$9</f>
        <v>2031</v>
      </c>
      <c r="AK578" s="104">
        <f xml:space="preserve"> 'T&amp;E'!AK$9</f>
        <v>2032</v>
      </c>
      <c r="AL578" s="104">
        <f xml:space="preserve"> 'T&amp;E'!AL$9</f>
        <v>2033</v>
      </c>
      <c r="AM578" s="104">
        <f xml:space="preserve"> 'T&amp;E'!AM$9</f>
        <v>2034</v>
      </c>
      <c r="AN578" s="104">
        <f xml:space="preserve"> 'T&amp;E'!AN$9</f>
        <v>2035</v>
      </c>
      <c r="AO578" s="104">
        <f xml:space="preserve"> 'T&amp;E'!AO$9</f>
        <v>2036</v>
      </c>
      <c r="AP578" s="104">
        <f xml:space="preserve"> 'T&amp;E'!AP$9</f>
        <v>2037</v>
      </c>
      <c r="AQ578" s="104">
        <f xml:space="preserve"> 'T&amp;E'!AQ$9</f>
        <v>2038</v>
      </c>
      <c r="AR578" s="104">
        <f xml:space="preserve"> 'T&amp;E'!AR$9</f>
        <v>2039</v>
      </c>
      <c r="AS578" s="104">
        <f xml:space="preserve"> 'T&amp;E'!AS$9</f>
        <v>2040</v>
      </c>
    </row>
    <row r="579" spans="1:45" ht="15" customHeight="1" x14ac:dyDescent="0.3">
      <c r="A579" s="807"/>
      <c r="B579" s="164"/>
      <c r="C579" s="799"/>
      <c r="D579" s="463"/>
      <c r="E579" s="463" t="s">
        <v>840</v>
      </c>
      <c r="F579" s="463"/>
      <c r="G579" s="463" t="s">
        <v>160</v>
      </c>
      <c r="H579" s="463"/>
      <c r="I579" s="463"/>
      <c r="J579" s="463"/>
      <c r="K579" s="463">
        <f t="shared" ref="K579:O579" si="523" xml:space="preserve"> (K578 = $F577 - 1) * 1</f>
        <v>0</v>
      </c>
      <c r="L579" s="463">
        <f t="shared" si="523"/>
        <v>0</v>
      </c>
      <c r="M579" s="463">
        <f t="shared" si="523"/>
        <v>0</v>
      </c>
      <c r="N579" s="463">
        <f t="shared" si="523"/>
        <v>0</v>
      </c>
      <c r="O579" s="463">
        <f t="shared" si="523"/>
        <v>0</v>
      </c>
      <c r="P579" s="463">
        <f t="shared" ref="P579:AS579" si="524" xml:space="preserve"> (P578 = $F577 - 1) * 1</f>
        <v>0</v>
      </c>
      <c r="Q579" s="463">
        <f t="shared" si="524"/>
        <v>0</v>
      </c>
      <c r="R579" s="463">
        <f t="shared" si="524"/>
        <v>0</v>
      </c>
      <c r="S579" s="463">
        <f t="shared" si="524"/>
        <v>0</v>
      </c>
      <c r="T579" s="463">
        <f t="shared" si="524"/>
        <v>0</v>
      </c>
      <c r="U579" s="463">
        <f t="shared" si="524"/>
        <v>0</v>
      </c>
      <c r="V579" s="463">
        <f t="shared" si="524"/>
        <v>1</v>
      </c>
      <c r="W579" s="463">
        <f t="shared" si="524"/>
        <v>0</v>
      </c>
      <c r="X579" s="463">
        <f t="shared" si="524"/>
        <v>0</v>
      </c>
      <c r="Y579" s="463">
        <f t="shared" si="524"/>
        <v>0</v>
      </c>
      <c r="Z579" s="463">
        <f t="shared" si="524"/>
        <v>0</v>
      </c>
      <c r="AA579" s="463">
        <f t="shared" si="524"/>
        <v>0</v>
      </c>
      <c r="AB579" s="463">
        <f t="shared" si="524"/>
        <v>0</v>
      </c>
      <c r="AC579" s="463">
        <f t="shared" si="524"/>
        <v>0</v>
      </c>
      <c r="AD579" s="463">
        <f t="shared" si="524"/>
        <v>0</v>
      </c>
      <c r="AE579" s="463">
        <f t="shared" si="524"/>
        <v>0</v>
      </c>
      <c r="AF579" s="463">
        <f t="shared" si="524"/>
        <v>0</v>
      </c>
      <c r="AG579" s="463">
        <f t="shared" si="524"/>
        <v>0</v>
      </c>
      <c r="AH579" s="463">
        <f t="shared" si="524"/>
        <v>0</v>
      </c>
      <c r="AI579" s="463">
        <f t="shared" si="524"/>
        <v>0</v>
      </c>
      <c r="AJ579" s="463">
        <f t="shared" si="524"/>
        <v>0</v>
      </c>
      <c r="AK579" s="463">
        <f t="shared" si="524"/>
        <v>0</v>
      </c>
      <c r="AL579" s="463">
        <f t="shared" si="524"/>
        <v>0</v>
      </c>
      <c r="AM579" s="463">
        <f t="shared" si="524"/>
        <v>0</v>
      </c>
      <c r="AN579" s="463">
        <f t="shared" si="524"/>
        <v>0</v>
      </c>
      <c r="AO579" s="463">
        <f t="shared" si="524"/>
        <v>0</v>
      </c>
      <c r="AP579" s="463">
        <f t="shared" si="524"/>
        <v>0</v>
      </c>
      <c r="AQ579" s="463">
        <f t="shared" si="524"/>
        <v>0</v>
      </c>
      <c r="AR579" s="463">
        <f t="shared" si="524"/>
        <v>0</v>
      </c>
      <c r="AS579" s="463">
        <f t="shared" si="524"/>
        <v>0</v>
      </c>
    </row>
    <row r="580" spans="1:45" ht="15" customHeight="1" x14ac:dyDescent="0.3">
      <c r="A580" s="807"/>
      <c r="B580" s="164"/>
      <c r="C580" s="799"/>
      <c r="D580" s="463"/>
      <c r="E580" s="463"/>
      <c r="F580" s="463"/>
      <c r="G580" s="463"/>
      <c r="H580" s="463"/>
      <c r="I580" s="463"/>
      <c r="J580" s="463"/>
      <c r="K580" s="463"/>
      <c r="L580" s="463"/>
      <c r="M580" s="463"/>
      <c r="N580" s="463"/>
      <c r="O580" s="463"/>
      <c r="P580" s="463"/>
      <c r="Q580" s="463"/>
      <c r="R580" s="463"/>
      <c r="S580" s="463"/>
      <c r="T580" s="463"/>
      <c r="U580" s="463"/>
      <c r="V580" s="463"/>
      <c r="W580" s="463"/>
      <c r="X580" s="463"/>
      <c r="Y580" s="463"/>
      <c r="Z580" s="463"/>
      <c r="AA580" s="463"/>
      <c r="AB580" s="463"/>
      <c r="AC580" s="463"/>
      <c r="AD580" s="463"/>
      <c r="AE580" s="463"/>
      <c r="AF580" s="463"/>
      <c r="AG580" s="463"/>
      <c r="AH580" s="463"/>
      <c r="AI580" s="463"/>
      <c r="AJ580" s="463"/>
      <c r="AK580" s="463"/>
      <c r="AL580" s="463"/>
      <c r="AM580" s="463"/>
      <c r="AN580" s="463"/>
      <c r="AO580" s="463"/>
      <c r="AP580" s="463"/>
      <c r="AQ580" s="463"/>
      <c r="AR580" s="463"/>
      <c r="AS580" s="463"/>
    </row>
    <row r="581" spans="1:45" ht="15" customHeight="1" x14ac:dyDescent="0.3">
      <c r="E581" s="40" t="str">
        <f t="shared" ref="E581:AS581" si="525" xml:space="preserve"> E$566</f>
        <v>Capital costs, including Sens.</v>
      </c>
      <c r="F581" s="40" t="str">
        <f t="shared" si="525"/>
        <v>FS</v>
      </c>
      <c r="G581" s="40" t="str">
        <f t="shared" si="525"/>
        <v>$ mn</v>
      </c>
      <c r="H581" s="40">
        <f t="shared" si="525"/>
        <v>0</v>
      </c>
      <c r="I581" s="40">
        <f t="shared" si="525"/>
        <v>831.24520052188814</v>
      </c>
      <c r="J581" s="40">
        <f t="shared" si="525"/>
        <v>0</v>
      </c>
      <c r="K581" s="40">
        <f t="shared" si="525"/>
        <v>0</v>
      </c>
      <c r="L581" s="40">
        <f t="shared" si="525"/>
        <v>0</v>
      </c>
      <c r="M581" s="40">
        <f t="shared" si="525"/>
        <v>0</v>
      </c>
      <c r="N581" s="40">
        <f t="shared" si="525"/>
        <v>0</v>
      </c>
      <c r="O581" s="40">
        <f t="shared" si="525"/>
        <v>0</v>
      </c>
      <c r="P581" s="40">
        <f t="shared" si="525"/>
        <v>0</v>
      </c>
      <c r="Q581" s="40">
        <f t="shared" si="525"/>
        <v>0</v>
      </c>
      <c r="R581" s="40">
        <f t="shared" si="525"/>
        <v>0</v>
      </c>
      <c r="S581" s="40">
        <f t="shared" si="525"/>
        <v>0</v>
      </c>
      <c r="T581" s="40">
        <f t="shared" si="525"/>
        <v>0</v>
      </c>
      <c r="U581" s="40">
        <f t="shared" si="525"/>
        <v>0</v>
      </c>
      <c r="V581" s="40">
        <f t="shared" si="525"/>
        <v>245.02819335000001</v>
      </c>
      <c r="W581" s="40">
        <f t="shared" si="525"/>
        <v>111.33372773000001</v>
      </c>
      <c r="X581" s="40">
        <f t="shared" si="525"/>
        <v>148.28970892000001</v>
      </c>
      <c r="Y581" s="40">
        <f t="shared" si="525"/>
        <v>4.7877627</v>
      </c>
      <c r="Z581" s="40">
        <f t="shared" si="525"/>
        <v>81.812290399999995</v>
      </c>
      <c r="AA581" s="40">
        <f t="shared" si="525"/>
        <v>100.30613584</v>
      </c>
      <c r="AB581" s="40">
        <f t="shared" si="525"/>
        <v>103.88373304536523</v>
      </c>
      <c r="AC581" s="40">
        <f t="shared" si="525"/>
        <v>35.80364853652285</v>
      </c>
      <c r="AD581" s="40">
        <f t="shared" si="525"/>
        <v>0</v>
      </c>
      <c r="AE581" s="40">
        <f t="shared" si="525"/>
        <v>0</v>
      </c>
      <c r="AF581" s="40">
        <f t="shared" si="525"/>
        <v>0</v>
      </c>
      <c r="AG581" s="40">
        <f t="shared" si="525"/>
        <v>0</v>
      </c>
      <c r="AH581" s="40">
        <f t="shared" si="525"/>
        <v>0</v>
      </c>
      <c r="AI581" s="40">
        <f t="shared" si="525"/>
        <v>0</v>
      </c>
      <c r="AJ581" s="40">
        <f t="shared" si="525"/>
        <v>0</v>
      </c>
      <c r="AK581" s="40">
        <f t="shared" si="525"/>
        <v>0</v>
      </c>
      <c r="AL581" s="40">
        <f t="shared" si="525"/>
        <v>0</v>
      </c>
      <c r="AM581" s="40">
        <f t="shared" si="525"/>
        <v>0</v>
      </c>
      <c r="AN581" s="40">
        <f t="shared" si="525"/>
        <v>0</v>
      </c>
      <c r="AO581" s="40">
        <f t="shared" si="525"/>
        <v>0</v>
      </c>
      <c r="AP581" s="40">
        <f t="shared" si="525"/>
        <v>0</v>
      </c>
      <c r="AQ581" s="40">
        <f t="shared" si="525"/>
        <v>0</v>
      </c>
      <c r="AR581" s="40">
        <f t="shared" si="525"/>
        <v>0</v>
      </c>
      <c r="AS581" s="40">
        <f t="shared" si="525"/>
        <v>0</v>
      </c>
    </row>
    <row r="582" spans="1:45" ht="15" customHeight="1" x14ac:dyDescent="0.3">
      <c r="E582" s="463" t="str">
        <f>E581 &amp; " into DB"</f>
        <v>Capital costs, including Sens. into DB</v>
      </c>
      <c r="F582" s="40"/>
      <c r="G582" s="40" t="str">
        <f xml:space="preserve"> G$545</f>
        <v>$ mn</v>
      </c>
      <c r="H582" s="40"/>
      <c r="I582" s="40">
        <f>SUM(K582:AS582)</f>
        <v>245.02819335000001</v>
      </c>
      <c r="K582" s="40">
        <f t="shared" ref="K582:AS582" si="526">K581 * (K2 &lt; $F577)</f>
        <v>0</v>
      </c>
      <c r="L582" s="40">
        <f t="shared" si="526"/>
        <v>0</v>
      </c>
      <c r="M582" s="40">
        <f t="shared" si="526"/>
        <v>0</v>
      </c>
      <c r="N582" s="40">
        <f t="shared" si="526"/>
        <v>0</v>
      </c>
      <c r="O582" s="40">
        <f t="shared" si="526"/>
        <v>0</v>
      </c>
      <c r="P582" s="40">
        <f t="shared" si="526"/>
        <v>0</v>
      </c>
      <c r="Q582" s="40">
        <f t="shared" si="526"/>
        <v>0</v>
      </c>
      <c r="R582" s="40">
        <f t="shared" si="526"/>
        <v>0</v>
      </c>
      <c r="S582" s="40">
        <f t="shared" si="526"/>
        <v>0</v>
      </c>
      <c r="T582" s="40">
        <f t="shared" si="526"/>
        <v>0</v>
      </c>
      <c r="U582" s="40">
        <f t="shared" si="526"/>
        <v>0</v>
      </c>
      <c r="V582" s="40">
        <f t="shared" si="526"/>
        <v>245.02819335000001</v>
      </c>
      <c r="W582" s="40">
        <f t="shared" si="526"/>
        <v>0</v>
      </c>
      <c r="X582" s="40">
        <f t="shared" si="526"/>
        <v>0</v>
      </c>
      <c r="Y582" s="40">
        <f t="shared" si="526"/>
        <v>0</v>
      </c>
      <c r="Z582" s="40">
        <f t="shared" si="526"/>
        <v>0</v>
      </c>
      <c r="AA582" s="40">
        <f t="shared" si="526"/>
        <v>0</v>
      </c>
      <c r="AB582" s="40">
        <f t="shared" si="526"/>
        <v>0</v>
      </c>
      <c r="AC582" s="40">
        <f t="shared" si="526"/>
        <v>0</v>
      </c>
      <c r="AD582" s="40">
        <f t="shared" si="526"/>
        <v>0</v>
      </c>
      <c r="AE582" s="40">
        <f t="shared" si="526"/>
        <v>0</v>
      </c>
      <c r="AF582" s="40">
        <f t="shared" si="526"/>
        <v>0</v>
      </c>
      <c r="AG582" s="40">
        <f t="shared" si="526"/>
        <v>0</v>
      </c>
      <c r="AH582" s="40">
        <f t="shared" si="526"/>
        <v>0</v>
      </c>
      <c r="AI582" s="40">
        <f t="shared" si="526"/>
        <v>0</v>
      </c>
      <c r="AJ582" s="40">
        <f t="shared" si="526"/>
        <v>0</v>
      </c>
      <c r="AK582" s="40">
        <f t="shared" si="526"/>
        <v>0</v>
      </c>
      <c r="AL582" s="40">
        <f t="shared" si="526"/>
        <v>0</v>
      </c>
      <c r="AM582" s="40">
        <f t="shared" si="526"/>
        <v>0</v>
      </c>
      <c r="AN582" s="40">
        <f t="shared" si="526"/>
        <v>0</v>
      </c>
      <c r="AO582" s="40">
        <f t="shared" si="526"/>
        <v>0</v>
      </c>
      <c r="AP582" s="40">
        <f t="shared" si="526"/>
        <v>0</v>
      </c>
      <c r="AQ582" s="40">
        <f t="shared" si="526"/>
        <v>0</v>
      </c>
      <c r="AR582" s="40">
        <f t="shared" si="526"/>
        <v>0</v>
      </c>
      <c r="AS582" s="40">
        <f t="shared" si="526"/>
        <v>0</v>
      </c>
    </row>
    <row r="583" spans="1:45" ht="15" customHeight="1" x14ac:dyDescent="0.3">
      <c r="E583" s="463" t="str">
        <f xml:space="preserve"> E581 &amp; " into SL"</f>
        <v>Capital costs, including Sens. into SL</v>
      </c>
      <c r="F583" s="40"/>
      <c r="G583" s="40" t="str">
        <f xml:space="preserve"> G$545</f>
        <v>$ mn</v>
      </c>
      <c r="H583" s="40"/>
      <c r="I583" s="40">
        <f>SUM(K583:AS583)</f>
        <v>586.2170071718881</v>
      </c>
      <c r="J583" s="21"/>
      <c r="K583" s="463">
        <f t="shared" ref="K583:O583" si="527">K581 - K582</f>
        <v>0</v>
      </c>
      <c r="L583" s="463">
        <f t="shared" si="527"/>
        <v>0</v>
      </c>
      <c r="M583" s="463">
        <f t="shared" si="527"/>
        <v>0</v>
      </c>
      <c r="N583" s="463">
        <f t="shared" si="527"/>
        <v>0</v>
      </c>
      <c r="O583" s="463">
        <f t="shared" si="527"/>
        <v>0</v>
      </c>
      <c r="P583" s="463">
        <f t="shared" ref="P583:AS583" si="528">P581 - P582</f>
        <v>0</v>
      </c>
      <c r="Q583" s="463">
        <f t="shared" si="528"/>
        <v>0</v>
      </c>
      <c r="R583" s="463">
        <f t="shared" si="528"/>
        <v>0</v>
      </c>
      <c r="S583" s="463">
        <f t="shared" si="528"/>
        <v>0</v>
      </c>
      <c r="T583" s="463">
        <f t="shared" si="528"/>
        <v>0</v>
      </c>
      <c r="U583" s="463">
        <f t="shared" si="528"/>
        <v>0</v>
      </c>
      <c r="V583" s="463">
        <f t="shared" si="528"/>
        <v>0</v>
      </c>
      <c r="W583" s="463">
        <f t="shared" si="528"/>
        <v>111.33372773000001</v>
      </c>
      <c r="X583" s="463">
        <f t="shared" si="528"/>
        <v>148.28970892000001</v>
      </c>
      <c r="Y583" s="463">
        <f t="shared" si="528"/>
        <v>4.7877627</v>
      </c>
      <c r="Z583" s="463">
        <f t="shared" si="528"/>
        <v>81.812290399999995</v>
      </c>
      <c r="AA583" s="463">
        <f t="shared" si="528"/>
        <v>100.30613584</v>
      </c>
      <c r="AB583" s="463">
        <f t="shared" si="528"/>
        <v>103.88373304536523</v>
      </c>
      <c r="AC583" s="463">
        <f t="shared" si="528"/>
        <v>35.80364853652285</v>
      </c>
      <c r="AD583" s="463">
        <f t="shared" si="528"/>
        <v>0</v>
      </c>
      <c r="AE583" s="463">
        <f t="shared" si="528"/>
        <v>0</v>
      </c>
      <c r="AF583" s="463">
        <f t="shared" si="528"/>
        <v>0</v>
      </c>
      <c r="AG583" s="463">
        <f t="shared" si="528"/>
        <v>0</v>
      </c>
      <c r="AH583" s="463">
        <f t="shared" si="528"/>
        <v>0</v>
      </c>
      <c r="AI583" s="463">
        <f t="shared" si="528"/>
        <v>0</v>
      </c>
      <c r="AJ583" s="463">
        <f t="shared" si="528"/>
        <v>0</v>
      </c>
      <c r="AK583" s="463">
        <f t="shared" si="528"/>
        <v>0</v>
      </c>
      <c r="AL583" s="463">
        <f t="shared" si="528"/>
        <v>0</v>
      </c>
      <c r="AM583" s="463">
        <f t="shared" si="528"/>
        <v>0</v>
      </c>
      <c r="AN583" s="463">
        <f t="shared" si="528"/>
        <v>0</v>
      </c>
      <c r="AO583" s="463">
        <f t="shared" si="528"/>
        <v>0</v>
      </c>
      <c r="AP583" s="463">
        <f t="shared" si="528"/>
        <v>0</v>
      </c>
      <c r="AQ583" s="463">
        <f t="shared" si="528"/>
        <v>0</v>
      </c>
      <c r="AR583" s="463">
        <f t="shared" si="528"/>
        <v>0</v>
      </c>
      <c r="AS583" s="463">
        <f t="shared" si="528"/>
        <v>0</v>
      </c>
    </row>
    <row r="584" spans="1:45" ht="15" customHeight="1" x14ac:dyDescent="0.3">
      <c r="E584" s="463"/>
      <c r="F584" s="40"/>
      <c r="G584" s="40"/>
      <c r="H584" s="40"/>
      <c r="I584" s="40"/>
      <c r="J584" s="21"/>
      <c r="K584" s="463"/>
      <c r="L584" s="463"/>
      <c r="M584" s="463"/>
      <c r="N584" s="463"/>
      <c r="O584" s="463"/>
      <c r="P584" s="463"/>
      <c r="Q584" s="463"/>
      <c r="R584" s="463"/>
      <c r="S584" s="463"/>
      <c r="T584" s="463"/>
      <c r="U584" s="463"/>
      <c r="V584" s="463"/>
      <c r="W584" s="463"/>
      <c r="X584" s="463"/>
      <c r="Y584" s="463"/>
      <c r="Z584" s="463"/>
      <c r="AA584" s="463"/>
      <c r="AB584" s="463"/>
      <c r="AC584" s="463"/>
      <c r="AD584" s="463"/>
      <c r="AE584" s="463"/>
      <c r="AF584" s="463"/>
      <c r="AG584" s="463"/>
      <c r="AH584" s="463"/>
      <c r="AI584" s="463"/>
      <c r="AJ584" s="463"/>
      <c r="AK584" s="463"/>
      <c r="AL584" s="463"/>
      <c r="AM584" s="463"/>
      <c r="AN584" s="463"/>
      <c r="AO584" s="463"/>
      <c r="AP584" s="463"/>
      <c r="AQ584" s="463"/>
      <c r="AR584" s="463"/>
      <c r="AS584" s="463"/>
    </row>
    <row r="585" spans="1:45" ht="15" customHeight="1" x14ac:dyDescent="0.3">
      <c r="E585" s="463" t="str">
        <f xml:space="preserve"> E581</f>
        <v>Capital costs, including Sens.</v>
      </c>
      <c r="F585" s="463">
        <f xml:space="preserve"> SUM(Q581:AV581)</f>
        <v>831.24520052188814</v>
      </c>
      <c r="G585" s="463" t="str">
        <f xml:space="preserve"> G581</f>
        <v>$ mn</v>
      </c>
      <c r="H585" s="40"/>
      <c r="I585" s="40"/>
      <c r="J585" s="21"/>
      <c r="K585" s="463"/>
      <c r="L585" s="463"/>
      <c r="M585" s="463"/>
      <c r="N585" s="463"/>
      <c r="O585" s="463"/>
      <c r="P585" s="463"/>
      <c r="Q585" s="463"/>
      <c r="R585" s="463"/>
      <c r="S585" s="463"/>
      <c r="T585" s="463"/>
      <c r="U585" s="463"/>
      <c r="V585" s="463"/>
      <c r="W585" s="463"/>
      <c r="X585" s="463"/>
      <c r="Y585" s="463"/>
      <c r="Z585" s="463"/>
      <c r="AA585" s="463"/>
      <c r="AB585" s="463"/>
      <c r="AC585" s="463"/>
      <c r="AD585" s="463"/>
      <c r="AE585" s="463"/>
      <c r="AF585" s="463"/>
      <c r="AG585" s="463"/>
      <c r="AH585" s="463"/>
      <c r="AI585" s="463"/>
      <c r="AJ585" s="463"/>
      <c r="AK585" s="463"/>
      <c r="AL585" s="463"/>
      <c r="AM585" s="463"/>
      <c r="AN585" s="463"/>
      <c r="AO585" s="463"/>
      <c r="AP585" s="463"/>
      <c r="AQ585" s="463"/>
      <c r="AR585" s="463"/>
      <c r="AS585" s="463"/>
    </row>
    <row r="586" spans="1:45" ht="15" customHeight="1" x14ac:dyDescent="0.3">
      <c r="E586" s="463"/>
      <c r="F586" s="40"/>
      <c r="G586" s="40"/>
      <c r="H586" s="40"/>
      <c r="I586" s="40"/>
      <c r="J586" s="21"/>
      <c r="K586" s="463"/>
      <c r="L586" s="463"/>
      <c r="M586" s="463"/>
      <c r="N586" s="463"/>
      <c r="O586" s="463"/>
      <c r="P586" s="463"/>
      <c r="Q586" s="463"/>
      <c r="R586" s="463"/>
      <c r="S586" s="463"/>
      <c r="T586" s="463"/>
      <c r="U586" s="463"/>
      <c r="V586" s="463"/>
      <c r="W586" s="463"/>
      <c r="X586" s="463"/>
      <c r="Y586" s="463"/>
      <c r="Z586" s="463"/>
      <c r="AA586" s="463"/>
      <c r="AB586" s="463"/>
      <c r="AC586" s="463"/>
      <c r="AD586" s="463"/>
      <c r="AE586" s="463"/>
      <c r="AF586" s="463"/>
      <c r="AG586" s="463"/>
      <c r="AH586" s="463"/>
      <c r="AI586" s="463"/>
      <c r="AJ586" s="463"/>
      <c r="AK586" s="463"/>
      <c r="AL586" s="463"/>
      <c r="AM586" s="463"/>
      <c r="AN586" s="463"/>
      <c r="AO586" s="463"/>
      <c r="AP586" s="463"/>
      <c r="AQ586" s="463"/>
      <c r="AR586" s="463"/>
      <c r="AS586" s="463"/>
    </row>
    <row r="587" spans="1:45" ht="15" customHeight="1" x14ac:dyDescent="0.3">
      <c r="E587" s="104" t="str">
        <f xml:space="preserve"> Inputs_TS!E$267</f>
        <v>First year allowance</v>
      </c>
      <c r="F587" s="96">
        <f xml:space="preserve"> Inputs_TS!F$267</f>
        <v>0.6</v>
      </c>
      <c r="G587" s="104" t="str">
        <f xml:space="preserve"> Inputs_TS!G$267</f>
        <v>%</v>
      </c>
      <c r="H587" s="57" t="str">
        <f xml:space="preserve"> Sources!I$23</f>
        <v>XVIII</v>
      </c>
      <c r="I587" s="57"/>
      <c r="J587" s="40"/>
      <c r="K587" s="40"/>
      <c r="L587" s="40"/>
      <c r="M587" s="40"/>
      <c r="N587" s="40"/>
      <c r="O587" s="40"/>
      <c r="P587" s="40"/>
      <c r="Q587" s="40"/>
      <c r="R587" s="40"/>
      <c r="S587" s="40"/>
      <c r="T587" s="40"/>
      <c r="U587" s="40"/>
      <c r="V587" s="40"/>
      <c r="W587" s="40"/>
      <c r="X587" s="40"/>
      <c r="Y587" s="40"/>
      <c r="Z587" s="40"/>
      <c r="AA587" s="40"/>
      <c r="AB587" s="40"/>
      <c r="AC587" s="40"/>
      <c r="AD587" s="40"/>
      <c r="AE587" s="40"/>
      <c r="AF587" s="40"/>
      <c r="AG587" s="40"/>
      <c r="AH587" s="40"/>
      <c r="AI587" s="40"/>
      <c r="AJ587" s="40"/>
      <c r="AK587" s="40"/>
      <c r="AL587" s="40"/>
      <c r="AM587" s="40"/>
      <c r="AN587" s="40"/>
      <c r="AO587" s="40"/>
      <c r="AP587" s="40"/>
      <c r="AQ587" s="40"/>
      <c r="AR587" s="40"/>
      <c r="AS587" s="40"/>
    </row>
    <row r="588" spans="1:45" ht="15" customHeight="1" x14ac:dyDescent="0.3">
      <c r="E588" s="104" t="str">
        <f xml:space="preserve"> Inputs_TS!E$268</f>
        <v>Declining balance thereafter</v>
      </c>
      <c r="F588" s="96">
        <f xml:space="preserve"> Inputs_TS!F$268</f>
        <v>0.3</v>
      </c>
      <c r="G588" s="104" t="str">
        <f xml:space="preserve"> Inputs_TS!G$268</f>
        <v>%</v>
      </c>
      <c r="H588" s="57" t="str">
        <f xml:space="preserve"> Sources!I$23</f>
        <v>XVIII</v>
      </c>
      <c r="I588" s="57"/>
      <c r="J588" s="40"/>
      <c r="K588" s="40"/>
      <c r="L588" s="40"/>
      <c r="M588" s="40"/>
      <c r="N588" s="40"/>
      <c r="O588" s="40"/>
      <c r="P588" s="40"/>
      <c r="Q588" s="40"/>
      <c r="R588" s="40"/>
      <c r="S588" s="40"/>
      <c r="T588" s="40"/>
      <c r="U588" s="40"/>
      <c r="V588" s="40"/>
      <c r="W588" s="40"/>
      <c r="X588" s="40"/>
      <c r="Y588" s="40"/>
      <c r="Z588" s="40"/>
      <c r="AA588" s="40"/>
      <c r="AB588" s="40"/>
      <c r="AC588" s="40"/>
      <c r="AD588" s="40"/>
      <c r="AE588" s="40"/>
      <c r="AF588" s="40"/>
      <c r="AG588" s="40"/>
      <c r="AH588" s="40"/>
      <c r="AI588" s="40"/>
      <c r="AJ588" s="40"/>
      <c r="AK588" s="40"/>
      <c r="AL588" s="40"/>
      <c r="AM588" s="40"/>
      <c r="AN588" s="40"/>
      <c r="AO588" s="40"/>
      <c r="AP588" s="40"/>
      <c r="AQ588" s="40"/>
      <c r="AR588" s="40"/>
      <c r="AS588" s="40"/>
    </row>
    <row r="589" spans="1:45" ht="15" customHeight="1" x14ac:dyDescent="0.3">
      <c r="E589" s="40"/>
      <c r="F589" s="40"/>
      <c r="G589" s="40"/>
      <c r="H589" s="40"/>
      <c r="I589" s="40"/>
      <c r="J589" s="40"/>
      <c r="K589" s="40"/>
      <c r="L589" s="40"/>
      <c r="M589" s="40"/>
      <c r="N589" s="40"/>
      <c r="O589" s="40"/>
      <c r="P589" s="40"/>
      <c r="Q589" s="40"/>
      <c r="R589" s="40"/>
      <c r="S589" s="40"/>
      <c r="T589" s="40"/>
      <c r="U589" s="40"/>
      <c r="V589" s="40"/>
      <c r="W589" s="40"/>
      <c r="X589" s="40"/>
      <c r="Y589" s="40"/>
      <c r="Z589" s="40"/>
      <c r="AA589" s="40"/>
      <c r="AB589" s="40"/>
      <c r="AC589" s="40"/>
      <c r="AD589" s="40"/>
      <c r="AE589" s="40"/>
      <c r="AF589" s="40"/>
      <c r="AG589" s="40"/>
      <c r="AH589" s="40"/>
      <c r="AI589" s="40"/>
      <c r="AJ589" s="40"/>
      <c r="AK589" s="40"/>
      <c r="AL589" s="40"/>
      <c r="AM589" s="40"/>
      <c r="AN589" s="40"/>
      <c r="AO589" s="40"/>
      <c r="AP589" s="40"/>
      <c r="AQ589" s="40"/>
      <c r="AR589" s="40"/>
      <c r="AS589" s="40"/>
    </row>
    <row r="590" spans="1:45" ht="15" customHeight="1" x14ac:dyDescent="0.3">
      <c r="A590" s="132"/>
      <c r="B590" s="132"/>
      <c r="C590" s="133"/>
      <c r="D590" s="107"/>
      <c r="E590" s="155" t="s">
        <v>211</v>
      </c>
      <c r="F590" s="107"/>
      <c r="G590" s="107" t="s">
        <v>346</v>
      </c>
      <c r="H590" s="134"/>
      <c r="I590" s="134"/>
      <c r="J590" s="137"/>
      <c r="K590" s="155">
        <f>J595</f>
        <v>0</v>
      </c>
      <c r="L590" s="155">
        <f t="shared" ref="L590:AS590" si="529">K595</f>
        <v>0</v>
      </c>
      <c r="M590" s="155">
        <f t="shared" si="529"/>
        <v>0</v>
      </c>
      <c r="N590" s="155">
        <f t="shared" si="529"/>
        <v>0</v>
      </c>
      <c r="O590" s="155">
        <f t="shared" si="529"/>
        <v>0</v>
      </c>
      <c r="P590" s="155">
        <f t="shared" si="529"/>
        <v>0</v>
      </c>
      <c r="Q590" s="155">
        <f t="shared" si="529"/>
        <v>0</v>
      </c>
      <c r="R590" s="155">
        <f t="shared" si="529"/>
        <v>0</v>
      </c>
      <c r="S590" s="155">
        <f t="shared" si="529"/>
        <v>0</v>
      </c>
      <c r="T590" s="155">
        <f t="shared" si="529"/>
        <v>0</v>
      </c>
      <c r="U590" s="155">
        <f t="shared" si="529"/>
        <v>0</v>
      </c>
      <c r="V590" s="155">
        <f t="shared" si="529"/>
        <v>0</v>
      </c>
      <c r="W590" s="155">
        <f t="shared" si="529"/>
        <v>0</v>
      </c>
      <c r="X590" s="155">
        <f t="shared" si="529"/>
        <v>0</v>
      </c>
      <c r="Y590" s="155">
        <f t="shared" si="529"/>
        <v>0</v>
      </c>
      <c r="Z590" s="155">
        <f t="shared" si="529"/>
        <v>0</v>
      </c>
      <c r="AA590" s="155">
        <f t="shared" si="529"/>
        <v>0</v>
      </c>
      <c r="AB590" s="155">
        <f t="shared" si="529"/>
        <v>0</v>
      </c>
      <c r="AC590" s="155">
        <f t="shared" si="529"/>
        <v>0</v>
      </c>
      <c r="AD590" s="155">
        <f t="shared" si="529"/>
        <v>0</v>
      </c>
      <c r="AE590" s="155">
        <f t="shared" si="529"/>
        <v>0</v>
      </c>
      <c r="AF590" s="155">
        <f t="shared" si="529"/>
        <v>0</v>
      </c>
      <c r="AG590" s="155">
        <f t="shared" si="529"/>
        <v>0</v>
      </c>
      <c r="AH590" s="155">
        <f t="shared" si="529"/>
        <v>0</v>
      </c>
      <c r="AI590" s="155">
        <f t="shared" si="529"/>
        <v>0</v>
      </c>
      <c r="AJ590" s="155">
        <f t="shared" si="529"/>
        <v>0</v>
      </c>
      <c r="AK590" s="155">
        <f t="shared" si="529"/>
        <v>0</v>
      </c>
      <c r="AL590" s="155">
        <f t="shared" si="529"/>
        <v>0</v>
      </c>
      <c r="AM590" s="155">
        <f t="shared" si="529"/>
        <v>0</v>
      </c>
      <c r="AN590" s="155">
        <f t="shared" si="529"/>
        <v>0</v>
      </c>
      <c r="AO590" s="155">
        <f t="shared" si="529"/>
        <v>0</v>
      </c>
      <c r="AP590" s="155">
        <f t="shared" si="529"/>
        <v>0</v>
      </c>
      <c r="AQ590" s="155">
        <f t="shared" si="529"/>
        <v>0</v>
      </c>
      <c r="AR590" s="155">
        <f t="shared" si="529"/>
        <v>0</v>
      </c>
      <c r="AS590" s="155">
        <f t="shared" si="529"/>
        <v>0</v>
      </c>
    </row>
    <row r="591" spans="1:45" ht="15" customHeight="1" x14ac:dyDescent="0.3">
      <c r="A591" s="129"/>
      <c r="B591" s="129"/>
      <c r="C591" s="130"/>
      <c r="D591" s="106"/>
      <c r="E591" s="842" t="str">
        <f t="shared" ref="E591:J591" si="530" xml:space="preserve"> E$582</f>
        <v>Capital costs, including Sens. into DB</v>
      </c>
      <c r="F591" s="842">
        <f t="shared" si="530"/>
        <v>0</v>
      </c>
      <c r="G591" s="842" t="str">
        <f t="shared" si="530"/>
        <v>$ mn</v>
      </c>
      <c r="H591" s="842">
        <f t="shared" si="530"/>
        <v>0</v>
      </c>
      <c r="I591" s="842">
        <f t="shared" si="530"/>
        <v>245.02819335000001</v>
      </c>
      <c r="J591" s="842">
        <f t="shared" si="530"/>
        <v>0</v>
      </c>
      <c r="K591" s="842">
        <f t="shared" ref="K591:O591" si="531" xml:space="preserve"> K$582</f>
        <v>0</v>
      </c>
      <c r="L591" s="842">
        <f t="shared" si="531"/>
        <v>0</v>
      </c>
      <c r="M591" s="842">
        <f t="shared" si="531"/>
        <v>0</v>
      </c>
      <c r="N591" s="842">
        <f t="shared" si="531"/>
        <v>0</v>
      </c>
      <c r="O591" s="842">
        <f t="shared" si="531"/>
        <v>0</v>
      </c>
      <c r="P591" s="842">
        <f t="shared" ref="P591:AS591" si="532" xml:space="preserve"> P$582</f>
        <v>0</v>
      </c>
      <c r="Q591" s="842">
        <f t="shared" si="532"/>
        <v>0</v>
      </c>
      <c r="R591" s="842">
        <f t="shared" si="532"/>
        <v>0</v>
      </c>
      <c r="S591" s="842">
        <f t="shared" si="532"/>
        <v>0</v>
      </c>
      <c r="T591" s="842">
        <f t="shared" si="532"/>
        <v>0</v>
      </c>
      <c r="U591" s="842">
        <f t="shared" si="532"/>
        <v>0</v>
      </c>
      <c r="V591" s="842">
        <f t="shared" si="532"/>
        <v>245.02819335000001</v>
      </c>
      <c r="W591" s="842">
        <f t="shared" si="532"/>
        <v>0</v>
      </c>
      <c r="X591" s="842">
        <f t="shared" si="532"/>
        <v>0</v>
      </c>
      <c r="Y591" s="842">
        <f t="shared" si="532"/>
        <v>0</v>
      </c>
      <c r="Z591" s="842">
        <f t="shared" si="532"/>
        <v>0</v>
      </c>
      <c r="AA591" s="842">
        <f t="shared" si="532"/>
        <v>0</v>
      </c>
      <c r="AB591" s="842">
        <f t="shared" si="532"/>
        <v>0</v>
      </c>
      <c r="AC591" s="842">
        <f t="shared" si="532"/>
        <v>0</v>
      </c>
      <c r="AD591" s="842">
        <f t="shared" si="532"/>
        <v>0</v>
      </c>
      <c r="AE591" s="842">
        <f t="shared" si="532"/>
        <v>0</v>
      </c>
      <c r="AF591" s="842">
        <f t="shared" si="532"/>
        <v>0</v>
      </c>
      <c r="AG591" s="842">
        <f t="shared" si="532"/>
        <v>0</v>
      </c>
      <c r="AH591" s="842">
        <f t="shared" si="532"/>
        <v>0</v>
      </c>
      <c r="AI591" s="842">
        <f t="shared" si="532"/>
        <v>0</v>
      </c>
      <c r="AJ591" s="842">
        <f t="shared" si="532"/>
        <v>0</v>
      </c>
      <c r="AK591" s="842">
        <f t="shared" si="532"/>
        <v>0</v>
      </c>
      <c r="AL591" s="842">
        <f t="shared" si="532"/>
        <v>0</v>
      </c>
      <c r="AM591" s="842">
        <f t="shared" si="532"/>
        <v>0</v>
      </c>
      <c r="AN591" s="842">
        <f t="shared" si="532"/>
        <v>0</v>
      </c>
      <c r="AO591" s="842">
        <f t="shared" si="532"/>
        <v>0</v>
      </c>
      <c r="AP591" s="842">
        <f t="shared" si="532"/>
        <v>0</v>
      </c>
      <c r="AQ591" s="842">
        <f t="shared" si="532"/>
        <v>0</v>
      </c>
      <c r="AR591" s="842">
        <f t="shared" si="532"/>
        <v>0</v>
      </c>
      <c r="AS591" s="842">
        <f t="shared" si="532"/>
        <v>0</v>
      </c>
    </row>
    <row r="592" spans="1:45" ht="15" customHeight="1" x14ac:dyDescent="0.3">
      <c r="A592" s="129"/>
      <c r="B592" s="129"/>
      <c r="C592" s="130"/>
      <c r="D592" s="106"/>
      <c r="E592" s="157" t="s">
        <v>213</v>
      </c>
      <c r="F592" s="106"/>
      <c r="G592" s="106" t="s">
        <v>346</v>
      </c>
      <c r="H592" s="131"/>
      <c r="I592" s="131">
        <f>SUM(K592:AS592)</f>
        <v>147.01691600999999</v>
      </c>
      <c r="J592" s="128"/>
      <c r="K592" s="156">
        <f t="shared" ref="K592:AS592" si="533">K591 * $F587</f>
        <v>0</v>
      </c>
      <c r="L592" s="156">
        <f t="shared" si="533"/>
        <v>0</v>
      </c>
      <c r="M592" s="156">
        <f t="shared" si="533"/>
        <v>0</v>
      </c>
      <c r="N592" s="156">
        <f t="shared" si="533"/>
        <v>0</v>
      </c>
      <c r="O592" s="156">
        <f t="shared" si="533"/>
        <v>0</v>
      </c>
      <c r="P592" s="156">
        <f t="shared" si="533"/>
        <v>0</v>
      </c>
      <c r="Q592" s="156">
        <f t="shared" si="533"/>
        <v>0</v>
      </c>
      <c r="R592" s="156">
        <f t="shared" si="533"/>
        <v>0</v>
      </c>
      <c r="S592" s="156">
        <f t="shared" si="533"/>
        <v>0</v>
      </c>
      <c r="T592" s="156">
        <f t="shared" si="533"/>
        <v>0</v>
      </c>
      <c r="U592" s="156">
        <f t="shared" si="533"/>
        <v>0</v>
      </c>
      <c r="V592" s="156">
        <f t="shared" si="533"/>
        <v>147.01691600999999</v>
      </c>
      <c r="W592" s="156">
        <f t="shared" si="533"/>
        <v>0</v>
      </c>
      <c r="X592" s="156">
        <f t="shared" si="533"/>
        <v>0</v>
      </c>
      <c r="Y592" s="156">
        <f t="shared" si="533"/>
        <v>0</v>
      </c>
      <c r="Z592" s="156">
        <f t="shared" si="533"/>
        <v>0</v>
      </c>
      <c r="AA592" s="156">
        <f t="shared" si="533"/>
        <v>0</v>
      </c>
      <c r="AB592" s="156">
        <f t="shared" si="533"/>
        <v>0</v>
      </c>
      <c r="AC592" s="156">
        <f t="shared" si="533"/>
        <v>0</v>
      </c>
      <c r="AD592" s="156">
        <f t="shared" si="533"/>
        <v>0</v>
      </c>
      <c r="AE592" s="156">
        <f t="shared" si="533"/>
        <v>0</v>
      </c>
      <c r="AF592" s="156">
        <f t="shared" si="533"/>
        <v>0</v>
      </c>
      <c r="AG592" s="156">
        <f t="shared" si="533"/>
        <v>0</v>
      </c>
      <c r="AH592" s="156">
        <f t="shared" si="533"/>
        <v>0</v>
      </c>
      <c r="AI592" s="156">
        <f t="shared" si="533"/>
        <v>0</v>
      </c>
      <c r="AJ592" s="156">
        <f t="shared" si="533"/>
        <v>0</v>
      </c>
      <c r="AK592" s="156">
        <f t="shared" si="533"/>
        <v>0</v>
      </c>
      <c r="AL592" s="156">
        <f t="shared" si="533"/>
        <v>0</v>
      </c>
      <c r="AM592" s="156">
        <f t="shared" si="533"/>
        <v>0</v>
      </c>
      <c r="AN592" s="156">
        <f t="shared" si="533"/>
        <v>0</v>
      </c>
      <c r="AO592" s="156">
        <f t="shared" si="533"/>
        <v>0</v>
      </c>
      <c r="AP592" s="156">
        <f t="shared" si="533"/>
        <v>0</v>
      </c>
      <c r="AQ592" s="156">
        <f t="shared" si="533"/>
        <v>0</v>
      </c>
      <c r="AR592" s="156">
        <f t="shared" si="533"/>
        <v>0</v>
      </c>
      <c r="AS592" s="156">
        <f t="shared" si="533"/>
        <v>0</v>
      </c>
    </row>
    <row r="593" spans="1:45" ht="15" customHeight="1" x14ac:dyDescent="0.3">
      <c r="A593" s="129"/>
      <c r="B593" s="129"/>
      <c r="C593" s="130"/>
      <c r="D593" s="106"/>
      <c r="E593" s="156" t="s">
        <v>214</v>
      </c>
      <c r="F593" s="106"/>
      <c r="G593" s="106" t="s">
        <v>346</v>
      </c>
      <c r="H593" s="131"/>
      <c r="I593" s="131">
        <f>SUM(K593:AS593)</f>
        <v>0</v>
      </c>
      <c r="J593" s="128"/>
      <c r="K593" s="156">
        <f t="shared" ref="K593:AS593" si="534" xml:space="preserve"> K590 * $F588</f>
        <v>0</v>
      </c>
      <c r="L593" s="156">
        <f t="shared" si="534"/>
        <v>0</v>
      </c>
      <c r="M593" s="156">
        <f t="shared" si="534"/>
        <v>0</v>
      </c>
      <c r="N593" s="156">
        <f t="shared" si="534"/>
        <v>0</v>
      </c>
      <c r="O593" s="156">
        <f t="shared" si="534"/>
        <v>0</v>
      </c>
      <c r="P593" s="156">
        <f t="shared" si="534"/>
        <v>0</v>
      </c>
      <c r="Q593" s="156">
        <f t="shared" si="534"/>
        <v>0</v>
      </c>
      <c r="R593" s="156">
        <f t="shared" si="534"/>
        <v>0</v>
      </c>
      <c r="S593" s="156">
        <f t="shared" si="534"/>
        <v>0</v>
      </c>
      <c r="T593" s="156">
        <f t="shared" si="534"/>
        <v>0</v>
      </c>
      <c r="U593" s="156">
        <f t="shared" si="534"/>
        <v>0</v>
      </c>
      <c r="V593" s="156">
        <f t="shared" si="534"/>
        <v>0</v>
      </c>
      <c r="W593" s="156">
        <f t="shared" si="534"/>
        <v>0</v>
      </c>
      <c r="X593" s="156">
        <f t="shared" si="534"/>
        <v>0</v>
      </c>
      <c r="Y593" s="156">
        <f t="shared" si="534"/>
        <v>0</v>
      </c>
      <c r="Z593" s="156">
        <f t="shared" si="534"/>
        <v>0</v>
      </c>
      <c r="AA593" s="156">
        <f t="shared" si="534"/>
        <v>0</v>
      </c>
      <c r="AB593" s="156">
        <f t="shared" si="534"/>
        <v>0</v>
      </c>
      <c r="AC593" s="156">
        <f t="shared" si="534"/>
        <v>0</v>
      </c>
      <c r="AD593" s="156">
        <f t="shared" si="534"/>
        <v>0</v>
      </c>
      <c r="AE593" s="156">
        <f t="shared" si="534"/>
        <v>0</v>
      </c>
      <c r="AF593" s="156">
        <f t="shared" si="534"/>
        <v>0</v>
      </c>
      <c r="AG593" s="156">
        <f t="shared" si="534"/>
        <v>0</v>
      </c>
      <c r="AH593" s="156">
        <f t="shared" si="534"/>
        <v>0</v>
      </c>
      <c r="AI593" s="156">
        <f t="shared" si="534"/>
        <v>0</v>
      </c>
      <c r="AJ593" s="156">
        <f t="shared" si="534"/>
        <v>0</v>
      </c>
      <c r="AK593" s="156">
        <f t="shared" si="534"/>
        <v>0</v>
      </c>
      <c r="AL593" s="156">
        <f t="shared" si="534"/>
        <v>0</v>
      </c>
      <c r="AM593" s="156">
        <f t="shared" si="534"/>
        <v>0</v>
      </c>
      <c r="AN593" s="156">
        <f t="shared" si="534"/>
        <v>0</v>
      </c>
      <c r="AO593" s="156">
        <f t="shared" si="534"/>
        <v>0</v>
      </c>
      <c r="AP593" s="156">
        <f t="shared" si="534"/>
        <v>0</v>
      </c>
      <c r="AQ593" s="156">
        <f t="shared" si="534"/>
        <v>0</v>
      </c>
      <c r="AR593" s="156">
        <f t="shared" si="534"/>
        <v>0</v>
      </c>
      <c r="AS593" s="156">
        <f t="shared" si="534"/>
        <v>0</v>
      </c>
    </row>
    <row r="594" spans="1:45" ht="15" customHeight="1" x14ac:dyDescent="0.3">
      <c r="A594" s="807"/>
      <c r="B594" s="164"/>
      <c r="C594" s="799"/>
      <c r="D594" s="463"/>
      <c r="E594" s="842" t="s">
        <v>839</v>
      </c>
      <c r="F594" s="842"/>
      <c r="G594" s="842" t="s">
        <v>346</v>
      </c>
      <c r="H594" s="842"/>
      <c r="I594" s="842">
        <f>SUM(K594:AS594)</f>
        <v>98.011277340000021</v>
      </c>
      <c r="J594" s="842"/>
      <c r="K594" s="842">
        <f t="shared" ref="K594:AS594" si="535" xml:space="preserve"> (K590 + K591 - K592 - K593) * K579</f>
        <v>0</v>
      </c>
      <c r="L594" s="842">
        <f t="shared" si="535"/>
        <v>0</v>
      </c>
      <c r="M594" s="842">
        <f t="shared" si="535"/>
        <v>0</v>
      </c>
      <c r="N594" s="842">
        <f t="shared" si="535"/>
        <v>0</v>
      </c>
      <c r="O594" s="842">
        <f t="shared" si="535"/>
        <v>0</v>
      </c>
      <c r="P594" s="842">
        <f t="shared" si="535"/>
        <v>0</v>
      </c>
      <c r="Q594" s="842">
        <f t="shared" si="535"/>
        <v>0</v>
      </c>
      <c r="R594" s="842">
        <f t="shared" si="535"/>
        <v>0</v>
      </c>
      <c r="S594" s="842">
        <f t="shared" si="535"/>
        <v>0</v>
      </c>
      <c r="T594" s="842">
        <f t="shared" si="535"/>
        <v>0</v>
      </c>
      <c r="U594" s="842">
        <f t="shared" si="535"/>
        <v>0</v>
      </c>
      <c r="V594" s="842">
        <f t="shared" si="535"/>
        <v>98.011277340000021</v>
      </c>
      <c r="W594" s="842">
        <f t="shared" si="535"/>
        <v>0</v>
      </c>
      <c r="X594" s="842">
        <f t="shared" si="535"/>
        <v>0</v>
      </c>
      <c r="Y594" s="842">
        <f t="shared" si="535"/>
        <v>0</v>
      </c>
      <c r="Z594" s="842">
        <f t="shared" si="535"/>
        <v>0</v>
      </c>
      <c r="AA594" s="842">
        <f t="shared" si="535"/>
        <v>0</v>
      </c>
      <c r="AB594" s="842">
        <f t="shared" si="535"/>
        <v>0</v>
      </c>
      <c r="AC594" s="842">
        <f t="shared" si="535"/>
        <v>0</v>
      </c>
      <c r="AD594" s="842">
        <f t="shared" si="535"/>
        <v>0</v>
      </c>
      <c r="AE594" s="842">
        <f t="shared" si="535"/>
        <v>0</v>
      </c>
      <c r="AF594" s="842">
        <f t="shared" si="535"/>
        <v>0</v>
      </c>
      <c r="AG594" s="842">
        <f t="shared" si="535"/>
        <v>0</v>
      </c>
      <c r="AH594" s="842">
        <f t="shared" si="535"/>
        <v>0</v>
      </c>
      <c r="AI594" s="842">
        <f t="shared" si="535"/>
        <v>0</v>
      </c>
      <c r="AJ594" s="842">
        <f t="shared" si="535"/>
        <v>0</v>
      </c>
      <c r="AK594" s="842">
        <f t="shared" si="535"/>
        <v>0</v>
      </c>
      <c r="AL594" s="842">
        <f t="shared" si="535"/>
        <v>0</v>
      </c>
      <c r="AM594" s="842">
        <f t="shared" si="535"/>
        <v>0</v>
      </c>
      <c r="AN594" s="842">
        <f t="shared" si="535"/>
        <v>0</v>
      </c>
      <c r="AO594" s="842">
        <f t="shared" si="535"/>
        <v>0</v>
      </c>
      <c r="AP594" s="842">
        <f t="shared" si="535"/>
        <v>0</v>
      </c>
      <c r="AQ594" s="842">
        <f t="shared" si="535"/>
        <v>0</v>
      </c>
      <c r="AR594" s="842">
        <f t="shared" si="535"/>
        <v>0</v>
      </c>
      <c r="AS594" s="842">
        <f t="shared" si="535"/>
        <v>0</v>
      </c>
    </row>
    <row r="595" spans="1:45" ht="15" customHeight="1" x14ac:dyDescent="0.3">
      <c r="A595" s="159"/>
      <c r="B595" s="159"/>
      <c r="C595" s="160"/>
      <c r="D595" s="161"/>
      <c r="E595" s="158" t="s">
        <v>215</v>
      </c>
      <c r="F595" s="161"/>
      <c r="G595" s="161" t="s">
        <v>346</v>
      </c>
      <c r="H595" s="162"/>
      <c r="I595" s="162"/>
      <c r="J595" s="163"/>
      <c r="K595" s="158">
        <f t="shared" ref="K595:O595" si="536" xml:space="preserve"> K590 + K591 - K592 - K593 - K594</f>
        <v>0</v>
      </c>
      <c r="L595" s="158">
        <f t="shared" si="536"/>
        <v>0</v>
      </c>
      <c r="M595" s="158">
        <f t="shared" si="536"/>
        <v>0</v>
      </c>
      <c r="N595" s="158">
        <f t="shared" si="536"/>
        <v>0</v>
      </c>
      <c r="O595" s="158">
        <f t="shared" si="536"/>
        <v>0</v>
      </c>
      <c r="P595" s="158">
        <f xml:space="preserve"> P590 + P591 - P592 - P593 - P594</f>
        <v>0</v>
      </c>
      <c r="Q595" s="158">
        <f t="shared" ref="Q595:AS595" si="537" xml:space="preserve"> Q590 + Q591 - Q592 - Q593 - Q594</f>
        <v>0</v>
      </c>
      <c r="R595" s="158">
        <f t="shared" si="537"/>
        <v>0</v>
      </c>
      <c r="S595" s="158">
        <f t="shared" si="537"/>
        <v>0</v>
      </c>
      <c r="T595" s="158">
        <f t="shared" si="537"/>
        <v>0</v>
      </c>
      <c r="U595" s="158">
        <f t="shared" si="537"/>
        <v>0</v>
      </c>
      <c r="V595" s="158">
        <f t="shared" si="537"/>
        <v>0</v>
      </c>
      <c r="W595" s="158">
        <f t="shared" si="537"/>
        <v>0</v>
      </c>
      <c r="X595" s="158">
        <f t="shared" si="537"/>
        <v>0</v>
      </c>
      <c r="Y595" s="158">
        <f t="shared" si="537"/>
        <v>0</v>
      </c>
      <c r="Z595" s="158">
        <f t="shared" si="537"/>
        <v>0</v>
      </c>
      <c r="AA595" s="158">
        <f t="shared" si="537"/>
        <v>0</v>
      </c>
      <c r="AB595" s="158">
        <f t="shared" si="537"/>
        <v>0</v>
      </c>
      <c r="AC595" s="158">
        <f t="shared" si="537"/>
        <v>0</v>
      </c>
      <c r="AD595" s="158">
        <f t="shared" si="537"/>
        <v>0</v>
      </c>
      <c r="AE595" s="158">
        <f t="shared" si="537"/>
        <v>0</v>
      </c>
      <c r="AF595" s="158">
        <f t="shared" si="537"/>
        <v>0</v>
      </c>
      <c r="AG595" s="158">
        <f t="shared" si="537"/>
        <v>0</v>
      </c>
      <c r="AH595" s="158">
        <f t="shared" si="537"/>
        <v>0</v>
      </c>
      <c r="AI595" s="158">
        <f t="shared" si="537"/>
        <v>0</v>
      </c>
      <c r="AJ595" s="158">
        <f t="shared" si="537"/>
        <v>0</v>
      </c>
      <c r="AK595" s="158">
        <f t="shared" si="537"/>
        <v>0</v>
      </c>
      <c r="AL595" s="158">
        <f t="shared" si="537"/>
        <v>0</v>
      </c>
      <c r="AM595" s="158">
        <f t="shared" si="537"/>
        <v>0</v>
      </c>
      <c r="AN595" s="158">
        <f t="shared" si="537"/>
        <v>0</v>
      </c>
      <c r="AO595" s="158">
        <f t="shared" si="537"/>
        <v>0</v>
      </c>
      <c r="AP595" s="158">
        <f t="shared" si="537"/>
        <v>0</v>
      </c>
      <c r="AQ595" s="158">
        <f t="shared" si="537"/>
        <v>0</v>
      </c>
      <c r="AR595" s="158">
        <f t="shared" si="537"/>
        <v>0</v>
      </c>
      <c r="AS595" s="158">
        <f t="shared" si="537"/>
        <v>0</v>
      </c>
    </row>
    <row r="596" spans="1:45" ht="15" customHeight="1" x14ac:dyDescent="0.3">
      <c r="I596" s="116"/>
      <c r="AL596" s="42"/>
      <c r="AM596" s="42"/>
      <c r="AN596" s="42"/>
      <c r="AO596" s="42"/>
      <c r="AP596" s="42"/>
      <c r="AQ596" s="42"/>
      <c r="AR596" s="42"/>
      <c r="AS596" s="42"/>
    </row>
    <row r="597" spans="1:45" ht="15" customHeight="1" x14ac:dyDescent="0.3">
      <c r="A597" s="164"/>
      <c r="B597" s="164"/>
      <c r="C597" s="165"/>
      <c r="D597" s="166"/>
      <c r="E597" s="463" t="s">
        <v>837</v>
      </c>
      <c r="F597" s="166"/>
      <c r="G597" s="106" t="s">
        <v>346</v>
      </c>
      <c r="H597" s="166"/>
      <c r="I597" s="166">
        <f>SUM(K597:AS597)</f>
        <v>147.01691600999999</v>
      </c>
      <c r="J597" s="166"/>
      <c r="K597" s="166">
        <f t="shared" ref="K597:O597" si="538" xml:space="preserve"> K592 + K593</f>
        <v>0</v>
      </c>
      <c r="L597" s="166">
        <f t="shared" si="538"/>
        <v>0</v>
      </c>
      <c r="M597" s="166">
        <f t="shared" si="538"/>
        <v>0</v>
      </c>
      <c r="N597" s="166">
        <f t="shared" si="538"/>
        <v>0</v>
      </c>
      <c r="O597" s="166">
        <f t="shared" si="538"/>
        <v>0</v>
      </c>
      <c r="P597" s="166">
        <f t="shared" ref="P597:R597" si="539" xml:space="preserve"> P592 + P593</f>
        <v>0</v>
      </c>
      <c r="Q597" s="166">
        <f t="shared" si="539"/>
        <v>0</v>
      </c>
      <c r="R597" s="166">
        <f t="shared" si="539"/>
        <v>0</v>
      </c>
      <c r="S597" s="166">
        <f xml:space="preserve"> S592 + S593</f>
        <v>0</v>
      </c>
      <c r="T597" s="166">
        <f t="shared" ref="T597:AQ597" si="540" xml:space="preserve"> T592 + T593</f>
        <v>0</v>
      </c>
      <c r="U597" s="166">
        <f t="shared" si="540"/>
        <v>0</v>
      </c>
      <c r="V597" s="166">
        <f t="shared" si="540"/>
        <v>147.01691600999999</v>
      </c>
      <c r="W597" s="166">
        <f t="shared" si="540"/>
        <v>0</v>
      </c>
      <c r="X597" s="166">
        <f t="shared" si="540"/>
        <v>0</v>
      </c>
      <c r="Y597" s="166">
        <f t="shared" si="540"/>
        <v>0</v>
      </c>
      <c r="Z597" s="166">
        <f t="shared" si="540"/>
        <v>0</v>
      </c>
      <c r="AA597" s="166">
        <f t="shared" si="540"/>
        <v>0</v>
      </c>
      <c r="AB597" s="166">
        <f t="shared" si="540"/>
        <v>0</v>
      </c>
      <c r="AC597" s="166">
        <f t="shared" si="540"/>
        <v>0</v>
      </c>
      <c r="AD597" s="166">
        <f t="shared" si="540"/>
        <v>0</v>
      </c>
      <c r="AE597" s="166">
        <f t="shared" si="540"/>
        <v>0</v>
      </c>
      <c r="AF597" s="166">
        <f t="shared" si="540"/>
        <v>0</v>
      </c>
      <c r="AG597" s="166">
        <f t="shared" si="540"/>
        <v>0</v>
      </c>
      <c r="AH597" s="166">
        <f t="shared" si="540"/>
        <v>0</v>
      </c>
      <c r="AI597" s="166">
        <f t="shared" si="540"/>
        <v>0</v>
      </c>
      <c r="AJ597" s="166">
        <f t="shared" si="540"/>
        <v>0</v>
      </c>
      <c r="AK597" s="166">
        <f t="shared" si="540"/>
        <v>0</v>
      </c>
      <c r="AL597" s="166">
        <f t="shared" si="540"/>
        <v>0</v>
      </c>
      <c r="AM597" s="166">
        <f t="shared" si="540"/>
        <v>0</v>
      </c>
      <c r="AN597" s="166">
        <f t="shared" si="540"/>
        <v>0</v>
      </c>
      <c r="AO597" s="166">
        <f t="shared" si="540"/>
        <v>0</v>
      </c>
      <c r="AP597" s="166">
        <f t="shared" si="540"/>
        <v>0</v>
      </c>
      <c r="AQ597" s="166">
        <f t="shared" si="540"/>
        <v>0</v>
      </c>
      <c r="AR597" s="166">
        <f t="shared" ref="AR597:AS597" si="541" xml:space="preserve"> AR592 + AR593</f>
        <v>0</v>
      </c>
      <c r="AS597" s="166">
        <f t="shared" si="541"/>
        <v>0</v>
      </c>
    </row>
    <row r="598" spans="1:45" ht="15" customHeight="1" x14ac:dyDescent="0.3">
      <c r="I598" s="116"/>
      <c r="AL598" s="42"/>
      <c r="AM598" s="42"/>
      <c r="AN598" s="42"/>
      <c r="AO598" s="42"/>
      <c r="AP598" s="42"/>
      <c r="AQ598" s="42"/>
      <c r="AR598" s="42"/>
      <c r="AS598" s="42"/>
    </row>
    <row r="599" spans="1:45" ht="15" customHeight="1" x14ac:dyDescent="0.3">
      <c r="C599" s="799" t="s">
        <v>838</v>
      </c>
      <c r="I599" s="116"/>
      <c r="AL599" s="42"/>
      <c r="AM599" s="42"/>
      <c r="AN599" s="42"/>
      <c r="AO599" s="42"/>
      <c r="AP599" s="42"/>
      <c r="AQ599" s="42"/>
      <c r="AR599" s="42"/>
      <c r="AS599" s="42"/>
    </row>
    <row r="600" spans="1:45" ht="15" customHeight="1" x14ac:dyDescent="0.3">
      <c r="E600" s="104" t="str">
        <f xml:space="preserve"> Inputs_Con!E$77</f>
        <v>Straight line depreciation years (AVERAGE)</v>
      </c>
      <c r="F600" s="104">
        <f xml:space="preserve"> Inputs_Con!F$77</f>
        <v>7</v>
      </c>
      <c r="G600" s="104" t="str">
        <f xml:space="preserve"> Inputs_Con!G$77</f>
        <v>years</v>
      </c>
      <c r="I600" s="116"/>
      <c r="AL600" s="42"/>
      <c r="AM600" s="42"/>
      <c r="AN600" s="42"/>
      <c r="AO600" s="42"/>
      <c r="AP600" s="42"/>
      <c r="AQ600" s="42"/>
      <c r="AR600" s="42"/>
      <c r="AS600" s="42"/>
    </row>
    <row r="601" spans="1:45" ht="15" customHeight="1" x14ac:dyDescent="0.3">
      <c r="E601" s="40" t="str">
        <f xml:space="preserve"> E$583</f>
        <v>Capital costs, including Sens. into SL</v>
      </c>
      <c r="F601" s="40">
        <f t="shared" ref="F601:O601" si="542" xml:space="preserve"> F$583</f>
        <v>0</v>
      </c>
      <c r="G601" s="40" t="str">
        <f t="shared" si="542"/>
        <v>$ mn</v>
      </c>
      <c r="H601" s="40">
        <f t="shared" si="542"/>
        <v>0</v>
      </c>
      <c r="I601" s="40">
        <f t="shared" si="542"/>
        <v>586.2170071718881</v>
      </c>
      <c r="J601" s="40">
        <f t="shared" si="542"/>
        <v>0</v>
      </c>
      <c r="K601" s="40">
        <f t="shared" si="542"/>
        <v>0</v>
      </c>
      <c r="L601" s="40">
        <f t="shared" si="542"/>
        <v>0</v>
      </c>
      <c r="M601" s="40">
        <f t="shared" si="542"/>
        <v>0</v>
      </c>
      <c r="N601" s="40">
        <f t="shared" si="542"/>
        <v>0</v>
      </c>
      <c r="O601" s="40">
        <f t="shared" si="542"/>
        <v>0</v>
      </c>
      <c r="P601" s="40">
        <f t="shared" ref="P601:AS601" si="543" xml:space="preserve"> P$583</f>
        <v>0</v>
      </c>
      <c r="Q601" s="40">
        <f t="shared" si="543"/>
        <v>0</v>
      </c>
      <c r="R601" s="40">
        <f t="shared" si="543"/>
        <v>0</v>
      </c>
      <c r="S601" s="40">
        <f t="shared" si="543"/>
        <v>0</v>
      </c>
      <c r="T601" s="40">
        <f t="shared" si="543"/>
        <v>0</v>
      </c>
      <c r="U601" s="40">
        <f t="shared" si="543"/>
        <v>0</v>
      </c>
      <c r="V601" s="40">
        <f t="shared" si="543"/>
        <v>0</v>
      </c>
      <c r="W601" s="40">
        <f t="shared" si="543"/>
        <v>111.33372773000001</v>
      </c>
      <c r="X601" s="40">
        <f t="shared" si="543"/>
        <v>148.28970892000001</v>
      </c>
      <c r="Y601" s="40">
        <f t="shared" si="543"/>
        <v>4.7877627</v>
      </c>
      <c r="Z601" s="40">
        <f t="shared" si="543"/>
        <v>81.812290399999995</v>
      </c>
      <c r="AA601" s="40">
        <f t="shared" si="543"/>
        <v>100.30613584</v>
      </c>
      <c r="AB601" s="40">
        <f t="shared" si="543"/>
        <v>103.88373304536523</v>
      </c>
      <c r="AC601" s="40">
        <f t="shared" si="543"/>
        <v>35.80364853652285</v>
      </c>
      <c r="AD601" s="40">
        <f t="shared" si="543"/>
        <v>0</v>
      </c>
      <c r="AE601" s="40">
        <f t="shared" si="543"/>
        <v>0</v>
      </c>
      <c r="AF601" s="40">
        <f t="shared" si="543"/>
        <v>0</v>
      </c>
      <c r="AG601" s="40">
        <f t="shared" si="543"/>
        <v>0</v>
      </c>
      <c r="AH601" s="40">
        <f t="shared" si="543"/>
        <v>0</v>
      </c>
      <c r="AI601" s="40">
        <f t="shared" si="543"/>
        <v>0</v>
      </c>
      <c r="AJ601" s="40">
        <f t="shared" si="543"/>
        <v>0</v>
      </c>
      <c r="AK601" s="40">
        <f t="shared" si="543"/>
        <v>0</v>
      </c>
      <c r="AL601" s="40">
        <f t="shared" si="543"/>
        <v>0</v>
      </c>
      <c r="AM601" s="40">
        <f t="shared" si="543"/>
        <v>0</v>
      </c>
      <c r="AN601" s="40">
        <f t="shared" si="543"/>
        <v>0</v>
      </c>
      <c r="AO601" s="40">
        <f t="shared" si="543"/>
        <v>0</v>
      </c>
      <c r="AP601" s="40">
        <f t="shared" si="543"/>
        <v>0</v>
      </c>
      <c r="AQ601" s="40">
        <f t="shared" si="543"/>
        <v>0</v>
      </c>
      <c r="AR601" s="40">
        <f t="shared" si="543"/>
        <v>0</v>
      </c>
      <c r="AS601" s="40">
        <f t="shared" si="543"/>
        <v>0</v>
      </c>
    </row>
    <row r="602" spans="1:45" ht="15" customHeight="1" x14ac:dyDescent="0.3">
      <c r="E602" s="40" t="str">
        <f xml:space="preserve"> E$594</f>
        <v>Transfer remaining balance to SL depreciation</v>
      </c>
      <c r="F602" s="40">
        <f t="shared" ref="F602:O602" si="544" xml:space="preserve"> F$594</f>
        <v>0</v>
      </c>
      <c r="G602" s="40" t="str">
        <f t="shared" si="544"/>
        <v>$ mn</v>
      </c>
      <c r="H602" s="40">
        <f t="shared" si="544"/>
        <v>0</v>
      </c>
      <c r="I602" s="40">
        <f t="shared" si="544"/>
        <v>98.011277340000021</v>
      </c>
      <c r="J602" s="40">
        <f t="shared" si="544"/>
        <v>0</v>
      </c>
      <c r="K602" s="40">
        <f t="shared" si="544"/>
        <v>0</v>
      </c>
      <c r="L602" s="40">
        <f t="shared" si="544"/>
        <v>0</v>
      </c>
      <c r="M602" s="40">
        <f t="shared" si="544"/>
        <v>0</v>
      </c>
      <c r="N602" s="40">
        <f t="shared" si="544"/>
        <v>0</v>
      </c>
      <c r="O602" s="40">
        <f t="shared" si="544"/>
        <v>0</v>
      </c>
      <c r="P602" s="40">
        <f t="shared" ref="P602:AS602" si="545" xml:space="preserve"> P$594</f>
        <v>0</v>
      </c>
      <c r="Q602" s="40">
        <f t="shared" si="545"/>
        <v>0</v>
      </c>
      <c r="R602" s="40">
        <f t="shared" si="545"/>
        <v>0</v>
      </c>
      <c r="S602" s="40">
        <f t="shared" si="545"/>
        <v>0</v>
      </c>
      <c r="T602" s="40">
        <f t="shared" si="545"/>
        <v>0</v>
      </c>
      <c r="U602" s="40">
        <f t="shared" si="545"/>
        <v>0</v>
      </c>
      <c r="V602" s="40">
        <f t="shared" si="545"/>
        <v>98.011277340000021</v>
      </c>
      <c r="W602" s="40">
        <f t="shared" si="545"/>
        <v>0</v>
      </c>
      <c r="X602" s="40">
        <f t="shared" si="545"/>
        <v>0</v>
      </c>
      <c r="Y602" s="40">
        <f t="shared" si="545"/>
        <v>0</v>
      </c>
      <c r="Z602" s="40">
        <f t="shared" si="545"/>
        <v>0</v>
      </c>
      <c r="AA602" s="40">
        <f t="shared" si="545"/>
        <v>0</v>
      </c>
      <c r="AB602" s="40">
        <f t="shared" si="545"/>
        <v>0</v>
      </c>
      <c r="AC602" s="40">
        <f t="shared" si="545"/>
        <v>0</v>
      </c>
      <c r="AD602" s="40">
        <f t="shared" si="545"/>
        <v>0</v>
      </c>
      <c r="AE602" s="40">
        <f t="shared" si="545"/>
        <v>0</v>
      </c>
      <c r="AF602" s="40">
        <f t="shared" si="545"/>
        <v>0</v>
      </c>
      <c r="AG602" s="40">
        <f t="shared" si="545"/>
        <v>0</v>
      </c>
      <c r="AH602" s="40">
        <f t="shared" si="545"/>
        <v>0</v>
      </c>
      <c r="AI602" s="40">
        <f t="shared" si="545"/>
        <v>0</v>
      </c>
      <c r="AJ602" s="40">
        <f t="shared" si="545"/>
        <v>0</v>
      </c>
      <c r="AK602" s="40">
        <f t="shared" si="545"/>
        <v>0</v>
      </c>
      <c r="AL602" s="40">
        <f t="shared" si="545"/>
        <v>0</v>
      </c>
      <c r="AM602" s="40">
        <f t="shared" si="545"/>
        <v>0</v>
      </c>
      <c r="AN602" s="40">
        <f t="shared" si="545"/>
        <v>0</v>
      </c>
      <c r="AO602" s="40">
        <f t="shared" si="545"/>
        <v>0</v>
      </c>
      <c r="AP602" s="40">
        <f t="shared" si="545"/>
        <v>0</v>
      </c>
      <c r="AQ602" s="40">
        <f t="shared" si="545"/>
        <v>0</v>
      </c>
      <c r="AR602" s="40">
        <f t="shared" si="545"/>
        <v>0</v>
      </c>
      <c r="AS602" s="40">
        <f t="shared" si="545"/>
        <v>0</v>
      </c>
    </row>
    <row r="603" spans="1:45" ht="15" customHeight="1" x14ac:dyDescent="0.3">
      <c r="E603" s="40" t="s">
        <v>841</v>
      </c>
      <c r="F603" s="40"/>
      <c r="G603" s="40" t="s">
        <v>346</v>
      </c>
      <c r="H603" s="40"/>
      <c r="I603" s="40">
        <f>SUM(K603:AS603)</f>
        <v>684.22828451188809</v>
      </c>
      <c r="J603" s="40"/>
      <c r="K603" s="40">
        <f t="shared" ref="K603:O603" si="546">SUM(K601:K602)</f>
        <v>0</v>
      </c>
      <c r="L603" s="40">
        <f t="shared" si="546"/>
        <v>0</v>
      </c>
      <c r="M603" s="40">
        <f t="shared" si="546"/>
        <v>0</v>
      </c>
      <c r="N603" s="40">
        <f t="shared" si="546"/>
        <v>0</v>
      </c>
      <c r="O603" s="40">
        <f t="shared" si="546"/>
        <v>0</v>
      </c>
      <c r="P603" s="40">
        <f>SUM(P601:P602)</f>
        <v>0</v>
      </c>
      <c r="Q603" s="40">
        <f t="shared" ref="Q603:AS603" si="547">SUM(Q601:Q602)</f>
        <v>0</v>
      </c>
      <c r="R603" s="40">
        <f t="shared" si="547"/>
        <v>0</v>
      </c>
      <c r="S603" s="40">
        <f t="shared" si="547"/>
        <v>0</v>
      </c>
      <c r="T603" s="40">
        <f t="shared" si="547"/>
        <v>0</v>
      </c>
      <c r="U603" s="40">
        <f t="shared" si="547"/>
        <v>0</v>
      </c>
      <c r="V603" s="40">
        <f t="shared" si="547"/>
        <v>98.011277340000021</v>
      </c>
      <c r="W603" s="40">
        <f t="shared" si="547"/>
        <v>111.33372773000001</v>
      </c>
      <c r="X603" s="40">
        <f t="shared" si="547"/>
        <v>148.28970892000001</v>
      </c>
      <c r="Y603" s="40">
        <f t="shared" si="547"/>
        <v>4.7877627</v>
      </c>
      <c r="Z603" s="40">
        <f t="shared" si="547"/>
        <v>81.812290399999995</v>
      </c>
      <c r="AA603" s="40">
        <f t="shared" si="547"/>
        <v>100.30613584</v>
      </c>
      <c r="AB603" s="40">
        <f t="shared" si="547"/>
        <v>103.88373304536523</v>
      </c>
      <c r="AC603" s="40">
        <f t="shared" si="547"/>
        <v>35.80364853652285</v>
      </c>
      <c r="AD603" s="40">
        <f t="shared" si="547"/>
        <v>0</v>
      </c>
      <c r="AE603" s="40">
        <f t="shared" si="547"/>
        <v>0</v>
      </c>
      <c r="AF603" s="40">
        <f t="shared" si="547"/>
        <v>0</v>
      </c>
      <c r="AG603" s="40">
        <f t="shared" si="547"/>
        <v>0</v>
      </c>
      <c r="AH603" s="40">
        <f t="shared" si="547"/>
        <v>0</v>
      </c>
      <c r="AI603" s="40">
        <f t="shared" si="547"/>
        <v>0</v>
      </c>
      <c r="AJ603" s="40">
        <f t="shared" si="547"/>
        <v>0</v>
      </c>
      <c r="AK603" s="40">
        <f t="shared" si="547"/>
        <v>0</v>
      </c>
      <c r="AL603" s="40">
        <f t="shared" si="547"/>
        <v>0</v>
      </c>
      <c r="AM603" s="40">
        <f t="shared" si="547"/>
        <v>0</v>
      </c>
      <c r="AN603" s="40">
        <f t="shared" si="547"/>
        <v>0</v>
      </c>
      <c r="AO603" s="40">
        <f t="shared" si="547"/>
        <v>0</v>
      </c>
      <c r="AP603" s="40">
        <f t="shared" si="547"/>
        <v>0</v>
      </c>
      <c r="AQ603" s="40">
        <f t="shared" si="547"/>
        <v>0</v>
      </c>
      <c r="AR603" s="40">
        <f t="shared" si="547"/>
        <v>0</v>
      </c>
      <c r="AS603" s="40">
        <f t="shared" si="547"/>
        <v>0</v>
      </c>
    </row>
    <row r="604" spans="1:45" ht="15" customHeight="1" x14ac:dyDescent="0.3">
      <c r="E604" s="848" t="str">
        <f xml:space="preserve"> E$574</f>
        <v>Last year of copper production</v>
      </c>
      <c r="F604" s="848">
        <f xml:space="preserve"> F$574</f>
        <v>2032</v>
      </c>
      <c r="G604" s="848" t="str">
        <f xml:space="preserve"> G$574</f>
        <v>year</v>
      </c>
      <c r="H604" s="40"/>
      <c r="I604" s="40"/>
      <c r="J604" s="40"/>
      <c r="K604" s="40"/>
      <c r="L604" s="40"/>
      <c r="M604" s="40"/>
      <c r="N604" s="40"/>
      <c r="O604" s="40"/>
      <c r="P604" s="40"/>
      <c r="Q604" s="40"/>
      <c r="R604" s="40"/>
      <c r="S604" s="40"/>
      <c r="T604" s="40"/>
      <c r="U604" s="40"/>
      <c r="V604" s="40"/>
      <c r="W604" s="40"/>
      <c r="X604" s="40"/>
      <c r="Y604" s="40"/>
      <c r="Z604" s="40"/>
      <c r="AA604" s="40"/>
      <c r="AB604" s="40"/>
      <c r="AC604" s="40"/>
      <c r="AD604" s="40"/>
      <c r="AE604" s="40"/>
      <c r="AF604" s="40"/>
      <c r="AG604" s="40"/>
      <c r="AH604" s="40"/>
      <c r="AI604" s="40"/>
      <c r="AJ604" s="40"/>
      <c r="AK604" s="40"/>
      <c r="AL604" s="40"/>
      <c r="AM604" s="40"/>
      <c r="AN604" s="40"/>
      <c r="AO604" s="40"/>
      <c r="AP604" s="40"/>
      <c r="AQ604" s="40"/>
      <c r="AR604" s="40"/>
      <c r="AS604" s="40"/>
    </row>
    <row r="605" spans="1:45" ht="15" customHeight="1" x14ac:dyDescent="0.3">
      <c r="E605" s="40"/>
      <c r="F605" s="40"/>
      <c r="G605" s="40"/>
      <c r="H605" s="40"/>
      <c r="I605" s="40"/>
      <c r="J605" s="40"/>
      <c r="K605" s="40"/>
      <c r="L605" s="40"/>
      <c r="M605" s="40"/>
      <c r="N605" s="40"/>
      <c r="O605" s="40"/>
      <c r="P605" s="40"/>
      <c r="Q605" s="40"/>
      <c r="R605" s="40"/>
      <c r="S605" s="40"/>
      <c r="T605" s="40"/>
      <c r="U605" s="40"/>
      <c r="V605" s="40"/>
      <c r="W605" s="40"/>
      <c r="X605" s="40"/>
      <c r="Y605" s="40"/>
      <c r="Z605" s="40"/>
      <c r="AA605" s="40"/>
      <c r="AB605" s="40"/>
      <c r="AC605" s="40"/>
      <c r="AD605" s="40"/>
      <c r="AE605" s="40"/>
      <c r="AF605" s="40"/>
      <c r="AG605" s="40"/>
      <c r="AH605" s="40"/>
      <c r="AI605" s="40"/>
      <c r="AJ605" s="40"/>
      <c r="AK605" s="40"/>
      <c r="AL605" s="40"/>
      <c r="AM605" s="40"/>
      <c r="AN605" s="40"/>
      <c r="AO605" s="40"/>
      <c r="AP605" s="40"/>
      <c r="AQ605" s="40"/>
      <c r="AR605" s="40"/>
      <c r="AS605" s="40"/>
    </row>
    <row r="606" spans="1:45" ht="15" customHeight="1" x14ac:dyDescent="0.3">
      <c r="E606" s="61" t="str">
        <f xml:space="preserve"> 'T&amp;E'!E$9</f>
        <v>Model calendar year</v>
      </c>
      <c r="F606" s="104"/>
      <c r="G606" s="104" t="str">
        <f xml:space="preserve"> 'T&amp;E'!G$9</f>
        <v>year</v>
      </c>
      <c r="H606" s="57"/>
      <c r="I606" s="57"/>
      <c r="J606" s="104">
        <f xml:space="preserve"> 'T&amp;E'!J$9</f>
        <v>0</v>
      </c>
      <c r="K606" s="104">
        <f xml:space="preserve"> 'T&amp;E'!K$9</f>
        <v>2006</v>
      </c>
      <c r="L606" s="104">
        <f xml:space="preserve"> 'T&amp;E'!L$9</f>
        <v>2007</v>
      </c>
      <c r="M606" s="104">
        <f xml:space="preserve"> 'T&amp;E'!M$9</f>
        <v>2008</v>
      </c>
      <c r="N606" s="104">
        <f xml:space="preserve"> 'T&amp;E'!N$9</f>
        <v>2009</v>
      </c>
      <c r="O606" s="104">
        <f xml:space="preserve"> 'T&amp;E'!O$9</f>
        <v>2010</v>
      </c>
      <c r="P606" s="104">
        <f xml:space="preserve"> 'T&amp;E'!P$9</f>
        <v>2011</v>
      </c>
      <c r="Q606" s="104">
        <f xml:space="preserve"> 'T&amp;E'!Q$9</f>
        <v>2012</v>
      </c>
      <c r="R606" s="104">
        <f xml:space="preserve"> 'T&amp;E'!R$9</f>
        <v>2013</v>
      </c>
      <c r="S606" s="104">
        <f xml:space="preserve"> 'T&amp;E'!S$9</f>
        <v>2014</v>
      </c>
      <c r="T606" s="104">
        <f xml:space="preserve"> 'T&amp;E'!T$9</f>
        <v>2015</v>
      </c>
      <c r="U606" s="104">
        <f xml:space="preserve"> 'T&amp;E'!U$9</f>
        <v>2016</v>
      </c>
      <c r="V606" s="104">
        <f xml:space="preserve"> 'T&amp;E'!V$9</f>
        <v>2017</v>
      </c>
      <c r="W606" s="104">
        <f xml:space="preserve"> 'T&amp;E'!W$9</f>
        <v>2018</v>
      </c>
      <c r="X606" s="104">
        <f xml:space="preserve"> 'T&amp;E'!X$9</f>
        <v>2019</v>
      </c>
      <c r="Y606" s="104">
        <f xml:space="preserve"> 'T&amp;E'!Y$9</f>
        <v>2020</v>
      </c>
      <c r="Z606" s="104">
        <f xml:space="preserve"> 'T&amp;E'!Z$9</f>
        <v>2021</v>
      </c>
      <c r="AA606" s="104">
        <f xml:space="preserve"> 'T&amp;E'!AA$9</f>
        <v>2022</v>
      </c>
      <c r="AB606" s="104">
        <f xml:space="preserve"> 'T&amp;E'!AB$9</f>
        <v>2023</v>
      </c>
      <c r="AC606" s="104">
        <f xml:space="preserve"> 'T&amp;E'!AC$9</f>
        <v>2024</v>
      </c>
      <c r="AD606" s="104">
        <f xml:space="preserve"> 'T&amp;E'!AD$9</f>
        <v>2025</v>
      </c>
      <c r="AE606" s="104">
        <f xml:space="preserve"> 'T&amp;E'!AE$9</f>
        <v>2026</v>
      </c>
      <c r="AF606" s="104">
        <f xml:space="preserve"> 'T&amp;E'!AF$9</f>
        <v>2027</v>
      </c>
      <c r="AG606" s="104">
        <f xml:space="preserve"> 'T&amp;E'!AG$9</f>
        <v>2028</v>
      </c>
      <c r="AH606" s="104">
        <f xml:space="preserve"> 'T&amp;E'!AH$9</f>
        <v>2029</v>
      </c>
      <c r="AI606" s="104">
        <f xml:space="preserve"> 'T&amp;E'!AI$9</f>
        <v>2030</v>
      </c>
      <c r="AJ606" s="104">
        <f xml:space="preserve"> 'T&amp;E'!AJ$9</f>
        <v>2031</v>
      </c>
      <c r="AK606" s="104">
        <f xml:space="preserve"> 'T&amp;E'!AK$9</f>
        <v>2032</v>
      </c>
      <c r="AL606" s="104">
        <f xml:space="preserve"> 'T&amp;E'!AL$9</f>
        <v>2033</v>
      </c>
      <c r="AM606" s="104">
        <f xml:space="preserve"> 'T&amp;E'!AM$9</f>
        <v>2034</v>
      </c>
      <c r="AN606" s="104">
        <f xml:space="preserve"> 'T&amp;E'!AN$9</f>
        <v>2035</v>
      </c>
      <c r="AO606" s="104">
        <f xml:space="preserve"> 'T&amp;E'!AO$9</f>
        <v>2036</v>
      </c>
      <c r="AP606" s="104">
        <f xml:space="preserve"> 'T&amp;E'!AP$9</f>
        <v>2037</v>
      </c>
      <c r="AQ606" s="104">
        <f xml:space="preserve"> 'T&amp;E'!AQ$9</f>
        <v>2038</v>
      </c>
      <c r="AR606" s="104">
        <f xml:space="preserve"> 'T&amp;E'!AR$9</f>
        <v>2039</v>
      </c>
      <c r="AS606" s="104">
        <f xml:space="preserve"> 'T&amp;E'!AS$9</f>
        <v>2040</v>
      </c>
    </row>
    <row r="607" spans="1:45" ht="15" customHeight="1" x14ac:dyDescent="0.3">
      <c r="E607" s="61" t="str">
        <f xml:space="preserve"> 'T&amp;E'!E$11</f>
        <v>model column</v>
      </c>
      <c r="F607" s="104">
        <f xml:space="preserve"> 'T&amp;E'!F$11</f>
        <v>0</v>
      </c>
      <c r="G607" s="104" t="str">
        <f xml:space="preserve"> 'T&amp;E'!G$11</f>
        <v>#</v>
      </c>
      <c r="H607" s="57">
        <f xml:space="preserve"> 'T&amp;E'!H$11</f>
        <v>0</v>
      </c>
      <c r="I607" s="57">
        <f xml:space="preserve"> 'T&amp;E'!I$11</f>
        <v>0</v>
      </c>
      <c r="J607" s="104">
        <f xml:space="preserve"> 'T&amp;E'!J$11</f>
        <v>0</v>
      </c>
      <c r="K607" s="104">
        <f xml:space="preserve"> 'T&amp;E'!K$11</f>
        <v>1</v>
      </c>
      <c r="L607" s="104">
        <f xml:space="preserve"> 'T&amp;E'!L$11</f>
        <v>2</v>
      </c>
      <c r="M607" s="104">
        <f xml:space="preserve"> 'T&amp;E'!M$11</f>
        <v>3</v>
      </c>
      <c r="N607" s="104">
        <f xml:space="preserve"> 'T&amp;E'!N$11</f>
        <v>4</v>
      </c>
      <c r="O607" s="104">
        <f xml:space="preserve"> 'T&amp;E'!O$11</f>
        <v>5</v>
      </c>
      <c r="P607" s="104">
        <f xml:space="preserve"> 'T&amp;E'!P$11</f>
        <v>6</v>
      </c>
      <c r="Q607" s="104">
        <f xml:space="preserve"> 'T&amp;E'!Q$11</f>
        <v>7</v>
      </c>
      <c r="R607" s="104">
        <f xml:space="preserve"> 'T&amp;E'!R$11</f>
        <v>8</v>
      </c>
      <c r="S607" s="104">
        <f xml:space="preserve"> 'T&amp;E'!S$11</f>
        <v>9</v>
      </c>
      <c r="T607" s="104">
        <f xml:space="preserve"> 'T&amp;E'!T$11</f>
        <v>10</v>
      </c>
      <c r="U607" s="104">
        <f xml:space="preserve"> 'T&amp;E'!U$11</f>
        <v>11</v>
      </c>
      <c r="V607" s="104">
        <f xml:space="preserve"> 'T&amp;E'!V$11</f>
        <v>12</v>
      </c>
      <c r="W607" s="104">
        <f xml:space="preserve"> 'T&amp;E'!W$11</f>
        <v>13</v>
      </c>
      <c r="X607" s="104">
        <f xml:space="preserve"> 'T&amp;E'!X$11</f>
        <v>14</v>
      </c>
      <c r="Y607" s="104">
        <f xml:space="preserve"> 'T&amp;E'!Y$11</f>
        <v>15</v>
      </c>
      <c r="Z607" s="104">
        <f xml:space="preserve"> 'T&amp;E'!Z$11</f>
        <v>16</v>
      </c>
      <c r="AA607" s="104">
        <f xml:space="preserve"> 'T&amp;E'!AA$11</f>
        <v>17</v>
      </c>
      <c r="AB607" s="104">
        <f xml:space="preserve"> 'T&amp;E'!AB$11</f>
        <v>18</v>
      </c>
      <c r="AC607" s="104">
        <f xml:space="preserve"> 'T&amp;E'!AC$11</f>
        <v>19</v>
      </c>
      <c r="AD607" s="104">
        <f xml:space="preserve"> 'T&amp;E'!AD$11</f>
        <v>20</v>
      </c>
      <c r="AE607" s="104">
        <f xml:space="preserve"> 'T&amp;E'!AE$11</f>
        <v>21</v>
      </c>
      <c r="AF607" s="104">
        <f xml:space="preserve"> 'T&amp;E'!AF$11</f>
        <v>22</v>
      </c>
      <c r="AG607" s="104">
        <f xml:space="preserve"> 'T&amp;E'!AG$11</f>
        <v>23</v>
      </c>
      <c r="AH607" s="104">
        <f xml:space="preserve"> 'T&amp;E'!AH$11</f>
        <v>24</v>
      </c>
      <c r="AI607" s="104">
        <f xml:space="preserve"> 'T&amp;E'!AI$11</f>
        <v>25</v>
      </c>
      <c r="AJ607" s="104">
        <f xml:space="preserve"> 'T&amp;E'!AJ$11</f>
        <v>26</v>
      </c>
      <c r="AK607" s="104">
        <f xml:space="preserve"> 'T&amp;E'!AK$11</f>
        <v>27</v>
      </c>
      <c r="AL607" s="104">
        <f xml:space="preserve"> 'T&amp;E'!AL$11</f>
        <v>28</v>
      </c>
      <c r="AM607" s="104">
        <f xml:space="preserve"> 'T&amp;E'!AM$11</f>
        <v>29</v>
      </c>
      <c r="AN607" s="104">
        <f xml:space="preserve"> 'T&amp;E'!AN$11</f>
        <v>30</v>
      </c>
      <c r="AO607" s="104">
        <f xml:space="preserve"> 'T&amp;E'!AO$11</f>
        <v>31</v>
      </c>
      <c r="AP607" s="104">
        <f xml:space="preserve"> 'T&amp;E'!AP$11</f>
        <v>32</v>
      </c>
      <c r="AQ607" s="104">
        <f xml:space="preserve"> 'T&amp;E'!AQ$11</f>
        <v>33</v>
      </c>
      <c r="AR607" s="104">
        <f xml:space="preserve"> 'T&amp;E'!AR$11</f>
        <v>34</v>
      </c>
      <c r="AS607" s="104">
        <f xml:space="preserve"> 'T&amp;E'!AS$11</f>
        <v>35</v>
      </c>
    </row>
    <row r="608" spans="1:45" ht="14.4" x14ac:dyDescent="0.3">
      <c r="A608" s="107"/>
      <c r="B608" s="107"/>
      <c r="C608" s="107"/>
      <c r="D608" s="107"/>
      <c r="E608" s="839" t="s">
        <v>843</v>
      </c>
      <c r="F608" s="107"/>
      <c r="G608" s="107" t="s">
        <v>346</v>
      </c>
      <c r="H608" s="107"/>
      <c r="I608" s="107"/>
      <c r="J608" s="107">
        <f t="shared" ref="J608" si="548">I611</f>
        <v>0</v>
      </c>
      <c r="K608" s="107">
        <f>J611</f>
        <v>0</v>
      </c>
      <c r="L608" s="107">
        <f t="shared" ref="L608:AS608" si="549">K611</f>
        <v>0</v>
      </c>
      <c r="M608" s="107">
        <f t="shared" si="549"/>
        <v>0</v>
      </c>
      <c r="N608" s="107">
        <f t="shared" si="549"/>
        <v>0</v>
      </c>
      <c r="O608" s="107">
        <f t="shared" si="549"/>
        <v>0</v>
      </c>
      <c r="P608" s="107">
        <f t="shared" si="549"/>
        <v>0</v>
      </c>
      <c r="Q608" s="107">
        <f t="shared" si="549"/>
        <v>0</v>
      </c>
      <c r="R608" s="107">
        <f t="shared" si="549"/>
        <v>0</v>
      </c>
      <c r="S608" s="107">
        <f t="shared" si="549"/>
        <v>0</v>
      </c>
      <c r="T608" s="107">
        <f t="shared" si="549"/>
        <v>0</v>
      </c>
      <c r="U608" s="107">
        <f t="shared" si="549"/>
        <v>0</v>
      </c>
      <c r="V608" s="107">
        <f t="shared" si="549"/>
        <v>0</v>
      </c>
      <c r="W608" s="107">
        <f t="shared" si="549"/>
        <v>98.011277340000021</v>
      </c>
      <c r="X608" s="107">
        <f t="shared" si="549"/>
        <v>209.34500507000001</v>
      </c>
      <c r="Y608" s="107">
        <f t="shared" si="549"/>
        <v>357.63471399000002</v>
      </c>
      <c r="Z608" s="107">
        <f t="shared" si="549"/>
        <v>362.42247669</v>
      </c>
      <c r="AA608" s="107">
        <f t="shared" si="549"/>
        <v>444.23476708999999</v>
      </c>
      <c r="AB608" s="107">
        <f t="shared" si="549"/>
        <v>544.54090293000002</v>
      </c>
      <c r="AC608" s="107">
        <f t="shared" si="549"/>
        <v>648.42463597536528</v>
      </c>
      <c r="AD608" s="107">
        <f t="shared" si="549"/>
        <v>586.2170071718881</v>
      </c>
      <c r="AE608" s="107">
        <f t="shared" si="549"/>
        <v>474.88327944188808</v>
      </c>
      <c r="AF608" s="107">
        <f t="shared" si="549"/>
        <v>326.59357052188807</v>
      </c>
      <c r="AG608" s="107">
        <f t="shared" si="549"/>
        <v>321.8058078218881</v>
      </c>
      <c r="AH608" s="107">
        <f t="shared" si="549"/>
        <v>239.9935174218881</v>
      </c>
      <c r="AI608" s="107">
        <f t="shared" si="549"/>
        <v>139.6873815818881</v>
      </c>
      <c r="AJ608" s="107">
        <f t="shared" si="549"/>
        <v>35.803648536522871</v>
      </c>
      <c r="AK608" s="107">
        <f t="shared" si="549"/>
        <v>0</v>
      </c>
      <c r="AL608" s="107">
        <f t="shared" si="549"/>
        <v>0</v>
      </c>
      <c r="AM608" s="107">
        <f t="shared" si="549"/>
        <v>0</v>
      </c>
      <c r="AN608" s="107">
        <f t="shared" si="549"/>
        <v>0</v>
      </c>
      <c r="AO608" s="107">
        <f t="shared" si="549"/>
        <v>0</v>
      </c>
      <c r="AP608" s="107">
        <f t="shared" si="549"/>
        <v>0</v>
      </c>
      <c r="AQ608" s="107">
        <f t="shared" si="549"/>
        <v>0</v>
      </c>
      <c r="AR608" s="107">
        <f t="shared" si="549"/>
        <v>0</v>
      </c>
      <c r="AS608" s="107">
        <f t="shared" si="549"/>
        <v>0</v>
      </c>
    </row>
    <row r="609" spans="1:45" ht="14.4" x14ac:dyDescent="0.3">
      <c r="A609" s="106"/>
      <c r="B609" s="106"/>
      <c r="C609" s="106"/>
      <c r="D609" s="106"/>
      <c r="E609" s="110" t="str">
        <f xml:space="preserve"> E$603</f>
        <v>Capex into SL depreciation</v>
      </c>
      <c r="F609" s="110">
        <f t="shared" ref="F609:O609" si="550" xml:space="preserve"> F$603</f>
        <v>0</v>
      </c>
      <c r="G609" s="110" t="str">
        <f t="shared" si="550"/>
        <v>$ mn</v>
      </c>
      <c r="H609" s="110">
        <f t="shared" si="550"/>
        <v>0</v>
      </c>
      <c r="I609" s="110">
        <f t="shared" si="550"/>
        <v>684.22828451188809</v>
      </c>
      <c r="J609" s="110">
        <f t="shared" si="550"/>
        <v>0</v>
      </c>
      <c r="K609" s="110">
        <f t="shared" si="550"/>
        <v>0</v>
      </c>
      <c r="L609" s="110">
        <f t="shared" si="550"/>
        <v>0</v>
      </c>
      <c r="M609" s="110">
        <f t="shared" si="550"/>
        <v>0</v>
      </c>
      <c r="N609" s="110">
        <f t="shared" si="550"/>
        <v>0</v>
      </c>
      <c r="O609" s="110">
        <f t="shared" si="550"/>
        <v>0</v>
      </c>
      <c r="P609" s="110">
        <f t="shared" ref="P609:AS609" si="551" xml:space="preserve"> P$603</f>
        <v>0</v>
      </c>
      <c r="Q609" s="110">
        <f t="shared" si="551"/>
        <v>0</v>
      </c>
      <c r="R609" s="110">
        <f t="shared" si="551"/>
        <v>0</v>
      </c>
      <c r="S609" s="110">
        <f t="shared" si="551"/>
        <v>0</v>
      </c>
      <c r="T609" s="110">
        <f t="shared" si="551"/>
        <v>0</v>
      </c>
      <c r="U609" s="110">
        <f t="shared" si="551"/>
        <v>0</v>
      </c>
      <c r="V609" s="110">
        <f t="shared" si="551"/>
        <v>98.011277340000021</v>
      </c>
      <c r="W609" s="110">
        <f t="shared" si="551"/>
        <v>111.33372773000001</v>
      </c>
      <c r="X609" s="110">
        <f t="shared" si="551"/>
        <v>148.28970892000001</v>
      </c>
      <c r="Y609" s="110">
        <f t="shared" si="551"/>
        <v>4.7877627</v>
      </c>
      <c r="Z609" s="110">
        <f t="shared" si="551"/>
        <v>81.812290399999995</v>
      </c>
      <c r="AA609" s="110">
        <f t="shared" si="551"/>
        <v>100.30613584</v>
      </c>
      <c r="AB609" s="110">
        <f t="shared" si="551"/>
        <v>103.88373304536523</v>
      </c>
      <c r="AC609" s="110">
        <f t="shared" si="551"/>
        <v>35.80364853652285</v>
      </c>
      <c r="AD609" s="110">
        <f t="shared" si="551"/>
        <v>0</v>
      </c>
      <c r="AE609" s="110">
        <f t="shared" si="551"/>
        <v>0</v>
      </c>
      <c r="AF609" s="110">
        <f t="shared" si="551"/>
        <v>0</v>
      </c>
      <c r="AG609" s="110">
        <f t="shared" si="551"/>
        <v>0</v>
      </c>
      <c r="AH609" s="110">
        <f t="shared" si="551"/>
        <v>0</v>
      </c>
      <c r="AI609" s="110">
        <f t="shared" si="551"/>
        <v>0</v>
      </c>
      <c r="AJ609" s="110">
        <f t="shared" si="551"/>
        <v>0</v>
      </c>
      <c r="AK609" s="110">
        <f t="shared" si="551"/>
        <v>0</v>
      </c>
      <c r="AL609" s="110">
        <f t="shared" si="551"/>
        <v>0</v>
      </c>
      <c r="AM609" s="110">
        <f t="shared" si="551"/>
        <v>0</v>
      </c>
      <c r="AN609" s="110">
        <f t="shared" si="551"/>
        <v>0</v>
      </c>
      <c r="AO609" s="110">
        <f t="shared" si="551"/>
        <v>0</v>
      </c>
      <c r="AP609" s="110">
        <f t="shared" si="551"/>
        <v>0</v>
      </c>
      <c r="AQ609" s="110">
        <f t="shared" si="551"/>
        <v>0</v>
      </c>
      <c r="AR609" s="110">
        <f t="shared" si="551"/>
        <v>0</v>
      </c>
      <c r="AS609" s="110">
        <f t="shared" si="551"/>
        <v>0</v>
      </c>
    </row>
    <row r="610" spans="1:45" ht="14.4" x14ac:dyDescent="0.3">
      <c r="A610" s="106"/>
      <c r="B610" s="106"/>
      <c r="C610" s="106"/>
      <c r="D610" s="106"/>
      <c r="E610" s="106" t="s">
        <v>844</v>
      </c>
      <c r="F610" s="106"/>
      <c r="G610" s="106" t="s">
        <v>346</v>
      </c>
      <c r="H610" s="106"/>
      <c r="I610" s="106">
        <f>SUM(K610:AS610)</f>
        <v>684.22828451188809</v>
      </c>
      <c r="J610" s="106"/>
      <c r="K610" s="842">
        <f t="shared" ref="K610:O610" si="552" xml:space="preserve"> IF(K607 &lt;= $F600, 0, SUMIFS($P$609:$AS$609, $P$607:$AS$607, K607 - $F600)) * (K606 &lt; $F604)</f>
        <v>0</v>
      </c>
      <c r="L610" s="842">
        <f t="shared" si="552"/>
        <v>0</v>
      </c>
      <c r="M610" s="842">
        <f t="shared" si="552"/>
        <v>0</v>
      </c>
      <c r="N610" s="842">
        <f t="shared" si="552"/>
        <v>0</v>
      </c>
      <c r="O610" s="842">
        <f t="shared" si="552"/>
        <v>0</v>
      </c>
      <c r="P610" s="842">
        <f t="shared" ref="P610:AS610" si="553" xml:space="preserve"> IF(P607 &lt;= $F600, 0, SUMIFS($P$609:$AS$609, $P$607:$AS$607, P607 - $F600)) * (P606 &lt; $F604)</f>
        <v>0</v>
      </c>
      <c r="Q610" s="842">
        <f t="shared" si="553"/>
        <v>0</v>
      </c>
      <c r="R610" s="842">
        <f t="shared" si="553"/>
        <v>0</v>
      </c>
      <c r="S610" s="842">
        <f t="shared" si="553"/>
        <v>0</v>
      </c>
      <c r="T610" s="842">
        <f t="shared" si="553"/>
        <v>0</v>
      </c>
      <c r="U610" s="842">
        <f t="shared" si="553"/>
        <v>0</v>
      </c>
      <c r="V610" s="842">
        <f t="shared" si="553"/>
        <v>0</v>
      </c>
      <c r="W610" s="842">
        <f t="shared" si="553"/>
        <v>0</v>
      </c>
      <c r="X610" s="842">
        <f t="shared" si="553"/>
        <v>0</v>
      </c>
      <c r="Y610" s="842">
        <f t="shared" si="553"/>
        <v>0</v>
      </c>
      <c r="Z610" s="842">
        <f t="shared" si="553"/>
        <v>0</v>
      </c>
      <c r="AA610" s="842">
        <f t="shared" si="553"/>
        <v>0</v>
      </c>
      <c r="AB610" s="842">
        <f t="shared" si="553"/>
        <v>0</v>
      </c>
      <c r="AC610" s="842">
        <f t="shared" si="553"/>
        <v>98.011277340000021</v>
      </c>
      <c r="AD610" s="842">
        <f t="shared" si="553"/>
        <v>111.33372773000001</v>
      </c>
      <c r="AE610" s="842">
        <f t="shared" si="553"/>
        <v>148.28970892000001</v>
      </c>
      <c r="AF610" s="842">
        <f t="shared" si="553"/>
        <v>4.7877627</v>
      </c>
      <c r="AG610" s="842">
        <f t="shared" si="553"/>
        <v>81.812290399999995</v>
      </c>
      <c r="AH610" s="842">
        <f t="shared" si="553"/>
        <v>100.30613584</v>
      </c>
      <c r="AI610" s="842">
        <f t="shared" si="553"/>
        <v>103.88373304536523</v>
      </c>
      <c r="AJ610" s="842">
        <f t="shared" si="553"/>
        <v>35.80364853652285</v>
      </c>
      <c r="AK610" s="842">
        <f t="shared" si="553"/>
        <v>0</v>
      </c>
      <c r="AL610" s="842">
        <f t="shared" si="553"/>
        <v>0</v>
      </c>
      <c r="AM610" s="842">
        <f t="shared" si="553"/>
        <v>0</v>
      </c>
      <c r="AN610" s="842">
        <f t="shared" si="553"/>
        <v>0</v>
      </c>
      <c r="AO610" s="842">
        <f t="shared" si="553"/>
        <v>0</v>
      </c>
      <c r="AP610" s="842">
        <f t="shared" si="553"/>
        <v>0</v>
      </c>
      <c r="AQ610" s="842">
        <f t="shared" si="553"/>
        <v>0</v>
      </c>
      <c r="AR610" s="842">
        <f t="shared" si="553"/>
        <v>0</v>
      </c>
      <c r="AS610" s="842">
        <f t="shared" si="553"/>
        <v>0</v>
      </c>
    </row>
    <row r="611" spans="1:45" ht="14.4" x14ac:dyDescent="0.3">
      <c r="A611" s="161"/>
      <c r="B611" s="161"/>
      <c r="C611" s="161"/>
      <c r="D611" s="161"/>
      <c r="E611" s="161" t="s">
        <v>845</v>
      </c>
      <c r="F611" s="161"/>
      <c r="G611" s="161" t="s">
        <v>346</v>
      </c>
      <c r="H611" s="161"/>
      <c r="I611" s="161"/>
      <c r="J611" s="845"/>
      <c r="K611" s="161">
        <f t="shared" ref="K611:O611" si="554">K608 + K609 -K610</f>
        <v>0</v>
      </c>
      <c r="L611" s="161">
        <f t="shared" si="554"/>
        <v>0</v>
      </c>
      <c r="M611" s="161">
        <f t="shared" si="554"/>
        <v>0</v>
      </c>
      <c r="N611" s="161">
        <f t="shared" si="554"/>
        <v>0</v>
      </c>
      <c r="O611" s="161">
        <f t="shared" si="554"/>
        <v>0</v>
      </c>
      <c r="P611" s="161">
        <f t="shared" ref="P611:R611" si="555">P608 + P609 -P610</f>
        <v>0</v>
      </c>
      <c r="Q611" s="161">
        <f>Q608 + Q609 -Q610</f>
        <v>0</v>
      </c>
      <c r="R611" s="161">
        <f t="shared" si="555"/>
        <v>0</v>
      </c>
      <c r="S611" s="161">
        <f t="shared" ref="S611:AQ611" si="556">S608 + S609 -S610</f>
        <v>0</v>
      </c>
      <c r="T611" s="161">
        <f t="shared" si="556"/>
        <v>0</v>
      </c>
      <c r="U611" s="161">
        <f t="shared" si="556"/>
        <v>0</v>
      </c>
      <c r="V611" s="161">
        <f t="shared" si="556"/>
        <v>98.011277340000021</v>
      </c>
      <c r="W611" s="161">
        <f t="shared" si="556"/>
        <v>209.34500507000001</v>
      </c>
      <c r="X611" s="161">
        <f t="shared" si="556"/>
        <v>357.63471399000002</v>
      </c>
      <c r="Y611" s="161">
        <f t="shared" si="556"/>
        <v>362.42247669</v>
      </c>
      <c r="Z611" s="161">
        <f t="shared" si="556"/>
        <v>444.23476708999999</v>
      </c>
      <c r="AA611" s="161">
        <f t="shared" si="556"/>
        <v>544.54090293000002</v>
      </c>
      <c r="AB611" s="161">
        <f t="shared" si="556"/>
        <v>648.42463597536528</v>
      </c>
      <c r="AC611" s="161">
        <f t="shared" si="556"/>
        <v>586.2170071718881</v>
      </c>
      <c r="AD611" s="161">
        <f t="shared" si="556"/>
        <v>474.88327944188808</v>
      </c>
      <c r="AE611" s="161">
        <f t="shared" si="556"/>
        <v>326.59357052188807</v>
      </c>
      <c r="AF611" s="161">
        <f t="shared" si="556"/>
        <v>321.8058078218881</v>
      </c>
      <c r="AG611" s="161">
        <f t="shared" si="556"/>
        <v>239.9935174218881</v>
      </c>
      <c r="AH611" s="161">
        <f t="shared" si="556"/>
        <v>139.6873815818881</v>
      </c>
      <c r="AI611" s="161">
        <f t="shared" si="556"/>
        <v>35.803648536522871</v>
      </c>
      <c r="AJ611" s="161">
        <f t="shared" si="556"/>
        <v>0</v>
      </c>
      <c r="AK611" s="161">
        <f t="shared" si="556"/>
        <v>0</v>
      </c>
      <c r="AL611" s="161">
        <f t="shared" si="556"/>
        <v>0</v>
      </c>
      <c r="AM611" s="161">
        <f t="shared" si="556"/>
        <v>0</v>
      </c>
      <c r="AN611" s="161">
        <f t="shared" si="556"/>
        <v>0</v>
      </c>
      <c r="AO611" s="161">
        <f t="shared" si="556"/>
        <v>0</v>
      </c>
      <c r="AP611" s="161">
        <f t="shared" si="556"/>
        <v>0</v>
      </c>
      <c r="AQ611" s="161">
        <f t="shared" si="556"/>
        <v>0</v>
      </c>
      <c r="AR611" s="161">
        <f t="shared" ref="AR611:AS611" si="557">AR608 + AR609 -AR610</f>
        <v>0</v>
      </c>
      <c r="AS611" s="161">
        <f t="shared" si="557"/>
        <v>0</v>
      </c>
    </row>
    <row r="612" spans="1:45" ht="14.4" x14ac:dyDescent="0.3">
      <c r="A612" s="106"/>
      <c r="B612" s="106"/>
      <c r="C612" s="106"/>
      <c r="D612" s="106"/>
      <c r="E612" s="106"/>
      <c r="F612" s="106"/>
      <c r="G612" s="106"/>
      <c r="H612" s="106"/>
      <c r="I612" s="106"/>
      <c r="J612" s="106"/>
      <c r="K612" s="106"/>
      <c r="L612" s="106"/>
      <c r="M612" s="106"/>
      <c r="N612" s="106"/>
      <c r="O612" s="106"/>
      <c r="P612" s="106"/>
      <c r="Q612" s="106"/>
      <c r="R612" s="106"/>
      <c r="S612" s="106"/>
      <c r="T612" s="106"/>
      <c r="U612" s="106"/>
      <c r="V612" s="106"/>
      <c r="W612" s="106"/>
      <c r="X612" s="106"/>
      <c r="Y612" s="106"/>
      <c r="Z612" s="106"/>
      <c r="AA612" s="106"/>
      <c r="AB612" s="106"/>
      <c r="AC612" s="106"/>
      <c r="AD612" s="106"/>
      <c r="AE612" s="106"/>
      <c r="AF612" s="106"/>
      <c r="AG612" s="106"/>
      <c r="AH612" s="106"/>
      <c r="AI612" s="106"/>
      <c r="AJ612" s="106"/>
      <c r="AK612" s="106"/>
      <c r="AL612" s="106"/>
      <c r="AM612" s="106"/>
      <c r="AN612" s="106"/>
      <c r="AO612" s="106"/>
      <c r="AP612" s="106"/>
      <c r="AQ612" s="106"/>
      <c r="AR612" s="106"/>
      <c r="AS612" s="106"/>
    </row>
    <row r="613" spans="1:45" ht="15" customHeight="1" x14ac:dyDescent="0.3">
      <c r="A613" s="807"/>
      <c r="B613" s="164"/>
      <c r="C613" s="799"/>
      <c r="D613" s="463"/>
      <c r="E613" s="463" t="s">
        <v>846</v>
      </c>
      <c r="F613" s="463"/>
      <c r="G613" s="463" t="s">
        <v>346</v>
      </c>
      <c r="H613" s="463"/>
      <c r="I613" s="463">
        <f>SUM(K613:AS613)</f>
        <v>684.22828451188809</v>
      </c>
      <c r="J613" s="463"/>
      <c r="K613" s="463">
        <f t="shared" ref="K613:O613" si="558" xml:space="preserve"> IF( K606 &lt; $F604, K611 / $F600, 0)</f>
        <v>0</v>
      </c>
      <c r="L613" s="463">
        <f t="shared" si="558"/>
        <v>0</v>
      </c>
      <c r="M613" s="463">
        <f t="shared" si="558"/>
        <v>0</v>
      </c>
      <c r="N613" s="463">
        <f t="shared" si="558"/>
        <v>0</v>
      </c>
      <c r="O613" s="463">
        <f t="shared" si="558"/>
        <v>0</v>
      </c>
      <c r="P613" s="463">
        <f t="shared" ref="P613:AS613" si="559" xml:space="preserve"> IF( P606 &lt; $F604, P611 / $F600, 0)</f>
        <v>0</v>
      </c>
      <c r="Q613" s="463">
        <f t="shared" si="559"/>
        <v>0</v>
      </c>
      <c r="R613" s="463">
        <f t="shared" si="559"/>
        <v>0</v>
      </c>
      <c r="S613" s="463">
        <f t="shared" si="559"/>
        <v>0</v>
      </c>
      <c r="T613" s="463">
        <f t="shared" si="559"/>
        <v>0</v>
      </c>
      <c r="U613" s="463">
        <f t="shared" si="559"/>
        <v>0</v>
      </c>
      <c r="V613" s="463">
        <f t="shared" si="559"/>
        <v>14.001611048571432</v>
      </c>
      <c r="W613" s="463">
        <f t="shared" si="559"/>
        <v>29.906429295714286</v>
      </c>
      <c r="X613" s="463">
        <f t="shared" si="559"/>
        <v>51.09067342714286</v>
      </c>
      <c r="Y613" s="463">
        <f t="shared" si="559"/>
        <v>51.77463952714286</v>
      </c>
      <c r="Z613" s="463">
        <f t="shared" si="559"/>
        <v>63.462109584285713</v>
      </c>
      <c r="AA613" s="463">
        <f t="shared" si="559"/>
        <v>77.791557561428576</v>
      </c>
      <c r="AB613" s="463">
        <f t="shared" si="559"/>
        <v>92.632090853623609</v>
      </c>
      <c r="AC613" s="463">
        <f t="shared" si="559"/>
        <v>83.745286738841159</v>
      </c>
      <c r="AD613" s="463">
        <f t="shared" si="559"/>
        <v>67.840468491698303</v>
      </c>
      <c r="AE613" s="463">
        <f t="shared" si="559"/>
        <v>46.656224360269725</v>
      </c>
      <c r="AF613" s="463">
        <f t="shared" si="559"/>
        <v>45.972258260269726</v>
      </c>
      <c r="AG613" s="463">
        <f t="shared" si="559"/>
        <v>34.284788203126872</v>
      </c>
      <c r="AH613" s="463">
        <f t="shared" si="559"/>
        <v>19.955340225984013</v>
      </c>
      <c r="AI613" s="463">
        <f t="shared" si="559"/>
        <v>5.1148069337889819</v>
      </c>
      <c r="AJ613" s="463">
        <f t="shared" si="559"/>
        <v>0</v>
      </c>
      <c r="AK613" s="463">
        <f t="shared" si="559"/>
        <v>0</v>
      </c>
      <c r="AL613" s="463">
        <f t="shared" si="559"/>
        <v>0</v>
      </c>
      <c r="AM613" s="463">
        <f t="shared" si="559"/>
        <v>0</v>
      </c>
      <c r="AN613" s="463">
        <f t="shared" si="559"/>
        <v>0</v>
      </c>
      <c r="AO613" s="463">
        <f t="shared" si="559"/>
        <v>0</v>
      </c>
      <c r="AP613" s="463">
        <f t="shared" si="559"/>
        <v>0</v>
      </c>
      <c r="AQ613" s="463">
        <f t="shared" si="559"/>
        <v>0</v>
      </c>
      <c r="AR613" s="463">
        <f t="shared" si="559"/>
        <v>0</v>
      </c>
      <c r="AS613" s="463">
        <f t="shared" si="559"/>
        <v>0</v>
      </c>
    </row>
    <row r="614" spans="1:45" ht="14.4" x14ac:dyDescent="0.3">
      <c r="A614" s="88"/>
      <c r="B614" s="88"/>
      <c r="C614" s="168"/>
      <c r="D614" s="168"/>
      <c r="E614" s="168"/>
      <c r="F614" s="168"/>
      <c r="G614" s="106"/>
      <c r="H614" s="168"/>
      <c r="I614" s="168"/>
      <c r="J614" s="168"/>
      <c r="K614" s="168"/>
      <c r="L614" s="168"/>
      <c r="M614" s="168"/>
      <c r="N614" s="168"/>
      <c r="O614" s="168"/>
      <c r="P614" s="168"/>
      <c r="Q614" s="168"/>
      <c r="R614" s="168"/>
      <c r="S614" s="168"/>
      <c r="T614" s="168"/>
      <c r="U614" s="168"/>
      <c r="V614" s="168"/>
      <c r="W614" s="168"/>
      <c r="X614" s="168"/>
      <c r="Y614" s="168"/>
      <c r="Z614" s="168"/>
      <c r="AA614" s="168"/>
      <c r="AB614" s="168"/>
      <c r="AC614" s="168"/>
      <c r="AD614" s="168"/>
      <c r="AE614" s="168"/>
      <c r="AF614" s="168"/>
      <c r="AG614" s="168"/>
      <c r="AH614" s="168"/>
      <c r="AI614" s="168"/>
      <c r="AJ614" s="168"/>
      <c r="AK614" s="168"/>
      <c r="AL614" s="168"/>
      <c r="AM614" s="168"/>
      <c r="AN614" s="168"/>
      <c r="AO614" s="168"/>
      <c r="AP614" s="168"/>
      <c r="AQ614" s="168"/>
      <c r="AR614" s="168"/>
      <c r="AS614" s="168"/>
    </row>
    <row r="615" spans="1:45" ht="15" customHeight="1" x14ac:dyDescent="0.3">
      <c r="A615" s="807"/>
      <c r="B615" s="164"/>
      <c r="C615" s="799"/>
      <c r="D615" s="463"/>
      <c r="E615" s="839" t="s">
        <v>847</v>
      </c>
      <c r="F615" s="839"/>
      <c r="G615" s="839"/>
      <c r="H615" s="839"/>
      <c r="I615" s="839"/>
      <c r="J615" s="839"/>
      <c r="K615" s="839">
        <f xml:space="preserve"> J619</f>
        <v>0</v>
      </c>
      <c r="L615" s="839">
        <f t="shared" ref="L615:AS615" si="560" xml:space="preserve"> K619</f>
        <v>0</v>
      </c>
      <c r="M615" s="839">
        <f t="shared" si="560"/>
        <v>0</v>
      </c>
      <c r="N615" s="839">
        <f t="shared" si="560"/>
        <v>0</v>
      </c>
      <c r="O615" s="839">
        <f t="shared" si="560"/>
        <v>0</v>
      </c>
      <c r="P615" s="839">
        <f t="shared" si="560"/>
        <v>0</v>
      </c>
      <c r="Q615" s="839">
        <f t="shared" si="560"/>
        <v>0</v>
      </c>
      <c r="R615" s="839">
        <f t="shared" si="560"/>
        <v>0</v>
      </c>
      <c r="S615" s="839">
        <f t="shared" si="560"/>
        <v>0</v>
      </c>
      <c r="T615" s="839">
        <f t="shared" si="560"/>
        <v>0</v>
      </c>
      <c r="U615" s="839">
        <f t="shared" si="560"/>
        <v>0</v>
      </c>
      <c r="V615" s="839">
        <f t="shared" si="560"/>
        <v>0</v>
      </c>
      <c r="W615" s="839">
        <f t="shared" si="560"/>
        <v>84.009666291428587</v>
      </c>
      <c r="X615" s="839">
        <f t="shared" si="560"/>
        <v>165.43696472571432</v>
      </c>
      <c r="Y615" s="839">
        <f t="shared" si="560"/>
        <v>262.63600021857144</v>
      </c>
      <c r="Z615" s="839">
        <f t="shared" si="560"/>
        <v>215.64912339142856</v>
      </c>
      <c r="AA615" s="839">
        <f t="shared" si="560"/>
        <v>233.99930420714281</v>
      </c>
      <c r="AB615" s="839">
        <f t="shared" si="560"/>
        <v>256.51388248571425</v>
      </c>
      <c r="AC615" s="839">
        <f t="shared" si="560"/>
        <v>267.76552467745591</v>
      </c>
      <c r="AD615" s="839">
        <f t="shared" si="560"/>
        <v>219.82388647513761</v>
      </c>
      <c r="AE615" s="839">
        <f t="shared" si="560"/>
        <v>151.98341798343932</v>
      </c>
      <c r="AF615" s="839">
        <f t="shared" si="560"/>
        <v>105.32719362316959</v>
      </c>
      <c r="AG615" s="839">
        <f t="shared" si="560"/>
        <v>59.354935362899866</v>
      </c>
      <c r="AH615" s="839">
        <f t="shared" si="560"/>
        <v>25.070147159772993</v>
      </c>
      <c r="AI615" s="839">
        <f t="shared" si="560"/>
        <v>5.1148069337889801</v>
      </c>
      <c r="AJ615" s="839">
        <f t="shared" si="560"/>
        <v>-1.7763568394002505E-15</v>
      </c>
      <c r="AK615" s="839">
        <f t="shared" si="560"/>
        <v>-1.7763568394002505E-15</v>
      </c>
      <c r="AL615" s="839">
        <f t="shared" si="560"/>
        <v>0</v>
      </c>
      <c r="AM615" s="839">
        <f t="shared" si="560"/>
        <v>0</v>
      </c>
      <c r="AN615" s="839">
        <f t="shared" si="560"/>
        <v>0</v>
      </c>
      <c r="AO615" s="839">
        <f t="shared" si="560"/>
        <v>0</v>
      </c>
      <c r="AP615" s="839">
        <f t="shared" si="560"/>
        <v>0</v>
      </c>
      <c r="AQ615" s="839">
        <f t="shared" si="560"/>
        <v>0</v>
      </c>
      <c r="AR615" s="839">
        <f t="shared" si="560"/>
        <v>0</v>
      </c>
      <c r="AS615" s="839">
        <f t="shared" si="560"/>
        <v>0</v>
      </c>
    </row>
    <row r="616" spans="1:45" ht="15" customHeight="1" x14ac:dyDescent="0.3">
      <c r="A616" s="807"/>
      <c r="B616" s="164"/>
      <c r="C616" s="799"/>
      <c r="D616" s="463"/>
      <c r="E616" s="842" t="str">
        <f xml:space="preserve"> E$603</f>
        <v>Capex into SL depreciation</v>
      </c>
      <c r="F616" s="842">
        <f t="shared" ref="F616:O616" si="561" xml:space="preserve"> F$603</f>
        <v>0</v>
      </c>
      <c r="G616" s="842" t="str">
        <f t="shared" si="561"/>
        <v>$ mn</v>
      </c>
      <c r="H616" s="842">
        <f t="shared" si="561"/>
        <v>0</v>
      </c>
      <c r="I616" s="842">
        <f t="shared" si="561"/>
        <v>684.22828451188809</v>
      </c>
      <c r="J616" s="842">
        <f t="shared" si="561"/>
        <v>0</v>
      </c>
      <c r="K616" s="842">
        <f t="shared" si="561"/>
        <v>0</v>
      </c>
      <c r="L616" s="842">
        <f t="shared" si="561"/>
        <v>0</v>
      </c>
      <c r="M616" s="842">
        <f t="shared" si="561"/>
        <v>0</v>
      </c>
      <c r="N616" s="842">
        <f t="shared" si="561"/>
        <v>0</v>
      </c>
      <c r="O616" s="842">
        <f t="shared" si="561"/>
        <v>0</v>
      </c>
      <c r="P616" s="842">
        <f t="shared" ref="P616:AS616" si="562" xml:space="preserve"> P$603</f>
        <v>0</v>
      </c>
      <c r="Q616" s="842">
        <f t="shared" si="562"/>
        <v>0</v>
      </c>
      <c r="R616" s="842">
        <f t="shared" si="562"/>
        <v>0</v>
      </c>
      <c r="S616" s="842">
        <f t="shared" si="562"/>
        <v>0</v>
      </c>
      <c r="T616" s="842">
        <f t="shared" si="562"/>
        <v>0</v>
      </c>
      <c r="U616" s="842">
        <f t="shared" si="562"/>
        <v>0</v>
      </c>
      <c r="V616" s="842">
        <f t="shared" si="562"/>
        <v>98.011277340000021</v>
      </c>
      <c r="W616" s="842">
        <f t="shared" si="562"/>
        <v>111.33372773000001</v>
      </c>
      <c r="X616" s="842">
        <f t="shared" si="562"/>
        <v>148.28970892000001</v>
      </c>
      <c r="Y616" s="842">
        <f t="shared" si="562"/>
        <v>4.7877627</v>
      </c>
      <c r="Z616" s="842">
        <f t="shared" si="562"/>
        <v>81.812290399999995</v>
      </c>
      <c r="AA616" s="842">
        <f t="shared" si="562"/>
        <v>100.30613584</v>
      </c>
      <c r="AB616" s="842">
        <f t="shared" si="562"/>
        <v>103.88373304536523</v>
      </c>
      <c r="AC616" s="842">
        <f t="shared" si="562"/>
        <v>35.80364853652285</v>
      </c>
      <c r="AD616" s="842">
        <f t="shared" si="562"/>
        <v>0</v>
      </c>
      <c r="AE616" s="842">
        <f t="shared" si="562"/>
        <v>0</v>
      </c>
      <c r="AF616" s="842">
        <f t="shared" si="562"/>
        <v>0</v>
      </c>
      <c r="AG616" s="842">
        <f t="shared" si="562"/>
        <v>0</v>
      </c>
      <c r="AH616" s="842">
        <f t="shared" si="562"/>
        <v>0</v>
      </c>
      <c r="AI616" s="842">
        <f t="shared" si="562"/>
        <v>0</v>
      </c>
      <c r="AJ616" s="842">
        <f t="shared" si="562"/>
        <v>0</v>
      </c>
      <c r="AK616" s="842">
        <f t="shared" si="562"/>
        <v>0</v>
      </c>
      <c r="AL616" s="842">
        <f t="shared" si="562"/>
        <v>0</v>
      </c>
      <c r="AM616" s="842">
        <f t="shared" si="562"/>
        <v>0</v>
      </c>
      <c r="AN616" s="842">
        <f t="shared" si="562"/>
        <v>0</v>
      </c>
      <c r="AO616" s="842">
        <f t="shared" si="562"/>
        <v>0</v>
      </c>
      <c r="AP616" s="842">
        <f t="shared" si="562"/>
        <v>0</v>
      </c>
      <c r="AQ616" s="842">
        <f t="shared" si="562"/>
        <v>0</v>
      </c>
      <c r="AR616" s="842">
        <f t="shared" si="562"/>
        <v>0</v>
      </c>
      <c r="AS616" s="842">
        <f t="shared" si="562"/>
        <v>0</v>
      </c>
    </row>
    <row r="617" spans="1:45" ht="15" customHeight="1" x14ac:dyDescent="0.3">
      <c r="A617" s="807"/>
      <c r="B617" s="164"/>
      <c r="C617" s="799"/>
      <c r="D617" s="463"/>
      <c r="E617" s="842" t="str">
        <f xml:space="preserve"> E$613</f>
        <v>SL Depreciation charge</v>
      </c>
      <c r="F617" s="842">
        <f t="shared" ref="F617:O617" si="563" xml:space="preserve"> F$613</f>
        <v>0</v>
      </c>
      <c r="G617" s="842" t="str">
        <f t="shared" si="563"/>
        <v>$ mn</v>
      </c>
      <c r="H617" s="842">
        <f t="shared" si="563"/>
        <v>0</v>
      </c>
      <c r="I617" s="842">
        <f t="shared" si="563"/>
        <v>684.22828451188809</v>
      </c>
      <c r="J617" s="842">
        <f t="shared" si="563"/>
        <v>0</v>
      </c>
      <c r="K617" s="842">
        <f t="shared" si="563"/>
        <v>0</v>
      </c>
      <c r="L617" s="842">
        <f t="shared" si="563"/>
        <v>0</v>
      </c>
      <c r="M617" s="842">
        <f t="shared" si="563"/>
        <v>0</v>
      </c>
      <c r="N617" s="842">
        <f t="shared" si="563"/>
        <v>0</v>
      </c>
      <c r="O617" s="842">
        <f t="shared" si="563"/>
        <v>0</v>
      </c>
      <c r="P617" s="842">
        <f t="shared" ref="P617:AS617" si="564" xml:space="preserve"> P$613</f>
        <v>0</v>
      </c>
      <c r="Q617" s="842">
        <f t="shared" si="564"/>
        <v>0</v>
      </c>
      <c r="R617" s="842">
        <f t="shared" si="564"/>
        <v>0</v>
      </c>
      <c r="S617" s="842">
        <f t="shared" si="564"/>
        <v>0</v>
      </c>
      <c r="T617" s="842">
        <f t="shared" si="564"/>
        <v>0</v>
      </c>
      <c r="U617" s="842">
        <f t="shared" si="564"/>
        <v>0</v>
      </c>
      <c r="V617" s="842">
        <f t="shared" si="564"/>
        <v>14.001611048571432</v>
      </c>
      <c r="W617" s="842">
        <f t="shared" si="564"/>
        <v>29.906429295714286</v>
      </c>
      <c r="X617" s="842">
        <f t="shared" si="564"/>
        <v>51.09067342714286</v>
      </c>
      <c r="Y617" s="842">
        <f t="shared" si="564"/>
        <v>51.77463952714286</v>
      </c>
      <c r="Z617" s="842">
        <f t="shared" si="564"/>
        <v>63.462109584285713</v>
      </c>
      <c r="AA617" s="842">
        <f t="shared" si="564"/>
        <v>77.791557561428576</v>
      </c>
      <c r="AB617" s="842">
        <f t="shared" si="564"/>
        <v>92.632090853623609</v>
      </c>
      <c r="AC617" s="842">
        <f t="shared" si="564"/>
        <v>83.745286738841159</v>
      </c>
      <c r="AD617" s="842">
        <f t="shared" si="564"/>
        <v>67.840468491698303</v>
      </c>
      <c r="AE617" s="842">
        <f t="shared" si="564"/>
        <v>46.656224360269725</v>
      </c>
      <c r="AF617" s="842">
        <f t="shared" si="564"/>
        <v>45.972258260269726</v>
      </c>
      <c r="AG617" s="842">
        <f t="shared" si="564"/>
        <v>34.284788203126872</v>
      </c>
      <c r="AH617" s="842">
        <f t="shared" si="564"/>
        <v>19.955340225984013</v>
      </c>
      <c r="AI617" s="842">
        <f t="shared" si="564"/>
        <v>5.1148069337889819</v>
      </c>
      <c r="AJ617" s="842">
        <f t="shared" si="564"/>
        <v>0</v>
      </c>
      <c r="AK617" s="842">
        <f t="shared" si="564"/>
        <v>0</v>
      </c>
      <c r="AL617" s="842">
        <f t="shared" si="564"/>
        <v>0</v>
      </c>
      <c r="AM617" s="842">
        <f t="shared" si="564"/>
        <v>0</v>
      </c>
      <c r="AN617" s="842">
        <f t="shared" si="564"/>
        <v>0</v>
      </c>
      <c r="AO617" s="842">
        <f t="shared" si="564"/>
        <v>0</v>
      </c>
      <c r="AP617" s="842">
        <f t="shared" si="564"/>
        <v>0</v>
      </c>
      <c r="AQ617" s="842">
        <f t="shared" si="564"/>
        <v>0</v>
      </c>
      <c r="AR617" s="842">
        <f t="shared" si="564"/>
        <v>0</v>
      </c>
      <c r="AS617" s="842">
        <f t="shared" si="564"/>
        <v>0</v>
      </c>
    </row>
    <row r="618" spans="1:45" ht="15" customHeight="1" x14ac:dyDescent="0.3">
      <c r="A618" s="807"/>
      <c r="B618" s="164"/>
      <c r="C618" s="799"/>
      <c r="D618" s="463"/>
      <c r="E618" s="842" t="s">
        <v>848</v>
      </c>
      <c r="F618" s="842"/>
      <c r="G618" s="842" t="s">
        <v>346</v>
      </c>
      <c r="H618" s="842"/>
      <c r="I618" s="842">
        <f>SUM(K618:AS618)</f>
        <v>-1.7763568394002505E-15</v>
      </c>
      <c r="J618" s="842"/>
      <c r="K618" s="842">
        <f t="shared" ref="K618:O618" si="565" xml:space="preserve"> IF(K606 = $F604, K615 + K616 - K617, 0)</f>
        <v>0</v>
      </c>
      <c r="L618" s="842">
        <f t="shared" si="565"/>
        <v>0</v>
      </c>
      <c r="M618" s="842">
        <f t="shared" si="565"/>
        <v>0</v>
      </c>
      <c r="N618" s="842">
        <f t="shared" si="565"/>
        <v>0</v>
      </c>
      <c r="O618" s="842">
        <f t="shared" si="565"/>
        <v>0</v>
      </c>
      <c r="P618" s="842">
        <f t="shared" ref="P618:AS618" si="566" xml:space="preserve"> IF(P606 = $F604, P615 + P616 - P617, 0)</f>
        <v>0</v>
      </c>
      <c r="Q618" s="842">
        <f t="shared" si="566"/>
        <v>0</v>
      </c>
      <c r="R618" s="842">
        <f t="shared" si="566"/>
        <v>0</v>
      </c>
      <c r="S618" s="842">
        <f t="shared" si="566"/>
        <v>0</v>
      </c>
      <c r="T618" s="842">
        <f t="shared" si="566"/>
        <v>0</v>
      </c>
      <c r="U618" s="842">
        <f t="shared" si="566"/>
        <v>0</v>
      </c>
      <c r="V618" s="842">
        <f t="shared" si="566"/>
        <v>0</v>
      </c>
      <c r="W618" s="842">
        <f t="shared" si="566"/>
        <v>0</v>
      </c>
      <c r="X618" s="842">
        <f t="shared" si="566"/>
        <v>0</v>
      </c>
      <c r="Y618" s="842">
        <f t="shared" si="566"/>
        <v>0</v>
      </c>
      <c r="Z618" s="842">
        <f t="shared" si="566"/>
        <v>0</v>
      </c>
      <c r="AA618" s="842">
        <f t="shared" si="566"/>
        <v>0</v>
      </c>
      <c r="AB618" s="842">
        <f t="shared" si="566"/>
        <v>0</v>
      </c>
      <c r="AC618" s="842">
        <f t="shared" si="566"/>
        <v>0</v>
      </c>
      <c r="AD618" s="842">
        <f t="shared" si="566"/>
        <v>0</v>
      </c>
      <c r="AE618" s="842">
        <f t="shared" si="566"/>
        <v>0</v>
      </c>
      <c r="AF618" s="842">
        <f t="shared" si="566"/>
        <v>0</v>
      </c>
      <c r="AG618" s="842">
        <f t="shared" si="566"/>
        <v>0</v>
      </c>
      <c r="AH618" s="842">
        <f t="shared" si="566"/>
        <v>0</v>
      </c>
      <c r="AI618" s="842">
        <f t="shared" si="566"/>
        <v>0</v>
      </c>
      <c r="AJ618" s="842">
        <f t="shared" si="566"/>
        <v>0</v>
      </c>
      <c r="AK618" s="842">
        <f t="shared" si="566"/>
        <v>-1.7763568394002505E-15</v>
      </c>
      <c r="AL618" s="842">
        <f t="shared" si="566"/>
        <v>0</v>
      </c>
      <c r="AM618" s="842">
        <f t="shared" si="566"/>
        <v>0</v>
      </c>
      <c r="AN618" s="842">
        <f t="shared" si="566"/>
        <v>0</v>
      </c>
      <c r="AO618" s="842">
        <f t="shared" si="566"/>
        <v>0</v>
      </c>
      <c r="AP618" s="842">
        <f t="shared" si="566"/>
        <v>0</v>
      </c>
      <c r="AQ618" s="842">
        <f t="shared" si="566"/>
        <v>0</v>
      </c>
      <c r="AR618" s="842">
        <f t="shared" si="566"/>
        <v>0</v>
      </c>
      <c r="AS618" s="842">
        <f t="shared" si="566"/>
        <v>0</v>
      </c>
    </row>
    <row r="619" spans="1:45" ht="15" customHeight="1" x14ac:dyDescent="0.3">
      <c r="A619" s="807"/>
      <c r="B619" s="164"/>
      <c r="C619" s="799"/>
      <c r="D619" s="463"/>
      <c r="E619" s="844" t="s">
        <v>849</v>
      </c>
      <c r="F619" s="844"/>
      <c r="G619" s="844"/>
      <c r="H619" s="844"/>
      <c r="I619" s="844"/>
      <c r="J619" s="845"/>
      <c r="K619" s="844">
        <f t="shared" ref="K619:O619" si="567" xml:space="preserve"> K615 + K616 - K617 - K618</f>
        <v>0</v>
      </c>
      <c r="L619" s="844">
        <f t="shared" si="567"/>
        <v>0</v>
      </c>
      <c r="M619" s="844">
        <f t="shared" si="567"/>
        <v>0</v>
      </c>
      <c r="N619" s="844">
        <f t="shared" si="567"/>
        <v>0</v>
      </c>
      <c r="O619" s="844">
        <f t="shared" si="567"/>
        <v>0</v>
      </c>
      <c r="P619" s="844">
        <f t="shared" ref="P619" si="568" xml:space="preserve"> P615 + P616 - P617 - P618</f>
        <v>0</v>
      </c>
      <c r="Q619" s="844">
        <f t="shared" ref="Q619:AS619" si="569" xml:space="preserve"> Q615 + Q616 - Q617 - Q618</f>
        <v>0</v>
      </c>
      <c r="R619" s="844">
        <f t="shared" si="569"/>
        <v>0</v>
      </c>
      <c r="S619" s="844">
        <f t="shared" si="569"/>
        <v>0</v>
      </c>
      <c r="T619" s="844">
        <f t="shared" si="569"/>
        <v>0</v>
      </c>
      <c r="U619" s="844">
        <f t="shared" si="569"/>
        <v>0</v>
      </c>
      <c r="V619" s="844">
        <f t="shared" si="569"/>
        <v>84.009666291428587</v>
      </c>
      <c r="W619" s="844">
        <f t="shared" si="569"/>
        <v>165.43696472571432</v>
      </c>
      <c r="X619" s="844">
        <f t="shared" si="569"/>
        <v>262.63600021857144</v>
      </c>
      <c r="Y619" s="844">
        <f t="shared" si="569"/>
        <v>215.64912339142856</v>
      </c>
      <c r="Z619" s="844">
        <f t="shared" si="569"/>
        <v>233.99930420714281</v>
      </c>
      <c r="AA619" s="844">
        <f t="shared" si="569"/>
        <v>256.51388248571425</v>
      </c>
      <c r="AB619" s="844">
        <f t="shared" si="569"/>
        <v>267.76552467745591</v>
      </c>
      <c r="AC619" s="844">
        <f t="shared" si="569"/>
        <v>219.82388647513761</v>
      </c>
      <c r="AD619" s="844">
        <f t="shared" si="569"/>
        <v>151.98341798343932</v>
      </c>
      <c r="AE619" s="844">
        <f t="shared" si="569"/>
        <v>105.32719362316959</v>
      </c>
      <c r="AF619" s="844">
        <f t="shared" si="569"/>
        <v>59.354935362899866</v>
      </c>
      <c r="AG619" s="844">
        <f t="shared" si="569"/>
        <v>25.070147159772993</v>
      </c>
      <c r="AH619" s="844">
        <f t="shared" si="569"/>
        <v>5.1148069337889801</v>
      </c>
      <c r="AI619" s="844">
        <f t="shared" si="569"/>
        <v>-1.7763568394002505E-15</v>
      </c>
      <c r="AJ619" s="844">
        <f t="shared" si="569"/>
        <v>-1.7763568394002505E-15</v>
      </c>
      <c r="AK619" s="844">
        <f t="shared" si="569"/>
        <v>0</v>
      </c>
      <c r="AL619" s="844">
        <f t="shared" si="569"/>
        <v>0</v>
      </c>
      <c r="AM619" s="844">
        <f t="shared" si="569"/>
        <v>0</v>
      </c>
      <c r="AN619" s="844">
        <f t="shared" si="569"/>
        <v>0</v>
      </c>
      <c r="AO619" s="844">
        <f t="shared" si="569"/>
        <v>0</v>
      </c>
      <c r="AP619" s="844">
        <f t="shared" si="569"/>
        <v>0</v>
      </c>
      <c r="AQ619" s="844">
        <f t="shared" si="569"/>
        <v>0</v>
      </c>
      <c r="AR619" s="844">
        <f t="shared" si="569"/>
        <v>0</v>
      </c>
      <c r="AS619" s="844">
        <f t="shared" si="569"/>
        <v>0</v>
      </c>
    </row>
    <row r="620" spans="1:45" ht="14.4" x14ac:dyDescent="0.3">
      <c r="A620" s="88"/>
      <c r="B620" s="88"/>
      <c r="C620" s="168"/>
      <c r="D620" s="168"/>
      <c r="E620" s="168"/>
      <c r="F620" s="168"/>
      <c r="G620" s="106"/>
      <c r="H620" s="168"/>
      <c r="I620" s="168"/>
      <c r="J620" s="168"/>
      <c r="K620" s="168"/>
      <c r="L620" s="168"/>
      <c r="M620" s="168"/>
      <c r="N620" s="168"/>
      <c r="O620" s="168"/>
      <c r="P620" s="168"/>
      <c r="Q620" s="168"/>
      <c r="R620" s="168"/>
      <c r="S620" s="168"/>
      <c r="T620" s="168"/>
      <c r="U620" s="168"/>
      <c r="V620" s="168"/>
      <c r="W620" s="168"/>
      <c r="X620" s="168"/>
      <c r="Y620" s="168"/>
      <c r="Z620" s="168"/>
      <c r="AA620" s="168"/>
      <c r="AB620" s="168"/>
      <c r="AC620" s="168"/>
      <c r="AD620" s="168"/>
      <c r="AE620" s="168"/>
      <c r="AF620" s="168"/>
      <c r="AG620" s="168"/>
      <c r="AH620" s="168"/>
      <c r="AI620" s="168"/>
      <c r="AJ620" s="168"/>
      <c r="AK620" s="168"/>
      <c r="AL620" s="168"/>
      <c r="AM620" s="168"/>
      <c r="AN620" s="168"/>
      <c r="AO620" s="168"/>
      <c r="AP620" s="168"/>
      <c r="AQ620" s="168"/>
      <c r="AR620" s="168"/>
      <c r="AS620" s="168"/>
    </row>
    <row r="621" spans="1:45" ht="15" customHeight="1" x14ac:dyDescent="0.3">
      <c r="A621" s="807"/>
      <c r="B621" s="164"/>
      <c r="C621" s="799"/>
      <c r="D621" s="463"/>
      <c r="E621" s="463" t="s">
        <v>850</v>
      </c>
      <c r="F621" s="463"/>
      <c r="G621" s="463" t="s">
        <v>346</v>
      </c>
      <c r="H621" s="463"/>
      <c r="I621" s="463">
        <f>SUM(K621:AS621)</f>
        <v>684.22828451188809</v>
      </c>
      <c r="J621" s="463"/>
      <c r="K621" s="463">
        <f t="shared" ref="K621:O621" si="570" xml:space="preserve"> K613 + K618</f>
        <v>0</v>
      </c>
      <c r="L621" s="463">
        <f t="shared" si="570"/>
        <v>0</v>
      </c>
      <c r="M621" s="463">
        <f t="shared" si="570"/>
        <v>0</v>
      </c>
      <c r="N621" s="463">
        <f t="shared" si="570"/>
        <v>0</v>
      </c>
      <c r="O621" s="463">
        <f t="shared" si="570"/>
        <v>0</v>
      </c>
      <c r="P621" s="463">
        <f t="shared" ref="P621:AS621" si="571" xml:space="preserve"> P613 + P618</f>
        <v>0</v>
      </c>
      <c r="Q621" s="463">
        <f t="shared" si="571"/>
        <v>0</v>
      </c>
      <c r="R621" s="463">
        <f t="shared" si="571"/>
        <v>0</v>
      </c>
      <c r="S621" s="463">
        <f t="shared" si="571"/>
        <v>0</v>
      </c>
      <c r="T621" s="463">
        <f t="shared" si="571"/>
        <v>0</v>
      </c>
      <c r="U621" s="463">
        <f t="shared" si="571"/>
        <v>0</v>
      </c>
      <c r="V621" s="463">
        <f t="shared" si="571"/>
        <v>14.001611048571432</v>
      </c>
      <c r="W621" s="463">
        <f t="shared" si="571"/>
        <v>29.906429295714286</v>
      </c>
      <c r="X621" s="463">
        <f t="shared" si="571"/>
        <v>51.09067342714286</v>
      </c>
      <c r="Y621" s="463">
        <f t="shared" si="571"/>
        <v>51.77463952714286</v>
      </c>
      <c r="Z621" s="463">
        <f t="shared" si="571"/>
        <v>63.462109584285713</v>
      </c>
      <c r="AA621" s="463">
        <f t="shared" si="571"/>
        <v>77.791557561428576</v>
      </c>
      <c r="AB621" s="463">
        <f t="shared" si="571"/>
        <v>92.632090853623609</v>
      </c>
      <c r="AC621" s="463">
        <f t="shared" si="571"/>
        <v>83.745286738841159</v>
      </c>
      <c r="AD621" s="463">
        <f t="shared" si="571"/>
        <v>67.840468491698303</v>
      </c>
      <c r="AE621" s="463">
        <f t="shared" si="571"/>
        <v>46.656224360269725</v>
      </c>
      <c r="AF621" s="463">
        <f t="shared" si="571"/>
        <v>45.972258260269726</v>
      </c>
      <c r="AG621" s="463">
        <f t="shared" si="571"/>
        <v>34.284788203126872</v>
      </c>
      <c r="AH621" s="463">
        <f t="shared" si="571"/>
        <v>19.955340225984013</v>
      </c>
      <c r="AI621" s="463">
        <f t="shared" si="571"/>
        <v>5.1148069337889819</v>
      </c>
      <c r="AJ621" s="463">
        <f t="shared" si="571"/>
        <v>0</v>
      </c>
      <c r="AK621" s="463">
        <f t="shared" si="571"/>
        <v>-1.7763568394002505E-15</v>
      </c>
      <c r="AL621" s="463">
        <f t="shared" si="571"/>
        <v>0</v>
      </c>
      <c r="AM621" s="463">
        <f t="shared" si="571"/>
        <v>0</v>
      </c>
      <c r="AN621" s="463">
        <f t="shared" si="571"/>
        <v>0</v>
      </c>
      <c r="AO621" s="463">
        <f t="shared" si="571"/>
        <v>0</v>
      </c>
      <c r="AP621" s="463">
        <f t="shared" si="571"/>
        <v>0</v>
      </c>
      <c r="AQ621" s="463">
        <f t="shared" si="571"/>
        <v>0</v>
      </c>
      <c r="AR621" s="463">
        <f t="shared" si="571"/>
        <v>0</v>
      </c>
      <c r="AS621" s="463">
        <f t="shared" si="571"/>
        <v>0</v>
      </c>
    </row>
    <row r="622" spans="1:45" ht="14.4" x14ac:dyDescent="0.3">
      <c r="A622" s="88"/>
      <c r="B622" s="88"/>
      <c r="C622" s="168"/>
      <c r="D622" s="168"/>
      <c r="E622" s="168"/>
      <c r="F622" s="168"/>
      <c r="G622" s="106"/>
      <c r="H622" s="168"/>
      <c r="I622" s="168"/>
      <c r="J622" s="168"/>
      <c r="K622" s="168"/>
      <c r="L622" s="168"/>
      <c r="M622" s="168"/>
      <c r="N622" s="168"/>
      <c r="O622" s="168"/>
      <c r="P622" s="168"/>
      <c r="Q622" s="168"/>
      <c r="R622" s="168"/>
      <c r="S622" s="168"/>
      <c r="T622" s="168"/>
      <c r="U622" s="168"/>
      <c r="V622" s="168"/>
      <c r="W622" s="168"/>
      <c r="X622" s="168"/>
      <c r="Y622" s="168"/>
      <c r="Z622" s="168"/>
      <c r="AA622" s="168"/>
      <c r="AB622" s="168"/>
      <c r="AC622" s="168"/>
      <c r="AD622" s="168"/>
      <c r="AE622" s="168"/>
      <c r="AF622" s="168"/>
      <c r="AG622" s="168"/>
      <c r="AH622" s="168"/>
      <c r="AI622" s="168"/>
      <c r="AJ622" s="168"/>
      <c r="AK622" s="168"/>
      <c r="AL622" s="168"/>
      <c r="AM622" s="168"/>
      <c r="AN622" s="168"/>
      <c r="AO622" s="168"/>
      <c r="AP622" s="168"/>
      <c r="AQ622" s="168"/>
      <c r="AR622" s="168"/>
      <c r="AS622" s="168"/>
    </row>
    <row r="623" spans="1:45" ht="14.4" x14ac:dyDescent="0.3">
      <c r="A623" s="88"/>
      <c r="B623" s="88"/>
      <c r="C623" s="623" t="s">
        <v>851</v>
      </c>
      <c r="D623" s="168"/>
      <c r="E623" s="168"/>
      <c r="F623" s="168"/>
      <c r="G623" s="106"/>
      <c r="H623" s="168"/>
      <c r="I623" s="168"/>
      <c r="J623" s="168"/>
      <c r="K623" s="168"/>
      <c r="L623" s="168"/>
      <c r="M623" s="168"/>
      <c r="N623" s="168"/>
      <c r="O623" s="168"/>
      <c r="P623" s="168"/>
      <c r="Q623" s="168"/>
      <c r="R623" s="168"/>
      <c r="S623" s="168"/>
      <c r="T623" s="168"/>
      <c r="U623" s="168"/>
      <c r="V623" s="168"/>
      <c r="W623" s="168"/>
      <c r="X623" s="168"/>
      <c r="Y623" s="168"/>
      <c r="Z623" s="168"/>
      <c r="AA623" s="168"/>
      <c r="AB623" s="168"/>
      <c r="AC623" s="168"/>
      <c r="AD623" s="168"/>
      <c r="AE623" s="168"/>
      <c r="AF623" s="168"/>
      <c r="AG623" s="168"/>
      <c r="AH623" s="168"/>
      <c r="AI623" s="168"/>
      <c r="AJ623" s="168"/>
      <c r="AK623" s="168"/>
      <c r="AL623" s="168"/>
      <c r="AM623" s="168"/>
      <c r="AN623" s="168"/>
      <c r="AO623" s="168"/>
      <c r="AP623" s="168"/>
      <c r="AQ623" s="168"/>
      <c r="AR623" s="168"/>
      <c r="AS623" s="168"/>
    </row>
    <row r="624" spans="1:45" ht="14.4" x14ac:dyDescent="0.3">
      <c r="A624" s="88"/>
      <c r="B624" s="88"/>
      <c r="C624" s="168"/>
      <c r="D624" s="168"/>
      <c r="E624" s="339" t="str">
        <f xml:space="preserve"> E$597</f>
        <v>DB depreciation charge</v>
      </c>
      <c r="F624" s="339">
        <f t="shared" ref="F624:O624" si="572" xml:space="preserve"> F$597</f>
        <v>0</v>
      </c>
      <c r="G624" s="339" t="str">
        <f t="shared" si="572"/>
        <v>$ mn</v>
      </c>
      <c r="H624" s="339">
        <f t="shared" si="572"/>
        <v>0</v>
      </c>
      <c r="I624" s="339">
        <f t="shared" si="572"/>
        <v>147.01691600999999</v>
      </c>
      <c r="J624" s="339">
        <f t="shared" si="572"/>
        <v>0</v>
      </c>
      <c r="K624" s="339">
        <f t="shared" si="572"/>
        <v>0</v>
      </c>
      <c r="L624" s="339">
        <f t="shared" si="572"/>
        <v>0</v>
      </c>
      <c r="M624" s="339">
        <f t="shared" si="572"/>
        <v>0</v>
      </c>
      <c r="N624" s="339">
        <f t="shared" si="572"/>
        <v>0</v>
      </c>
      <c r="O624" s="339">
        <f t="shared" si="572"/>
        <v>0</v>
      </c>
      <c r="P624" s="339">
        <f t="shared" ref="P624:AS624" si="573" xml:space="preserve"> P$597</f>
        <v>0</v>
      </c>
      <c r="Q624" s="339">
        <f t="shared" si="573"/>
        <v>0</v>
      </c>
      <c r="R624" s="339">
        <f t="shared" si="573"/>
        <v>0</v>
      </c>
      <c r="S624" s="339">
        <f t="shared" si="573"/>
        <v>0</v>
      </c>
      <c r="T624" s="339">
        <f t="shared" si="573"/>
        <v>0</v>
      </c>
      <c r="U624" s="339">
        <f t="shared" si="573"/>
        <v>0</v>
      </c>
      <c r="V624" s="339">
        <f t="shared" si="573"/>
        <v>147.01691600999999</v>
      </c>
      <c r="W624" s="339">
        <f t="shared" si="573"/>
        <v>0</v>
      </c>
      <c r="X624" s="339">
        <f t="shared" si="573"/>
        <v>0</v>
      </c>
      <c r="Y624" s="339">
        <f t="shared" si="573"/>
        <v>0</v>
      </c>
      <c r="Z624" s="339">
        <f t="shared" si="573"/>
        <v>0</v>
      </c>
      <c r="AA624" s="339">
        <f t="shared" si="573"/>
        <v>0</v>
      </c>
      <c r="AB624" s="339">
        <f t="shared" si="573"/>
        <v>0</v>
      </c>
      <c r="AC624" s="339">
        <f t="shared" si="573"/>
        <v>0</v>
      </c>
      <c r="AD624" s="339">
        <f t="shared" si="573"/>
        <v>0</v>
      </c>
      <c r="AE624" s="339">
        <f t="shared" si="573"/>
        <v>0</v>
      </c>
      <c r="AF624" s="339">
        <f t="shared" si="573"/>
        <v>0</v>
      </c>
      <c r="AG624" s="339">
        <f t="shared" si="573"/>
        <v>0</v>
      </c>
      <c r="AH624" s="339">
        <f t="shared" si="573"/>
        <v>0</v>
      </c>
      <c r="AI624" s="339">
        <f t="shared" si="573"/>
        <v>0</v>
      </c>
      <c r="AJ624" s="339">
        <f t="shared" si="573"/>
        <v>0</v>
      </c>
      <c r="AK624" s="339">
        <f t="shared" si="573"/>
        <v>0</v>
      </c>
      <c r="AL624" s="339">
        <f t="shared" si="573"/>
        <v>0</v>
      </c>
      <c r="AM624" s="339">
        <f t="shared" si="573"/>
        <v>0</v>
      </c>
      <c r="AN624" s="339">
        <f t="shared" si="573"/>
        <v>0</v>
      </c>
      <c r="AO624" s="339">
        <f t="shared" si="573"/>
        <v>0</v>
      </c>
      <c r="AP624" s="339">
        <f t="shared" si="573"/>
        <v>0</v>
      </c>
      <c r="AQ624" s="339">
        <f t="shared" si="573"/>
        <v>0</v>
      </c>
      <c r="AR624" s="339">
        <f t="shared" si="573"/>
        <v>0</v>
      </c>
      <c r="AS624" s="339">
        <f t="shared" si="573"/>
        <v>0</v>
      </c>
    </row>
    <row r="625" spans="1:45" ht="14.4" x14ac:dyDescent="0.3">
      <c r="A625" s="88"/>
      <c r="B625" s="88"/>
      <c r="C625" s="168"/>
      <c r="D625" s="168"/>
      <c r="E625" s="339" t="str">
        <f xml:space="preserve"> E$621</f>
        <v>SL depreciation charge incl. last year w/off</v>
      </c>
      <c r="F625" s="339">
        <f t="shared" ref="F625:O625" si="574" xml:space="preserve"> F$621</f>
        <v>0</v>
      </c>
      <c r="G625" s="339" t="str">
        <f t="shared" si="574"/>
        <v>$ mn</v>
      </c>
      <c r="H625" s="339">
        <f t="shared" si="574"/>
        <v>0</v>
      </c>
      <c r="I625" s="339">
        <f t="shared" si="574"/>
        <v>684.22828451188809</v>
      </c>
      <c r="J625" s="339">
        <f t="shared" si="574"/>
        <v>0</v>
      </c>
      <c r="K625" s="339">
        <f t="shared" si="574"/>
        <v>0</v>
      </c>
      <c r="L625" s="339">
        <f t="shared" si="574"/>
        <v>0</v>
      </c>
      <c r="M625" s="339">
        <f t="shared" si="574"/>
        <v>0</v>
      </c>
      <c r="N625" s="339">
        <f t="shared" si="574"/>
        <v>0</v>
      </c>
      <c r="O625" s="339">
        <f t="shared" si="574"/>
        <v>0</v>
      </c>
      <c r="P625" s="339">
        <f t="shared" ref="P625:AS625" si="575" xml:space="preserve"> P$621</f>
        <v>0</v>
      </c>
      <c r="Q625" s="339">
        <f t="shared" si="575"/>
        <v>0</v>
      </c>
      <c r="R625" s="339">
        <f t="shared" si="575"/>
        <v>0</v>
      </c>
      <c r="S625" s="339">
        <f t="shared" si="575"/>
        <v>0</v>
      </c>
      <c r="T625" s="339">
        <f t="shared" si="575"/>
        <v>0</v>
      </c>
      <c r="U625" s="339">
        <f t="shared" si="575"/>
        <v>0</v>
      </c>
      <c r="V625" s="339">
        <f t="shared" si="575"/>
        <v>14.001611048571432</v>
      </c>
      <c r="W625" s="339">
        <f t="shared" si="575"/>
        <v>29.906429295714286</v>
      </c>
      <c r="X625" s="339">
        <f t="shared" si="575"/>
        <v>51.09067342714286</v>
      </c>
      <c r="Y625" s="339">
        <f t="shared" si="575"/>
        <v>51.77463952714286</v>
      </c>
      <c r="Z625" s="339">
        <f t="shared" si="575"/>
        <v>63.462109584285713</v>
      </c>
      <c r="AA625" s="339">
        <f t="shared" si="575"/>
        <v>77.791557561428576</v>
      </c>
      <c r="AB625" s="339">
        <f t="shared" si="575"/>
        <v>92.632090853623609</v>
      </c>
      <c r="AC625" s="339">
        <f t="shared" si="575"/>
        <v>83.745286738841159</v>
      </c>
      <c r="AD625" s="339">
        <f t="shared" si="575"/>
        <v>67.840468491698303</v>
      </c>
      <c r="AE625" s="339">
        <f t="shared" si="575"/>
        <v>46.656224360269725</v>
      </c>
      <c r="AF625" s="339">
        <f t="shared" si="575"/>
        <v>45.972258260269726</v>
      </c>
      <c r="AG625" s="339">
        <f t="shared" si="575"/>
        <v>34.284788203126872</v>
      </c>
      <c r="AH625" s="339">
        <f t="shared" si="575"/>
        <v>19.955340225984013</v>
      </c>
      <c r="AI625" s="339">
        <f t="shared" si="575"/>
        <v>5.1148069337889819</v>
      </c>
      <c r="AJ625" s="339">
        <f t="shared" si="575"/>
        <v>0</v>
      </c>
      <c r="AK625" s="339">
        <f t="shared" si="575"/>
        <v>-1.7763568394002505E-15</v>
      </c>
      <c r="AL625" s="339">
        <f t="shared" si="575"/>
        <v>0</v>
      </c>
      <c r="AM625" s="339">
        <f t="shared" si="575"/>
        <v>0</v>
      </c>
      <c r="AN625" s="339">
        <f t="shared" si="575"/>
        <v>0</v>
      </c>
      <c r="AO625" s="339">
        <f t="shared" si="575"/>
        <v>0</v>
      </c>
      <c r="AP625" s="339">
        <f t="shared" si="575"/>
        <v>0</v>
      </c>
      <c r="AQ625" s="339">
        <f t="shared" si="575"/>
        <v>0</v>
      </c>
      <c r="AR625" s="339">
        <f t="shared" si="575"/>
        <v>0</v>
      </c>
      <c r="AS625" s="339">
        <f t="shared" si="575"/>
        <v>0</v>
      </c>
    </row>
    <row r="626" spans="1:45" ht="14.4" x14ac:dyDescent="0.3">
      <c r="A626" s="341"/>
      <c r="B626" s="341"/>
      <c r="C626" s="554"/>
      <c r="D626" s="554"/>
      <c r="E626" s="556" t="s">
        <v>1065</v>
      </c>
      <c r="F626" s="556" t="s">
        <v>553</v>
      </c>
      <c r="G626" s="556" t="s">
        <v>346</v>
      </c>
      <c r="H626" s="556"/>
      <c r="I626" s="556">
        <f>SUM(K626:AS626)</f>
        <v>831.24520052188802</v>
      </c>
      <c r="J626" s="556"/>
      <c r="K626" s="556">
        <f t="shared" ref="K626:O626" si="576">SUM(K624:K625)</f>
        <v>0</v>
      </c>
      <c r="L626" s="556">
        <f t="shared" si="576"/>
        <v>0</v>
      </c>
      <c r="M626" s="556">
        <f t="shared" si="576"/>
        <v>0</v>
      </c>
      <c r="N626" s="556">
        <f t="shared" si="576"/>
        <v>0</v>
      </c>
      <c r="O626" s="556">
        <f t="shared" si="576"/>
        <v>0</v>
      </c>
      <c r="P626" s="556">
        <f>SUM(P624:P625)</f>
        <v>0</v>
      </c>
      <c r="Q626" s="556">
        <f t="shared" ref="Q626:AS626" si="577">SUM(Q624:Q625)</f>
        <v>0</v>
      </c>
      <c r="R626" s="556">
        <f t="shared" si="577"/>
        <v>0</v>
      </c>
      <c r="S626" s="556">
        <f t="shared" si="577"/>
        <v>0</v>
      </c>
      <c r="T626" s="556">
        <f t="shared" si="577"/>
        <v>0</v>
      </c>
      <c r="U626" s="556">
        <f t="shared" si="577"/>
        <v>0</v>
      </c>
      <c r="V626" s="556">
        <f t="shared" si="577"/>
        <v>161.01852705857141</v>
      </c>
      <c r="W626" s="556">
        <f t="shared" si="577"/>
        <v>29.906429295714286</v>
      </c>
      <c r="X626" s="556">
        <f t="shared" si="577"/>
        <v>51.09067342714286</v>
      </c>
      <c r="Y626" s="556">
        <f t="shared" si="577"/>
        <v>51.77463952714286</v>
      </c>
      <c r="Z626" s="556">
        <f t="shared" si="577"/>
        <v>63.462109584285713</v>
      </c>
      <c r="AA626" s="556">
        <f t="shared" si="577"/>
        <v>77.791557561428576</v>
      </c>
      <c r="AB626" s="556">
        <f t="shared" si="577"/>
        <v>92.632090853623609</v>
      </c>
      <c r="AC626" s="556">
        <f t="shared" si="577"/>
        <v>83.745286738841159</v>
      </c>
      <c r="AD626" s="556">
        <f t="shared" si="577"/>
        <v>67.840468491698303</v>
      </c>
      <c r="AE626" s="556">
        <f t="shared" si="577"/>
        <v>46.656224360269725</v>
      </c>
      <c r="AF626" s="556">
        <f t="shared" si="577"/>
        <v>45.972258260269726</v>
      </c>
      <c r="AG626" s="556">
        <f t="shared" si="577"/>
        <v>34.284788203126872</v>
      </c>
      <c r="AH626" s="556">
        <f t="shared" si="577"/>
        <v>19.955340225984013</v>
      </c>
      <c r="AI626" s="556">
        <f t="shared" si="577"/>
        <v>5.1148069337889819</v>
      </c>
      <c r="AJ626" s="556">
        <f t="shared" si="577"/>
        <v>0</v>
      </c>
      <c r="AK626" s="556">
        <f t="shared" si="577"/>
        <v>-1.7763568394002505E-15</v>
      </c>
      <c r="AL626" s="556">
        <f t="shared" si="577"/>
        <v>0</v>
      </c>
      <c r="AM626" s="556">
        <f t="shared" si="577"/>
        <v>0</v>
      </c>
      <c r="AN626" s="556">
        <f t="shared" si="577"/>
        <v>0</v>
      </c>
      <c r="AO626" s="556">
        <f t="shared" si="577"/>
        <v>0</v>
      </c>
      <c r="AP626" s="556">
        <f t="shared" si="577"/>
        <v>0</v>
      </c>
      <c r="AQ626" s="556">
        <f t="shared" si="577"/>
        <v>0</v>
      </c>
      <c r="AR626" s="556">
        <f t="shared" si="577"/>
        <v>0</v>
      </c>
      <c r="AS626" s="556">
        <f t="shared" si="577"/>
        <v>0</v>
      </c>
    </row>
    <row r="627" spans="1:45" ht="14.4" x14ac:dyDescent="0.3">
      <c r="A627" s="88"/>
      <c r="B627" s="88"/>
      <c r="C627" s="168"/>
      <c r="D627" s="168"/>
      <c r="E627" s="168"/>
      <c r="F627" s="168"/>
      <c r="G627" s="106"/>
      <c r="H627" s="168"/>
      <c r="I627" s="168"/>
      <c r="J627" s="168"/>
      <c r="K627" s="168"/>
      <c r="L627" s="168"/>
      <c r="M627" s="168"/>
      <c r="N627" s="168"/>
      <c r="O627" s="168"/>
      <c r="P627" s="168"/>
      <c r="Q627" s="168"/>
      <c r="R627" s="168"/>
      <c r="S627" s="168"/>
      <c r="T627" s="168"/>
      <c r="U627" s="168"/>
      <c r="V627" s="168"/>
      <c r="W627" s="168"/>
      <c r="X627" s="168"/>
      <c r="Y627" s="168"/>
      <c r="Z627" s="168"/>
      <c r="AA627" s="168"/>
      <c r="AB627" s="168"/>
      <c r="AC627" s="168"/>
      <c r="AD627" s="168"/>
      <c r="AE627" s="168"/>
      <c r="AF627" s="168"/>
      <c r="AG627" s="168"/>
      <c r="AH627" s="168"/>
      <c r="AI627" s="168"/>
      <c r="AJ627" s="168"/>
      <c r="AK627" s="168"/>
      <c r="AL627" s="168"/>
      <c r="AM627" s="168"/>
      <c r="AN627" s="168"/>
      <c r="AO627" s="168"/>
      <c r="AP627" s="168"/>
      <c r="AQ627" s="168"/>
      <c r="AR627" s="168"/>
      <c r="AS627" s="168"/>
    </row>
    <row r="628" spans="1:45" ht="14.4" x14ac:dyDescent="0.3">
      <c r="A628" s="88"/>
      <c r="C628" s="289" t="s">
        <v>561</v>
      </c>
      <c r="D628" s="168"/>
      <c r="E628" s="168"/>
      <c r="F628" s="168"/>
      <c r="G628" s="106"/>
      <c r="H628" s="168"/>
      <c r="I628" s="168"/>
      <c r="J628" s="168"/>
      <c r="K628" s="168"/>
      <c r="L628" s="168"/>
      <c r="M628" s="168"/>
      <c r="N628" s="168"/>
      <c r="O628" s="168"/>
      <c r="P628" s="168"/>
      <c r="Q628" s="168"/>
      <c r="R628" s="168"/>
      <c r="S628" s="168"/>
      <c r="T628" s="168"/>
      <c r="U628" s="168"/>
      <c r="V628" s="168"/>
      <c r="W628" s="168"/>
      <c r="X628" s="168"/>
      <c r="Y628" s="168"/>
      <c r="Z628" s="168"/>
      <c r="AA628" s="168"/>
      <c r="AB628" s="168"/>
      <c r="AC628" s="168"/>
      <c r="AD628" s="168"/>
      <c r="AE628" s="168"/>
      <c r="AF628" s="168"/>
      <c r="AG628" s="168"/>
      <c r="AH628" s="168"/>
      <c r="AI628" s="168"/>
      <c r="AJ628" s="168"/>
      <c r="AK628" s="168"/>
      <c r="AL628" s="168"/>
      <c r="AM628" s="168"/>
      <c r="AN628" s="168"/>
      <c r="AO628" s="168"/>
      <c r="AP628" s="168"/>
      <c r="AQ628" s="168"/>
      <c r="AR628" s="168"/>
      <c r="AS628" s="168"/>
    </row>
    <row r="629" spans="1:45" s="1187" customFormat="1" ht="14.4" x14ac:dyDescent="0.3">
      <c r="A629" s="1184"/>
      <c r="B629" s="1185"/>
      <c r="C629" s="1181"/>
      <c r="D629" s="1181"/>
      <c r="E629" s="1186" t="str">
        <f xml:space="preserve"> COMMUS_23FS_Model!E$312</f>
        <v>Depreciation: FS</v>
      </c>
      <c r="F629" s="1186" t="str">
        <f xml:space="preserve"> COMMUS_23FS_Model!F$312</f>
        <v>FS</v>
      </c>
      <c r="G629" s="1186" t="str">
        <f xml:space="preserve"> COMMUS_23FS_Model!G$312</f>
        <v>$ mn</v>
      </c>
      <c r="H629" s="1186">
        <f xml:space="preserve"> COMMUS_23FS_Model!H$312</f>
        <v>0</v>
      </c>
      <c r="I629" s="1186">
        <f xml:space="preserve"> COMMUS_23FS_Model!I$312</f>
        <v>730.01099999999985</v>
      </c>
      <c r="J629" s="1186">
        <f xml:space="preserve"> COMMUS_23FS_Model!J$312</f>
        <v>0</v>
      </c>
      <c r="K629" s="1186">
        <f xml:space="preserve"> COMMUS_23FS_Model!K$312</f>
        <v>0</v>
      </c>
      <c r="L629" s="1186">
        <f xml:space="preserve"> COMMUS_23FS_Model!L$312</f>
        <v>0</v>
      </c>
      <c r="M629" s="1186">
        <f xml:space="preserve"> COMMUS_23FS_Model!M$312</f>
        <v>0</v>
      </c>
      <c r="N629" s="1186">
        <f xml:space="preserve"> COMMUS_23FS_Model!N$312</f>
        <v>0</v>
      </c>
      <c r="O629" s="1186">
        <f xml:space="preserve"> COMMUS_23FS_Model!O$312</f>
        <v>0</v>
      </c>
      <c r="P629" s="1186">
        <f xml:space="preserve"> COMMUS_23FS_Model!P$312</f>
        <v>0</v>
      </c>
      <c r="Q629" s="1186">
        <f xml:space="preserve"> COMMUS_23FS_Model!Q$312</f>
        <v>0</v>
      </c>
      <c r="R629" s="1186">
        <f xml:space="preserve"> COMMUS_23FS_Model!R$312</f>
        <v>0</v>
      </c>
      <c r="S629" s="1186">
        <f xml:space="preserve"> COMMUS_23FS_Model!S$312</f>
        <v>0</v>
      </c>
      <c r="T629" s="1186">
        <f xml:space="preserve"> COMMUS_23FS_Model!T$312</f>
        <v>0</v>
      </c>
      <c r="U629" s="1186">
        <f xml:space="preserve"> COMMUS_23FS_Model!U$312</f>
        <v>0</v>
      </c>
      <c r="V629" s="1186">
        <f xml:space="preserve"> COMMUS_23FS_Model!V$312</f>
        <v>15.738</v>
      </c>
      <c r="W629" s="1186">
        <f xml:space="preserve"> COMMUS_23FS_Model!W$312</f>
        <v>26.286000000000001</v>
      </c>
      <c r="X629" s="1186">
        <f xml:space="preserve"> COMMUS_23FS_Model!X$312</f>
        <v>47.813000000000002</v>
      </c>
      <c r="Y629" s="1186">
        <f xml:space="preserve"> COMMUS_23FS_Model!Y$312</f>
        <v>64.415000000000006</v>
      </c>
      <c r="Z629" s="1186">
        <f xml:space="preserve"> COMMUS_23FS_Model!Z$312</f>
        <v>68.094999999999999</v>
      </c>
      <c r="AA629" s="1186">
        <f xml:space="preserve"> COMMUS_23FS_Model!AA$312</f>
        <v>63.457999999999998</v>
      </c>
      <c r="AB629" s="1186">
        <f xml:space="preserve"> COMMUS_23FS_Model!AB$312</f>
        <v>63.457999999999998</v>
      </c>
      <c r="AC629" s="1186">
        <f xml:space="preserve"> COMMUS_23FS_Model!AC$312</f>
        <v>63.457999999999998</v>
      </c>
      <c r="AD629" s="1186">
        <f xml:space="preserve"> COMMUS_23FS_Model!AD$312</f>
        <v>63.457999999999998</v>
      </c>
      <c r="AE629" s="1186">
        <f xml:space="preserve"> COMMUS_23FS_Model!AE$312</f>
        <v>63.457999999999998</v>
      </c>
      <c r="AF629" s="1186">
        <f xml:space="preserve"> COMMUS_23FS_Model!AF$312</f>
        <v>63.457999999999998</v>
      </c>
      <c r="AG629" s="1186">
        <f xml:space="preserve"> COMMUS_23FS_Model!AG$312</f>
        <v>63.457999999999998</v>
      </c>
      <c r="AH629" s="1186">
        <f xml:space="preserve"> COMMUS_23FS_Model!AH$312</f>
        <v>63.457999999999998</v>
      </c>
      <c r="AI629" s="1186">
        <f xml:space="preserve"> COMMUS_23FS_Model!AI$312</f>
        <v>0</v>
      </c>
      <c r="AJ629" s="1186">
        <f xml:space="preserve"> COMMUS_23FS_Model!AJ$312</f>
        <v>0</v>
      </c>
      <c r="AK629" s="1186">
        <f xml:space="preserve"> COMMUS_23FS_Model!AK$312</f>
        <v>0</v>
      </c>
      <c r="AL629" s="1186">
        <f xml:space="preserve"> COMMUS_23FS_Model!AL$312</f>
        <v>0</v>
      </c>
      <c r="AM629" s="1186">
        <f xml:space="preserve"> COMMUS_23FS_Model!AM$312</f>
        <v>0</v>
      </c>
      <c r="AN629" s="1186">
        <f xml:space="preserve"> COMMUS_23FS_Model!AN$312</f>
        <v>0</v>
      </c>
      <c r="AO629" s="1186">
        <f xml:space="preserve"> COMMUS_23FS_Model!AO$312</f>
        <v>0</v>
      </c>
      <c r="AP629" s="1186">
        <f xml:space="preserve"> COMMUS_23FS_Model!AP$312</f>
        <v>0</v>
      </c>
      <c r="AQ629" s="1186">
        <f xml:space="preserve"> COMMUS_23FS_Model!AQ$312</f>
        <v>0</v>
      </c>
      <c r="AR629" s="1186">
        <f xml:space="preserve"> COMMUS_23FS_Model!AR$312</f>
        <v>0</v>
      </c>
      <c r="AS629" s="1186">
        <f xml:space="preserve"> COMMUS_23FS_Model!AS$312</f>
        <v>0</v>
      </c>
    </row>
    <row r="630" spans="1:45" ht="14.4" x14ac:dyDescent="0.3">
      <c r="A630" s="88"/>
      <c r="C630" s="168"/>
      <c r="D630" s="168"/>
      <c r="E630" s="177"/>
      <c r="F630" s="177"/>
      <c r="G630" s="177"/>
      <c r="H630" s="177"/>
      <c r="I630" s="177"/>
      <c r="J630" s="177"/>
      <c r="K630" s="177"/>
      <c r="L630" s="177"/>
      <c r="M630" s="177"/>
      <c r="N630" s="177"/>
      <c r="O630" s="177"/>
      <c r="P630" s="177"/>
      <c r="Q630" s="177"/>
      <c r="R630" s="177"/>
      <c r="S630" s="177"/>
      <c r="T630" s="177"/>
      <c r="U630" s="177"/>
      <c r="V630" s="177"/>
      <c r="W630" s="177"/>
      <c r="X630" s="177"/>
      <c r="Y630" s="177"/>
      <c r="Z630" s="177"/>
      <c r="AA630" s="177"/>
      <c r="AB630" s="177"/>
      <c r="AC630" s="177"/>
      <c r="AD630" s="177"/>
      <c r="AE630" s="177"/>
      <c r="AF630" s="177"/>
      <c r="AG630" s="177"/>
      <c r="AH630" s="177"/>
      <c r="AI630" s="177"/>
      <c r="AJ630" s="177"/>
      <c r="AK630" s="177"/>
      <c r="AL630" s="177"/>
      <c r="AM630" s="177"/>
      <c r="AN630" s="177"/>
      <c r="AO630" s="177"/>
      <c r="AP630" s="177"/>
      <c r="AQ630" s="177"/>
      <c r="AR630" s="177"/>
      <c r="AS630" s="177"/>
    </row>
    <row r="631" spans="1:45" ht="15" customHeight="1" x14ac:dyDescent="0.3">
      <c r="A631" s="765"/>
      <c r="C631" s="696" t="s">
        <v>1034</v>
      </c>
      <c r="D631" s="765"/>
      <c r="E631" s="765"/>
      <c r="F631" s="765"/>
      <c r="G631" s="765"/>
      <c r="H631" s="765"/>
      <c r="I631" s="765"/>
      <c r="J631" s="765"/>
      <c r="K631" s="540"/>
      <c r="L631" s="540"/>
      <c r="M631" s="540"/>
      <c r="N631" s="540"/>
      <c r="O631" s="540"/>
      <c r="P631" s="540"/>
      <c r="Q631" s="540"/>
      <c r="R631" s="540"/>
      <c r="S631" s="540"/>
      <c r="T631" s="540"/>
      <c r="U631" s="540"/>
      <c r="V631" s="540"/>
      <c r="W631" s="540"/>
      <c r="X631" s="540"/>
      <c r="Y631" s="540"/>
      <c r="Z631" s="540"/>
      <c r="AA631" s="540"/>
      <c r="AB631" s="540"/>
      <c r="AC631" s="540"/>
      <c r="AD631" s="540"/>
      <c r="AE631" s="540"/>
      <c r="AF631" s="540"/>
      <c r="AG631" s="540"/>
      <c r="AH631" s="540"/>
      <c r="AI631" s="540"/>
      <c r="AJ631" s="540"/>
      <c r="AK631" s="540"/>
      <c r="AL631" s="540"/>
      <c r="AM631" s="540"/>
      <c r="AN631" s="540"/>
      <c r="AO631" s="540"/>
      <c r="AP631" s="540"/>
      <c r="AQ631" s="540"/>
      <c r="AR631" s="540"/>
      <c r="AS631" s="540"/>
    </row>
    <row r="632" spans="1:45" ht="15" customHeight="1" x14ac:dyDescent="0.3">
      <c r="A632" s="530"/>
      <c r="B632" s="531"/>
      <c r="C632" s="532"/>
      <c r="D632" s="257"/>
      <c r="E632" s="655" t="str">
        <f xml:space="preserve"> Inputs_TS!E$20</f>
        <v>Capital cost sensitivity (forecast period)</v>
      </c>
      <c r="F632" s="655">
        <f xml:space="preserve"> Inputs_TS!F$20</f>
        <v>0</v>
      </c>
      <c r="G632" s="655" t="str">
        <f xml:space="preserve"> Inputs_TS!G$20</f>
        <v>%</v>
      </c>
      <c r="H632" s="655">
        <f xml:space="preserve"> Inputs_TS!H$20</f>
        <v>0</v>
      </c>
      <c r="I632" s="655">
        <f xml:space="preserve"> Inputs_TS!I$20</f>
        <v>0</v>
      </c>
      <c r="J632" s="655">
        <f xml:space="preserve"> Inputs_TS!J$20</f>
        <v>0</v>
      </c>
      <c r="K632" s="782">
        <f xml:space="preserve"> Inputs_TS!K$20</f>
        <v>1</v>
      </c>
      <c r="L632" s="782">
        <f xml:space="preserve"> Inputs_TS!L$20</f>
        <v>1</v>
      </c>
      <c r="M632" s="782">
        <f xml:space="preserve"> Inputs_TS!M$20</f>
        <v>1</v>
      </c>
      <c r="N632" s="782">
        <f xml:space="preserve"> Inputs_TS!N$20</f>
        <v>1</v>
      </c>
      <c r="O632" s="782">
        <f xml:space="preserve"> Inputs_TS!O$20</f>
        <v>1</v>
      </c>
      <c r="P632" s="782">
        <f xml:space="preserve"> Inputs_TS!P$20</f>
        <v>1</v>
      </c>
      <c r="Q632" s="782">
        <f xml:space="preserve"> Inputs_TS!Q$20</f>
        <v>1</v>
      </c>
      <c r="R632" s="782">
        <f xml:space="preserve"> Inputs_TS!R$20</f>
        <v>1</v>
      </c>
      <c r="S632" s="782">
        <f xml:space="preserve"> Inputs_TS!S$20</f>
        <v>1</v>
      </c>
      <c r="T632" s="782">
        <f xml:space="preserve"> Inputs_TS!T$20</f>
        <v>1</v>
      </c>
      <c r="U632" s="782">
        <f xml:space="preserve"> Inputs_TS!U$20</f>
        <v>1</v>
      </c>
      <c r="V632" s="782">
        <f xml:space="preserve"> Inputs_TS!V$20</f>
        <v>1</v>
      </c>
      <c r="W632" s="782">
        <f xml:space="preserve"> Inputs_TS!W$20</f>
        <v>1</v>
      </c>
      <c r="X632" s="782">
        <f xml:space="preserve"> Inputs_TS!X$20</f>
        <v>1</v>
      </c>
      <c r="Y632" s="782">
        <f xml:space="preserve"> Inputs_TS!Y$20</f>
        <v>1</v>
      </c>
      <c r="Z632" s="782">
        <f xml:space="preserve"> Inputs_TS!Z$20</f>
        <v>1</v>
      </c>
      <c r="AA632" s="782">
        <f xml:space="preserve"> Inputs_TS!AA$20</f>
        <v>1</v>
      </c>
      <c r="AB632" s="782">
        <f xml:space="preserve"> Inputs_TS!AB$20</f>
        <v>1</v>
      </c>
      <c r="AC632" s="782">
        <f xml:space="preserve"> Inputs_TS!AC$20</f>
        <v>1</v>
      </c>
      <c r="AD632" s="782">
        <f xml:space="preserve"> Inputs_TS!AD$20</f>
        <v>1</v>
      </c>
      <c r="AE632" s="782">
        <f xml:space="preserve"> Inputs_TS!AE$20</f>
        <v>1</v>
      </c>
      <c r="AF632" s="782">
        <f xml:space="preserve"> Inputs_TS!AF$20</f>
        <v>1</v>
      </c>
      <c r="AG632" s="782">
        <f xml:space="preserve"> Inputs_TS!AG$20</f>
        <v>1</v>
      </c>
      <c r="AH632" s="782">
        <f xml:space="preserve"> Inputs_TS!AH$20</f>
        <v>1</v>
      </c>
      <c r="AI632" s="782">
        <f xml:space="preserve"> Inputs_TS!AI$20</f>
        <v>1</v>
      </c>
      <c r="AJ632" s="782">
        <f xml:space="preserve"> Inputs_TS!AJ$20</f>
        <v>1</v>
      </c>
      <c r="AK632" s="782">
        <f xml:space="preserve"> Inputs_TS!AK$20</f>
        <v>1</v>
      </c>
      <c r="AL632" s="782">
        <f xml:space="preserve"> Inputs_TS!AL$20</f>
        <v>1</v>
      </c>
      <c r="AM632" s="782">
        <f xml:space="preserve"> Inputs_TS!AM$20</f>
        <v>1</v>
      </c>
      <c r="AN632" s="782">
        <f xml:space="preserve"> Inputs_TS!AN$20</f>
        <v>1</v>
      </c>
      <c r="AO632" s="782">
        <f xml:space="preserve"> Inputs_TS!AO$20</f>
        <v>1</v>
      </c>
      <c r="AP632" s="782">
        <f xml:space="preserve"> Inputs_TS!AP$20</f>
        <v>1</v>
      </c>
      <c r="AQ632" s="782">
        <f xml:space="preserve"> Inputs_TS!AQ$20</f>
        <v>1</v>
      </c>
      <c r="AR632" s="782">
        <f xml:space="preserve"> Inputs_TS!AR$20</f>
        <v>1</v>
      </c>
      <c r="AS632" s="782">
        <f xml:space="preserve"> Inputs_TS!AS$20</f>
        <v>1</v>
      </c>
    </row>
    <row r="633" spans="1:45" ht="15" customHeight="1" x14ac:dyDescent="0.3">
      <c r="A633" s="530"/>
      <c r="B633" s="531"/>
      <c r="C633" s="532"/>
      <c r="D633" s="257"/>
      <c r="E633" s="655" t="str">
        <f xml:space="preserve"> 'T&amp;E'!E$38</f>
        <v>USD CPI Inflation (incl forecast) from 2025</v>
      </c>
      <c r="F633" s="655">
        <f xml:space="preserve"> 'T&amp;E'!F$38</f>
        <v>0</v>
      </c>
      <c r="G633" s="655" t="str">
        <f xml:space="preserve"> 'T&amp;E'!G$38</f>
        <v>index</v>
      </c>
      <c r="H633" s="655">
        <f xml:space="preserve"> 'T&amp;E'!H$38</f>
        <v>0</v>
      </c>
      <c r="I633" s="655">
        <f xml:space="preserve"> 'T&amp;E'!I$38</f>
        <v>0</v>
      </c>
      <c r="J633" s="655">
        <f xml:space="preserve"> 'T&amp;E'!J$38</f>
        <v>0</v>
      </c>
      <c r="K633" s="1081">
        <f xml:space="preserve"> 'T&amp;E'!K$38</f>
        <v>1</v>
      </c>
      <c r="L633" s="1081">
        <f xml:space="preserve"> 'T&amp;E'!L$38</f>
        <v>1</v>
      </c>
      <c r="M633" s="1081">
        <f xml:space="preserve"> 'T&amp;E'!M$38</f>
        <v>1</v>
      </c>
      <c r="N633" s="1081">
        <f xml:space="preserve"> 'T&amp;E'!N$38</f>
        <v>1</v>
      </c>
      <c r="O633" s="1081">
        <f xml:space="preserve"> 'T&amp;E'!O$38</f>
        <v>1</v>
      </c>
      <c r="P633" s="1081">
        <f xml:space="preserve"> 'T&amp;E'!P$38</f>
        <v>1</v>
      </c>
      <c r="Q633" s="1081">
        <f xml:space="preserve"> 'T&amp;E'!Q$38</f>
        <v>1</v>
      </c>
      <c r="R633" s="1081">
        <f xml:space="preserve"> 'T&amp;E'!R$38</f>
        <v>1</v>
      </c>
      <c r="S633" s="1081">
        <f xml:space="preserve"> 'T&amp;E'!S$38</f>
        <v>1</v>
      </c>
      <c r="T633" s="1081">
        <f xml:space="preserve"> 'T&amp;E'!T$38</f>
        <v>1</v>
      </c>
      <c r="U633" s="1081">
        <f xml:space="preserve"> 'T&amp;E'!U$38</f>
        <v>1</v>
      </c>
      <c r="V633" s="1081">
        <f xml:space="preserve"> 'T&amp;E'!V$38</f>
        <v>1</v>
      </c>
      <c r="W633" s="1081">
        <f xml:space="preserve"> 'T&amp;E'!W$38</f>
        <v>1</v>
      </c>
      <c r="X633" s="1081">
        <f xml:space="preserve"> 'T&amp;E'!X$38</f>
        <v>1</v>
      </c>
      <c r="Y633" s="1081">
        <f xml:space="preserve"> 'T&amp;E'!Y$38</f>
        <v>1</v>
      </c>
      <c r="Z633" s="1081">
        <f xml:space="preserve"> 'T&amp;E'!Z$38</f>
        <v>1</v>
      </c>
      <c r="AA633" s="1081">
        <f xml:space="preserve"> 'T&amp;E'!AA$38</f>
        <v>1</v>
      </c>
      <c r="AB633" s="1081">
        <f xml:space="preserve"> 'T&amp;E'!AB$38</f>
        <v>1</v>
      </c>
      <c r="AC633" s="1081">
        <f xml:space="preserve"> 'T&amp;E'!AC$38</f>
        <v>1</v>
      </c>
      <c r="AD633" s="1081">
        <f xml:space="preserve"> 'T&amp;E'!AD$38</f>
        <v>1</v>
      </c>
      <c r="AE633" s="1081">
        <f xml:space="preserve"> 'T&amp;E'!AE$38</f>
        <v>1.0246540997307085</v>
      </c>
      <c r="AF633" s="1081">
        <f xml:space="preserve"> 'T&amp;E'!AF$38</f>
        <v>1.0462778964311141</v>
      </c>
      <c r="AG633" s="1081">
        <f xml:space="preserve"> 'T&amp;E'!AG$38</f>
        <v>1.0688302844584765</v>
      </c>
      <c r="AH633" s="1081">
        <f xml:space="preserve"> 'T&amp;E'!AH$38</f>
        <v>1.0920141145881699</v>
      </c>
      <c r="AI633" s="1081">
        <f xml:space="preserve"> 'T&amp;E'!AI$38</f>
        <v>1.1157643854273069</v>
      </c>
      <c r="AJ633" s="1081">
        <f xml:space="preserve"> 'T&amp;E'!AJ$38</f>
        <v>1.1380796731358531</v>
      </c>
      <c r="AK633" s="1081">
        <f xml:space="preserve"> 'T&amp;E'!AK$38</f>
        <v>1.1608412665985701</v>
      </c>
      <c r="AL633" s="1081">
        <f xml:space="preserve"> 'T&amp;E'!AL$38</f>
        <v>1.1840580919305417</v>
      </c>
      <c r="AM633" s="1081">
        <f xml:space="preserve"> 'T&amp;E'!AM$38</f>
        <v>1.2077392537691523</v>
      </c>
      <c r="AN633" s="1081">
        <f xml:space="preserve"> 'T&amp;E'!AN$38</f>
        <v>1.2318940388445354</v>
      </c>
      <c r="AO633" s="1081">
        <f xml:space="preserve"> 'T&amp;E'!AO$38</f>
        <v>1.2565319196214262</v>
      </c>
      <c r="AP633" s="1081">
        <f xml:space="preserve"> 'T&amp;E'!AP$38</f>
        <v>1.2816625580138548</v>
      </c>
      <c r="AQ633" s="1081">
        <f xml:space="preserve"> 'T&amp;E'!AQ$38</f>
        <v>1.307295809174132</v>
      </c>
      <c r="AR633" s="1081">
        <f xml:space="preserve"> 'T&amp;E'!AR$38</f>
        <v>1.3334417253576147</v>
      </c>
      <c r="AS633" s="1081">
        <f xml:space="preserve"> 'T&amp;E'!AS$38</f>
        <v>1.3601105598647669</v>
      </c>
    </row>
    <row r="634" spans="1:45" ht="15" customHeight="1" x14ac:dyDescent="0.3">
      <c r="A634" s="530"/>
      <c r="B634" s="531"/>
      <c r="C634" s="532"/>
      <c r="D634" s="257"/>
      <c r="E634" s="655"/>
      <c r="F634" s="655"/>
      <c r="G634" s="655"/>
      <c r="H634" s="655"/>
      <c r="I634" s="655"/>
      <c r="J634" s="655"/>
      <c r="K634" s="1081"/>
      <c r="L634" s="1081"/>
      <c r="M634" s="1081"/>
      <c r="N634" s="1081"/>
      <c r="O634" s="1081"/>
      <c r="P634" s="1081"/>
      <c r="Q634" s="1081"/>
      <c r="R634" s="1081"/>
      <c r="S634" s="1081"/>
      <c r="T634" s="1081"/>
      <c r="U634" s="1081"/>
      <c r="V634" s="1081"/>
      <c r="W634" s="1081"/>
      <c r="X634" s="1081"/>
      <c r="Y634" s="1081"/>
      <c r="Z634" s="1081"/>
      <c r="AA634" s="1081"/>
      <c r="AB634" s="1081"/>
      <c r="AC634" s="1081"/>
      <c r="AD634" s="1081"/>
      <c r="AE634" s="1081"/>
      <c r="AF634" s="1081"/>
      <c r="AG634" s="1081"/>
      <c r="AH634" s="1081"/>
      <c r="AI634" s="1081"/>
      <c r="AJ634" s="1081"/>
      <c r="AK634" s="1081"/>
      <c r="AL634" s="1081"/>
      <c r="AM634" s="1081"/>
      <c r="AN634" s="1081"/>
      <c r="AO634" s="1081"/>
      <c r="AP634" s="1081"/>
      <c r="AQ634" s="1081"/>
      <c r="AR634" s="1081"/>
      <c r="AS634" s="1081"/>
    </row>
    <row r="635" spans="1:45" ht="15" customHeight="1" x14ac:dyDescent="0.3">
      <c r="A635" s="522"/>
      <c r="B635" s="695"/>
      <c r="C635" s="696"/>
      <c r="D635" s="522"/>
      <c r="E635" s="915" t="s">
        <v>1040</v>
      </c>
      <c r="F635" s="915" t="s">
        <v>552</v>
      </c>
      <c r="G635" s="915" t="s">
        <v>742</v>
      </c>
      <c r="H635" s="915"/>
      <c r="I635" s="915">
        <f>SUM(K635:AS635)</f>
        <v>744.71906648713889</v>
      </c>
      <c r="J635" s="915"/>
      <c r="K635" s="1082">
        <f t="shared" ref="K635:AS635" si="578">K629 * K632 * K633</f>
        <v>0</v>
      </c>
      <c r="L635" s="1082">
        <f t="shared" si="578"/>
        <v>0</v>
      </c>
      <c r="M635" s="1082">
        <f t="shared" si="578"/>
        <v>0</v>
      </c>
      <c r="N635" s="1082">
        <f t="shared" si="578"/>
        <v>0</v>
      </c>
      <c r="O635" s="1082">
        <f t="shared" si="578"/>
        <v>0</v>
      </c>
      <c r="P635" s="1082">
        <f t="shared" si="578"/>
        <v>0</v>
      </c>
      <c r="Q635" s="1082">
        <f t="shared" si="578"/>
        <v>0</v>
      </c>
      <c r="R635" s="1082">
        <f t="shared" si="578"/>
        <v>0</v>
      </c>
      <c r="S635" s="1082">
        <f t="shared" si="578"/>
        <v>0</v>
      </c>
      <c r="T635" s="1082">
        <f t="shared" si="578"/>
        <v>0</v>
      </c>
      <c r="U635" s="1082">
        <f t="shared" si="578"/>
        <v>0</v>
      </c>
      <c r="V635" s="1082">
        <f t="shared" si="578"/>
        <v>15.738</v>
      </c>
      <c r="W635" s="1082">
        <f t="shared" si="578"/>
        <v>26.286000000000001</v>
      </c>
      <c r="X635" s="1082">
        <f t="shared" si="578"/>
        <v>47.813000000000002</v>
      </c>
      <c r="Y635" s="1082">
        <f t="shared" si="578"/>
        <v>64.415000000000006</v>
      </c>
      <c r="Z635" s="1082">
        <f t="shared" si="578"/>
        <v>68.094999999999999</v>
      </c>
      <c r="AA635" s="1082">
        <f t="shared" si="578"/>
        <v>63.457999999999998</v>
      </c>
      <c r="AB635" s="1082">
        <f t="shared" si="578"/>
        <v>63.457999999999998</v>
      </c>
      <c r="AC635" s="1082">
        <f t="shared" si="578"/>
        <v>63.457999999999998</v>
      </c>
      <c r="AD635" s="1082">
        <f t="shared" si="578"/>
        <v>63.457999999999998</v>
      </c>
      <c r="AE635" s="1082">
        <f t="shared" si="578"/>
        <v>65.022499860711306</v>
      </c>
      <c r="AF635" s="1082">
        <f t="shared" si="578"/>
        <v>66.394702751725646</v>
      </c>
      <c r="AG635" s="1082">
        <f t="shared" si="578"/>
        <v>67.825832191166</v>
      </c>
      <c r="AH635" s="1082">
        <f t="shared" si="578"/>
        <v>69.297031683536076</v>
      </c>
      <c r="AI635" s="1082">
        <f t="shared" si="578"/>
        <v>0</v>
      </c>
      <c r="AJ635" s="1082">
        <f t="shared" si="578"/>
        <v>0</v>
      </c>
      <c r="AK635" s="1082">
        <f t="shared" si="578"/>
        <v>0</v>
      </c>
      <c r="AL635" s="1082">
        <f t="shared" si="578"/>
        <v>0</v>
      </c>
      <c r="AM635" s="1082">
        <f t="shared" si="578"/>
        <v>0</v>
      </c>
      <c r="AN635" s="1082">
        <f t="shared" si="578"/>
        <v>0</v>
      </c>
      <c r="AO635" s="1082">
        <f t="shared" si="578"/>
        <v>0</v>
      </c>
      <c r="AP635" s="1082">
        <f t="shared" si="578"/>
        <v>0</v>
      </c>
      <c r="AQ635" s="1082">
        <f t="shared" si="578"/>
        <v>0</v>
      </c>
      <c r="AR635" s="1082">
        <f t="shared" si="578"/>
        <v>0</v>
      </c>
      <c r="AS635" s="1082">
        <f t="shared" si="578"/>
        <v>0</v>
      </c>
    </row>
    <row r="636" spans="1:45" ht="14.4" x14ac:dyDescent="0.3">
      <c r="A636" s="88"/>
      <c r="C636" s="168"/>
      <c r="D636" s="168"/>
      <c r="E636" s="177"/>
      <c r="F636" s="177"/>
      <c r="G636" s="177"/>
      <c r="H636" s="177"/>
      <c r="I636" s="177"/>
      <c r="J636" s="177"/>
      <c r="K636" s="177"/>
      <c r="L636" s="177"/>
      <c r="M636" s="177"/>
      <c r="N636" s="177"/>
      <c r="O636" s="177"/>
      <c r="P636" s="177"/>
      <c r="Q636" s="177"/>
      <c r="R636" s="177"/>
      <c r="S636" s="177"/>
      <c r="T636" s="177"/>
      <c r="U636" s="177"/>
      <c r="V636" s="177"/>
      <c r="W636" s="177"/>
      <c r="X636" s="177"/>
      <c r="Y636" s="177"/>
      <c r="Z636" s="177"/>
      <c r="AA636" s="177"/>
      <c r="AB636" s="177"/>
      <c r="AC636" s="177"/>
      <c r="AD636" s="177"/>
      <c r="AE636" s="177"/>
      <c r="AF636" s="177"/>
      <c r="AG636" s="177"/>
      <c r="AH636" s="177"/>
      <c r="AI636" s="177"/>
      <c r="AJ636" s="177"/>
      <c r="AK636" s="177"/>
      <c r="AL636" s="177"/>
      <c r="AM636" s="177"/>
      <c r="AN636" s="177"/>
      <c r="AO636" s="177"/>
      <c r="AP636" s="177"/>
      <c r="AQ636" s="177"/>
      <c r="AR636" s="177"/>
      <c r="AS636" s="177"/>
    </row>
    <row r="637" spans="1:45" ht="14.4" x14ac:dyDescent="0.3">
      <c r="A637" s="88"/>
      <c r="C637" s="623" t="s">
        <v>590</v>
      </c>
      <c r="D637" s="168"/>
      <c r="E637" s="177"/>
      <c r="F637" s="177"/>
      <c r="G637" s="177"/>
      <c r="H637" s="177"/>
      <c r="I637" s="177"/>
      <c r="J637" s="177"/>
      <c r="K637" s="177"/>
      <c r="L637" s="177"/>
      <c r="M637" s="177"/>
      <c r="N637" s="177"/>
      <c r="O637" s="177"/>
      <c r="P637" s="177"/>
      <c r="Q637" s="177"/>
      <c r="R637" s="177"/>
      <c r="S637" s="177"/>
      <c r="T637" s="177"/>
      <c r="U637" s="177"/>
      <c r="V637" s="177"/>
      <c r="W637" s="177"/>
      <c r="X637" s="177"/>
      <c r="Y637" s="177"/>
      <c r="Z637" s="177"/>
      <c r="AA637" s="177"/>
      <c r="AB637" s="177"/>
      <c r="AC637" s="177"/>
      <c r="AD637" s="177"/>
      <c r="AE637" s="177"/>
      <c r="AF637" s="177"/>
      <c r="AG637" s="177"/>
      <c r="AH637" s="177"/>
      <c r="AI637" s="177"/>
      <c r="AJ637" s="177"/>
      <c r="AK637" s="177"/>
      <c r="AL637" s="177"/>
      <c r="AM637" s="177"/>
      <c r="AN637" s="177"/>
      <c r="AO637" s="177"/>
      <c r="AP637" s="177"/>
      <c r="AQ637" s="177"/>
      <c r="AR637" s="177"/>
      <c r="AS637" s="177"/>
    </row>
    <row r="638" spans="1:45" ht="14.4" x14ac:dyDescent="0.3">
      <c r="A638" s="88"/>
      <c r="C638" s="168"/>
      <c r="D638" s="168"/>
      <c r="E638" s="497" t="str">
        <f xml:space="preserve"> Inputs_Con!E$16</f>
        <v>Depreciation: calculated or per FS</v>
      </c>
      <c r="F638" s="177" t="str">
        <f xml:space="preserve"> Inputs_Con!F$16</f>
        <v>Calculated</v>
      </c>
      <c r="G638" s="145" t="str">
        <f xml:space="preserve"> Inputs_Con!G$16</f>
        <v>selected</v>
      </c>
      <c r="H638" s="168"/>
      <c r="I638" s="168"/>
      <c r="J638" s="168"/>
      <c r="K638" s="168"/>
      <c r="L638" s="168"/>
      <c r="M638" s="168"/>
      <c r="N638" s="168"/>
      <c r="O638" s="168"/>
      <c r="P638" s="168"/>
      <c r="Q638" s="168"/>
      <c r="R638" s="168"/>
      <c r="S638" s="168"/>
      <c r="T638" s="168"/>
      <c r="U638" s="168"/>
      <c r="V638" s="168"/>
      <c r="W638" s="168"/>
      <c r="X638" s="168"/>
      <c r="Y638" s="168"/>
      <c r="Z638" s="168"/>
      <c r="AA638" s="168"/>
      <c r="AB638" s="168"/>
      <c r="AC638" s="168"/>
      <c r="AD638" s="168"/>
      <c r="AE638" s="168"/>
      <c r="AF638" s="168"/>
      <c r="AG638" s="168"/>
      <c r="AH638" s="168"/>
      <c r="AI638" s="168"/>
      <c r="AJ638" s="168"/>
      <c r="AK638" s="168"/>
      <c r="AL638" s="168"/>
      <c r="AM638" s="168"/>
      <c r="AN638" s="168"/>
      <c r="AO638" s="168"/>
      <c r="AP638" s="168"/>
      <c r="AQ638" s="168"/>
      <c r="AR638" s="168"/>
      <c r="AS638" s="168"/>
    </row>
    <row r="639" spans="1:45" ht="15" customHeight="1" x14ac:dyDescent="0.3">
      <c r="A639" s="266"/>
      <c r="B639" s="267"/>
      <c r="C639" s="268"/>
      <c r="D639" s="269"/>
      <c r="E639" s="269"/>
      <c r="F639" s="269" t="s">
        <v>319</v>
      </c>
      <c r="G639" s="269"/>
      <c r="H639" s="269"/>
      <c r="I639" s="269"/>
      <c r="J639" s="269"/>
      <c r="K639" s="269"/>
      <c r="L639" s="269"/>
      <c r="M639" s="269"/>
      <c r="N639" s="269"/>
      <c r="O639" s="269"/>
      <c r="P639" s="269"/>
      <c r="Q639" s="269"/>
      <c r="R639" s="269"/>
      <c r="S639" s="269"/>
      <c r="T639" s="269"/>
      <c r="U639" s="269"/>
      <c r="V639" s="269"/>
      <c r="W639" s="269"/>
      <c r="X639" s="269"/>
      <c r="Y639" s="269"/>
      <c r="Z639" s="269"/>
      <c r="AA639" s="269"/>
      <c r="AB639" s="269"/>
      <c r="AC639" s="269"/>
      <c r="AD639" s="269"/>
      <c r="AE639" s="269"/>
      <c r="AF639" s="269"/>
      <c r="AG639" s="269"/>
      <c r="AH639" s="269"/>
      <c r="AI639" s="269"/>
      <c r="AJ639" s="269"/>
      <c r="AK639" s="269"/>
      <c r="AL639" s="269"/>
      <c r="AM639" s="269"/>
      <c r="AN639" s="269"/>
      <c r="AO639" s="269"/>
      <c r="AP639" s="269"/>
      <c r="AQ639" s="269"/>
      <c r="AR639" s="269"/>
      <c r="AS639" s="269"/>
    </row>
    <row r="640" spans="1:45" ht="14.4" x14ac:dyDescent="0.3">
      <c r="A640" s="88"/>
      <c r="B640" s="88"/>
      <c r="C640" s="168"/>
      <c r="D640" s="168"/>
      <c r="E640" s="339" t="str">
        <f xml:space="preserve"> E$626</f>
        <v>Depreciation: Calculated incl Sens.</v>
      </c>
      <c r="F640" s="339" t="s">
        <v>1064</v>
      </c>
      <c r="G640" s="339" t="str">
        <f t="shared" ref="G640:O640" si="579" xml:space="preserve"> G$626</f>
        <v>$ mn</v>
      </c>
      <c r="H640" s="339">
        <f t="shared" si="579"/>
        <v>0</v>
      </c>
      <c r="I640" s="339">
        <f t="shared" si="579"/>
        <v>831.24520052188802</v>
      </c>
      <c r="J640" s="339">
        <f t="shared" si="579"/>
        <v>0</v>
      </c>
      <c r="K640" s="339">
        <f t="shared" si="579"/>
        <v>0</v>
      </c>
      <c r="L640" s="339">
        <f t="shared" si="579"/>
        <v>0</v>
      </c>
      <c r="M640" s="339">
        <f t="shared" si="579"/>
        <v>0</v>
      </c>
      <c r="N640" s="339">
        <f t="shared" si="579"/>
        <v>0</v>
      </c>
      <c r="O640" s="339">
        <f t="shared" si="579"/>
        <v>0</v>
      </c>
      <c r="P640" s="339">
        <f t="shared" ref="P640:AS640" si="580" xml:space="preserve"> P$626</f>
        <v>0</v>
      </c>
      <c r="Q640" s="339">
        <f t="shared" si="580"/>
        <v>0</v>
      </c>
      <c r="R640" s="339">
        <f t="shared" si="580"/>
        <v>0</v>
      </c>
      <c r="S640" s="339">
        <f t="shared" si="580"/>
        <v>0</v>
      </c>
      <c r="T640" s="339">
        <f t="shared" si="580"/>
        <v>0</v>
      </c>
      <c r="U640" s="339">
        <f t="shared" si="580"/>
        <v>0</v>
      </c>
      <c r="V640" s="339">
        <f t="shared" si="580"/>
        <v>161.01852705857141</v>
      </c>
      <c r="W640" s="339">
        <f t="shared" si="580"/>
        <v>29.906429295714286</v>
      </c>
      <c r="X640" s="339">
        <f t="shared" si="580"/>
        <v>51.09067342714286</v>
      </c>
      <c r="Y640" s="339">
        <f t="shared" si="580"/>
        <v>51.77463952714286</v>
      </c>
      <c r="Z640" s="339">
        <f t="shared" si="580"/>
        <v>63.462109584285713</v>
      </c>
      <c r="AA640" s="339">
        <f t="shared" si="580"/>
        <v>77.791557561428576</v>
      </c>
      <c r="AB640" s="339">
        <f t="shared" si="580"/>
        <v>92.632090853623609</v>
      </c>
      <c r="AC640" s="339">
        <f t="shared" si="580"/>
        <v>83.745286738841159</v>
      </c>
      <c r="AD640" s="339">
        <f t="shared" si="580"/>
        <v>67.840468491698303</v>
      </c>
      <c r="AE640" s="339">
        <f t="shared" si="580"/>
        <v>46.656224360269725</v>
      </c>
      <c r="AF640" s="339">
        <f t="shared" si="580"/>
        <v>45.972258260269726</v>
      </c>
      <c r="AG640" s="339">
        <f t="shared" si="580"/>
        <v>34.284788203126872</v>
      </c>
      <c r="AH640" s="339">
        <f t="shared" si="580"/>
        <v>19.955340225984013</v>
      </c>
      <c r="AI640" s="339">
        <f t="shared" si="580"/>
        <v>5.1148069337889819</v>
      </c>
      <c r="AJ640" s="339">
        <f t="shared" si="580"/>
        <v>0</v>
      </c>
      <c r="AK640" s="339">
        <f t="shared" si="580"/>
        <v>-1.7763568394002505E-15</v>
      </c>
      <c r="AL640" s="339">
        <f t="shared" si="580"/>
        <v>0</v>
      </c>
      <c r="AM640" s="339">
        <f t="shared" si="580"/>
        <v>0</v>
      </c>
      <c r="AN640" s="339">
        <f t="shared" si="580"/>
        <v>0</v>
      </c>
      <c r="AO640" s="339">
        <f t="shared" si="580"/>
        <v>0</v>
      </c>
      <c r="AP640" s="339">
        <f t="shared" si="580"/>
        <v>0</v>
      </c>
      <c r="AQ640" s="339">
        <f t="shared" si="580"/>
        <v>0</v>
      </c>
      <c r="AR640" s="339">
        <f t="shared" si="580"/>
        <v>0</v>
      </c>
      <c r="AS640" s="339">
        <f t="shared" si="580"/>
        <v>0</v>
      </c>
    </row>
    <row r="641" spans="1:45" ht="14.4" x14ac:dyDescent="0.3">
      <c r="A641" s="88"/>
      <c r="B641" s="88"/>
      <c r="C641" s="168"/>
      <c r="D641" s="168"/>
      <c r="E641" s="1032" t="str">
        <f xml:space="preserve"> E$635</f>
        <v>Depreciation: FS incl Sens.</v>
      </c>
      <c r="F641" s="1032" t="str">
        <f t="shared" ref="F641:AS641" si="581" xml:space="preserve"> F$635</f>
        <v>FS</v>
      </c>
      <c r="G641" s="1032" t="str">
        <f t="shared" si="581"/>
        <v>$mn</v>
      </c>
      <c r="H641" s="1032">
        <f t="shared" si="581"/>
        <v>0</v>
      </c>
      <c r="I641" s="1032">
        <f t="shared" si="581"/>
        <v>744.71906648713889</v>
      </c>
      <c r="J641" s="1032">
        <f t="shared" si="581"/>
        <v>0</v>
      </c>
      <c r="K641" s="1032">
        <f t="shared" si="581"/>
        <v>0</v>
      </c>
      <c r="L641" s="1032">
        <f t="shared" si="581"/>
        <v>0</v>
      </c>
      <c r="M641" s="1032">
        <f t="shared" si="581"/>
        <v>0</v>
      </c>
      <c r="N641" s="1032">
        <f t="shared" si="581"/>
        <v>0</v>
      </c>
      <c r="O641" s="1032">
        <f t="shared" si="581"/>
        <v>0</v>
      </c>
      <c r="P641" s="1032">
        <f t="shared" si="581"/>
        <v>0</v>
      </c>
      <c r="Q641" s="1032">
        <f t="shared" si="581"/>
        <v>0</v>
      </c>
      <c r="R641" s="1032">
        <f t="shared" si="581"/>
        <v>0</v>
      </c>
      <c r="S641" s="1032">
        <f t="shared" si="581"/>
        <v>0</v>
      </c>
      <c r="T641" s="1032">
        <f t="shared" si="581"/>
        <v>0</v>
      </c>
      <c r="U641" s="1032">
        <f t="shared" si="581"/>
        <v>0</v>
      </c>
      <c r="V641" s="1032">
        <f t="shared" si="581"/>
        <v>15.738</v>
      </c>
      <c r="W641" s="1032">
        <f t="shared" si="581"/>
        <v>26.286000000000001</v>
      </c>
      <c r="X641" s="1032">
        <f t="shared" si="581"/>
        <v>47.813000000000002</v>
      </c>
      <c r="Y641" s="1032">
        <f t="shared" si="581"/>
        <v>64.415000000000006</v>
      </c>
      <c r="Z641" s="1032">
        <f t="shared" si="581"/>
        <v>68.094999999999999</v>
      </c>
      <c r="AA641" s="1032">
        <f t="shared" si="581"/>
        <v>63.457999999999998</v>
      </c>
      <c r="AB641" s="1032">
        <f t="shared" si="581"/>
        <v>63.457999999999998</v>
      </c>
      <c r="AC641" s="1032">
        <f t="shared" si="581"/>
        <v>63.457999999999998</v>
      </c>
      <c r="AD641" s="1032">
        <f t="shared" si="581"/>
        <v>63.457999999999998</v>
      </c>
      <c r="AE641" s="1032">
        <f t="shared" si="581"/>
        <v>65.022499860711306</v>
      </c>
      <c r="AF641" s="1032">
        <f t="shared" si="581"/>
        <v>66.394702751725646</v>
      </c>
      <c r="AG641" s="1032">
        <f t="shared" si="581"/>
        <v>67.825832191166</v>
      </c>
      <c r="AH641" s="1032">
        <f t="shared" si="581"/>
        <v>69.297031683536076</v>
      </c>
      <c r="AI641" s="1032">
        <f t="shared" si="581"/>
        <v>0</v>
      </c>
      <c r="AJ641" s="1032">
        <f t="shared" si="581"/>
        <v>0</v>
      </c>
      <c r="AK641" s="1032">
        <f t="shared" si="581"/>
        <v>0</v>
      </c>
      <c r="AL641" s="1032">
        <f t="shared" si="581"/>
        <v>0</v>
      </c>
      <c r="AM641" s="1032">
        <f t="shared" si="581"/>
        <v>0</v>
      </c>
      <c r="AN641" s="1032">
        <f t="shared" si="581"/>
        <v>0</v>
      </c>
      <c r="AO641" s="1032">
        <f t="shared" si="581"/>
        <v>0</v>
      </c>
      <c r="AP641" s="1032">
        <f t="shared" si="581"/>
        <v>0</v>
      </c>
      <c r="AQ641" s="1032">
        <f t="shared" si="581"/>
        <v>0</v>
      </c>
      <c r="AR641" s="1032">
        <f t="shared" si="581"/>
        <v>0</v>
      </c>
      <c r="AS641" s="1032">
        <f t="shared" si="581"/>
        <v>0</v>
      </c>
    </row>
    <row r="642" spans="1:45" ht="15" customHeight="1" x14ac:dyDescent="0.3">
      <c r="A642" s="266"/>
      <c r="B642" s="267"/>
      <c r="C642" s="268"/>
      <c r="D642" s="269"/>
      <c r="E642" s="269"/>
      <c r="F642" s="269" t="s">
        <v>320</v>
      </c>
      <c r="G642" s="269"/>
      <c r="H642" s="269"/>
      <c r="I642" s="269"/>
      <c r="J642" s="269"/>
      <c r="K642" s="269"/>
      <c r="L642" s="269"/>
      <c r="M642" s="269"/>
      <c r="N642" s="269"/>
      <c r="O642" s="269"/>
      <c r="P642" s="269"/>
      <c r="Q642" s="269"/>
      <c r="R642" s="269"/>
      <c r="S642" s="269"/>
      <c r="T642" s="269"/>
      <c r="U642" s="269"/>
      <c r="V642" s="269"/>
      <c r="W642" s="269"/>
      <c r="X642" s="269"/>
      <c r="Y642" s="269"/>
      <c r="Z642" s="269"/>
      <c r="AA642" s="269"/>
      <c r="AB642" s="269"/>
      <c r="AC642" s="269"/>
      <c r="AD642" s="269"/>
      <c r="AE642" s="269"/>
      <c r="AF642" s="269"/>
      <c r="AG642" s="269"/>
      <c r="AH642" s="269"/>
      <c r="AI642" s="269"/>
      <c r="AJ642" s="269"/>
      <c r="AK642" s="269"/>
      <c r="AL642" s="269"/>
      <c r="AM642" s="269"/>
      <c r="AN642" s="269"/>
      <c r="AO642" s="269"/>
      <c r="AP642" s="269"/>
      <c r="AQ642" s="269"/>
      <c r="AR642" s="269"/>
      <c r="AS642" s="269"/>
    </row>
    <row r="643" spans="1:45" ht="14.4" x14ac:dyDescent="0.3">
      <c r="A643" s="88"/>
      <c r="B643" s="88"/>
      <c r="C643" s="168"/>
      <c r="D643" s="168"/>
      <c r="E643" s="168"/>
      <c r="F643" s="168"/>
      <c r="G643" s="106"/>
      <c r="H643" s="168"/>
      <c r="I643" s="168"/>
      <c r="J643" s="168"/>
      <c r="K643" s="168"/>
      <c r="L643" s="168"/>
      <c r="M643" s="168"/>
      <c r="N643" s="168"/>
      <c r="O643" s="168"/>
      <c r="P643" s="168"/>
      <c r="Q643" s="168"/>
      <c r="R643" s="168"/>
      <c r="S643" s="168"/>
      <c r="T643" s="168"/>
      <c r="U643" s="168"/>
      <c r="V643" s="168"/>
      <c r="W643" s="168"/>
      <c r="X643" s="168"/>
      <c r="Y643" s="168"/>
      <c r="Z643" s="168"/>
      <c r="AA643" s="168"/>
      <c r="AB643" s="168"/>
      <c r="AC643" s="168"/>
      <c r="AD643" s="168"/>
      <c r="AE643" s="168"/>
      <c r="AF643" s="168"/>
      <c r="AG643" s="168"/>
      <c r="AH643" s="168"/>
      <c r="AI643" s="168"/>
      <c r="AJ643" s="168"/>
      <c r="AK643" s="168"/>
      <c r="AL643" s="168"/>
      <c r="AM643" s="168"/>
      <c r="AN643" s="168"/>
      <c r="AO643" s="168"/>
      <c r="AP643" s="168"/>
      <c r="AQ643" s="168"/>
      <c r="AR643" s="168"/>
      <c r="AS643" s="168"/>
    </row>
    <row r="644" spans="1:45" ht="15" customHeight="1" x14ac:dyDescent="0.3">
      <c r="A644" s="530"/>
      <c r="B644" s="531"/>
      <c r="C644" s="532"/>
      <c r="D644" s="257"/>
      <c r="E644" s="257" t="s">
        <v>1066</v>
      </c>
      <c r="F644" s="257" t="str">
        <f>F638</f>
        <v>Calculated</v>
      </c>
      <c r="G644" s="257" t="s">
        <v>346</v>
      </c>
      <c r="H644" s="257"/>
      <c r="I644" s="257">
        <f>SUM(K644:AS644)</f>
        <v>831.24520052188802</v>
      </c>
      <c r="J644" s="257"/>
      <c r="K644" s="106">
        <f t="shared" ref="K644:AS644" si="582">INDEX(K639:K642, MATCH($F638, $F639:$F642, 0))</f>
        <v>0</v>
      </c>
      <c r="L644" s="106">
        <f t="shared" si="582"/>
        <v>0</v>
      </c>
      <c r="M644" s="106">
        <f t="shared" si="582"/>
        <v>0</v>
      </c>
      <c r="N644" s="106">
        <f t="shared" si="582"/>
        <v>0</v>
      </c>
      <c r="O644" s="106">
        <f t="shared" si="582"/>
        <v>0</v>
      </c>
      <c r="P644" s="106">
        <f t="shared" si="582"/>
        <v>0</v>
      </c>
      <c r="Q644" s="106">
        <f t="shared" si="582"/>
        <v>0</v>
      </c>
      <c r="R644" s="106">
        <f t="shared" si="582"/>
        <v>0</v>
      </c>
      <c r="S644" s="106">
        <f t="shared" si="582"/>
        <v>0</v>
      </c>
      <c r="T644" s="106">
        <f t="shared" si="582"/>
        <v>0</v>
      </c>
      <c r="U644" s="106">
        <f t="shared" si="582"/>
        <v>0</v>
      </c>
      <c r="V644" s="106">
        <f t="shared" si="582"/>
        <v>161.01852705857141</v>
      </c>
      <c r="W644" s="106">
        <f t="shared" si="582"/>
        <v>29.906429295714286</v>
      </c>
      <c r="X644" s="106">
        <f t="shared" si="582"/>
        <v>51.09067342714286</v>
      </c>
      <c r="Y644" s="106">
        <f t="shared" si="582"/>
        <v>51.77463952714286</v>
      </c>
      <c r="Z644" s="106">
        <f t="shared" si="582"/>
        <v>63.462109584285713</v>
      </c>
      <c r="AA644" s="106">
        <f t="shared" si="582"/>
        <v>77.791557561428576</v>
      </c>
      <c r="AB644" s="106">
        <f t="shared" si="582"/>
        <v>92.632090853623609</v>
      </c>
      <c r="AC644" s="106">
        <f t="shared" si="582"/>
        <v>83.745286738841159</v>
      </c>
      <c r="AD644" s="106">
        <f t="shared" si="582"/>
        <v>67.840468491698303</v>
      </c>
      <c r="AE644" s="106">
        <f t="shared" si="582"/>
        <v>46.656224360269725</v>
      </c>
      <c r="AF644" s="106">
        <f t="shared" si="582"/>
        <v>45.972258260269726</v>
      </c>
      <c r="AG644" s="106">
        <f t="shared" si="582"/>
        <v>34.284788203126872</v>
      </c>
      <c r="AH644" s="106">
        <f t="shared" si="582"/>
        <v>19.955340225984013</v>
      </c>
      <c r="AI644" s="106">
        <f t="shared" si="582"/>
        <v>5.1148069337889819</v>
      </c>
      <c r="AJ644" s="106">
        <f t="shared" si="582"/>
        <v>0</v>
      </c>
      <c r="AK644" s="106">
        <f t="shared" si="582"/>
        <v>-1.7763568394002505E-15</v>
      </c>
      <c r="AL644" s="106">
        <f t="shared" si="582"/>
        <v>0</v>
      </c>
      <c r="AM644" s="106">
        <f t="shared" si="582"/>
        <v>0</v>
      </c>
      <c r="AN644" s="106">
        <f t="shared" si="582"/>
        <v>0</v>
      </c>
      <c r="AO644" s="106">
        <f t="shared" si="582"/>
        <v>0</v>
      </c>
      <c r="AP644" s="106">
        <f t="shared" si="582"/>
        <v>0</v>
      </c>
      <c r="AQ644" s="106">
        <f t="shared" si="582"/>
        <v>0</v>
      </c>
      <c r="AR644" s="106">
        <f t="shared" si="582"/>
        <v>0</v>
      </c>
      <c r="AS644" s="106">
        <f t="shared" si="582"/>
        <v>0</v>
      </c>
    </row>
    <row r="645" spans="1:45" ht="15" customHeight="1" x14ac:dyDescent="0.3">
      <c r="A645" s="530"/>
      <c r="B645" s="531"/>
      <c r="C645" s="532"/>
      <c r="D645" s="257"/>
      <c r="E645" s="257"/>
      <c r="F645" s="257"/>
      <c r="G645" s="257"/>
      <c r="H645" s="257"/>
      <c r="I645" s="257"/>
      <c r="J645" s="257"/>
      <c r="K645" s="106"/>
      <c r="L645" s="106"/>
      <c r="M645" s="106"/>
      <c r="N645" s="106"/>
      <c r="O645" s="106"/>
      <c r="P645" s="106"/>
      <c r="Q645" s="106"/>
      <c r="R645" s="106"/>
      <c r="S645" s="106"/>
      <c r="T645" s="106"/>
      <c r="U645" s="106"/>
      <c r="V645" s="106"/>
      <c r="W645" s="106"/>
      <c r="X645" s="106"/>
      <c r="Y645" s="106"/>
      <c r="Z645" s="106"/>
      <c r="AA645" s="106"/>
      <c r="AB645" s="106"/>
      <c r="AC645" s="106"/>
      <c r="AD645" s="106"/>
      <c r="AE645" s="106"/>
      <c r="AF645" s="106"/>
      <c r="AG645" s="106"/>
      <c r="AH645" s="106"/>
      <c r="AI645" s="106"/>
      <c r="AJ645" s="106"/>
      <c r="AK645" s="106"/>
      <c r="AL645" s="106"/>
      <c r="AM645" s="106"/>
      <c r="AN645" s="106"/>
      <c r="AO645" s="106"/>
      <c r="AP645" s="106"/>
      <c r="AQ645" s="106"/>
      <c r="AR645" s="106"/>
      <c r="AS645" s="106"/>
    </row>
    <row r="646" spans="1:45" ht="15" customHeight="1" x14ac:dyDescent="0.3">
      <c r="A646" s="530"/>
      <c r="B646" s="531"/>
      <c r="C646" s="532"/>
      <c r="D646" s="257"/>
      <c r="E646" s="257" t="str">
        <f>E644</f>
        <v>Depreciation incl Sens.</v>
      </c>
      <c r="F646" s="257">
        <f>SUM(K644:AS644)</f>
        <v>831.24520052188802</v>
      </c>
      <c r="G646" s="257" t="s">
        <v>346</v>
      </c>
      <c r="H646" s="257"/>
      <c r="I646" s="257"/>
      <c r="J646" s="257"/>
      <c r="K646" s="106"/>
      <c r="L646" s="106"/>
      <c r="M646" s="106"/>
      <c r="N646" s="106"/>
      <c r="O646" s="106"/>
      <c r="P646" s="106"/>
      <c r="Q646" s="106"/>
      <c r="R646" s="106"/>
      <c r="S646" s="106"/>
      <c r="T646" s="106"/>
      <c r="U646" s="106"/>
      <c r="V646" s="106"/>
      <c r="W646" s="106"/>
      <c r="X646" s="106"/>
      <c r="Y646" s="106"/>
      <c r="Z646" s="106"/>
      <c r="AA646" s="106"/>
      <c r="AB646" s="106"/>
      <c r="AC646" s="106"/>
      <c r="AD646" s="106"/>
      <c r="AE646" s="106"/>
      <c r="AF646" s="106"/>
      <c r="AG646" s="106"/>
      <c r="AH646" s="106"/>
      <c r="AI646" s="106"/>
      <c r="AJ646" s="106"/>
      <c r="AK646" s="106"/>
      <c r="AL646" s="106"/>
      <c r="AM646" s="106"/>
      <c r="AN646" s="106"/>
      <c r="AO646" s="106"/>
      <c r="AP646" s="106"/>
      <c r="AQ646" s="106"/>
      <c r="AR646" s="106"/>
      <c r="AS646" s="106"/>
    </row>
    <row r="647" spans="1:45" ht="15" customHeight="1" x14ac:dyDescent="0.3">
      <c r="A647" s="530"/>
      <c r="B647" s="531"/>
      <c r="C647" s="532"/>
      <c r="D647" s="257"/>
      <c r="E647" s="257" t="str">
        <f>E566</f>
        <v>Capital costs, including Sens.</v>
      </c>
      <c r="F647" s="257">
        <f>SUM(K566:AS566)</f>
        <v>831.24520052188814</v>
      </c>
      <c r="G647" s="257" t="s">
        <v>346</v>
      </c>
      <c r="H647" s="257"/>
      <c r="I647" s="257"/>
      <c r="J647" s="257"/>
      <c r="K647" s="106"/>
      <c r="L647" s="106"/>
      <c r="M647" s="106"/>
      <c r="N647" s="106"/>
      <c r="O647" s="106"/>
      <c r="P647" s="106"/>
      <c r="Q647" s="106"/>
      <c r="R647" s="106"/>
      <c r="S647" s="106"/>
      <c r="T647" s="106"/>
      <c r="U647" s="106"/>
      <c r="V647" s="106"/>
      <c r="W647" s="106"/>
      <c r="X647" s="106"/>
      <c r="Y647" s="106"/>
      <c r="Z647" s="106"/>
      <c r="AA647" s="106"/>
      <c r="AB647" s="106"/>
      <c r="AC647" s="106"/>
      <c r="AD647" s="106"/>
      <c r="AE647" s="106"/>
      <c r="AF647" s="106"/>
      <c r="AG647" s="106"/>
      <c r="AH647" s="106"/>
      <c r="AI647" s="106"/>
      <c r="AJ647" s="106"/>
      <c r="AK647" s="106"/>
      <c r="AL647" s="106"/>
      <c r="AM647" s="106"/>
      <c r="AN647" s="106"/>
      <c r="AO647" s="106"/>
      <c r="AP647" s="106"/>
      <c r="AQ647" s="106"/>
      <c r="AR647" s="106"/>
      <c r="AS647" s="106"/>
    </row>
    <row r="648" spans="1:45" ht="15" customHeight="1" x14ac:dyDescent="0.3">
      <c r="A648" s="530"/>
      <c r="B648" s="531"/>
      <c r="C648" s="532"/>
      <c r="D648" s="257"/>
      <c r="E648" s="467" t="s">
        <v>874</v>
      </c>
      <c r="F648" s="579">
        <f xml:space="preserve"> IF( ABS(F646 - F647) &gt; CHK_TOL, 1, 0)</f>
        <v>0</v>
      </c>
      <c r="G648" s="463" t="s">
        <v>509</v>
      </c>
      <c r="H648" s="257"/>
      <c r="I648" s="257"/>
      <c r="J648" s="257"/>
      <c r="K648" s="106"/>
      <c r="L648" s="106"/>
      <c r="M648" s="106"/>
      <c r="N648" s="106"/>
      <c r="O648" s="106"/>
      <c r="P648" s="106"/>
      <c r="Q648" s="106"/>
      <c r="R648" s="106"/>
      <c r="S648" s="106"/>
      <c r="T648" s="106"/>
      <c r="U648" s="106"/>
      <c r="V648" s="106"/>
      <c r="W648" s="106"/>
      <c r="X648" s="106"/>
      <c r="Y648" s="106"/>
      <c r="Z648" s="106"/>
      <c r="AA648" s="106"/>
      <c r="AB648" s="106"/>
      <c r="AC648" s="106"/>
      <c r="AD648" s="106"/>
      <c r="AE648" s="106"/>
      <c r="AF648" s="106"/>
      <c r="AG648" s="106"/>
      <c r="AH648" s="106"/>
      <c r="AI648" s="106"/>
      <c r="AJ648" s="106"/>
      <c r="AK648" s="106"/>
      <c r="AL648" s="106"/>
      <c r="AM648" s="106"/>
      <c r="AN648" s="106"/>
      <c r="AO648" s="106"/>
      <c r="AP648" s="106"/>
      <c r="AQ648" s="106"/>
      <c r="AR648" s="106"/>
      <c r="AS648" s="106"/>
    </row>
    <row r="649" spans="1:45" ht="15" customHeight="1" x14ac:dyDescent="0.3">
      <c r="A649" s="530"/>
      <c r="B649" s="531"/>
      <c r="C649" s="532"/>
      <c r="D649" s="257"/>
      <c r="E649" s="257"/>
      <c r="F649" s="257"/>
      <c r="G649" s="257"/>
      <c r="H649" s="257"/>
      <c r="I649" s="257"/>
      <c r="J649" s="257"/>
      <c r="K649" s="106"/>
      <c r="L649" s="106"/>
      <c r="M649" s="106"/>
      <c r="N649" s="106"/>
      <c r="O649" s="106"/>
      <c r="P649" s="106"/>
      <c r="Q649" s="106"/>
      <c r="R649" s="106"/>
      <c r="S649" s="106"/>
      <c r="T649" s="106"/>
      <c r="U649" s="106"/>
      <c r="V649" s="106"/>
      <c r="W649" s="106"/>
      <c r="X649" s="106"/>
      <c r="Y649" s="106"/>
      <c r="Z649" s="106"/>
      <c r="AA649" s="106"/>
      <c r="AB649" s="106"/>
      <c r="AC649" s="106"/>
      <c r="AD649" s="106"/>
      <c r="AE649" s="106"/>
      <c r="AF649" s="106"/>
      <c r="AG649" s="106"/>
      <c r="AH649" s="106"/>
      <c r="AI649" s="106"/>
      <c r="AJ649" s="106"/>
      <c r="AK649" s="106"/>
      <c r="AL649" s="106"/>
      <c r="AM649" s="106"/>
      <c r="AN649" s="106"/>
      <c r="AO649" s="106"/>
      <c r="AP649" s="106"/>
      <c r="AQ649" s="106"/>
      <c r="AR649" s="106"/>
      <c r="AS649" s="106"/>
    </row>
    <row r="650" spans="1:45" ht="15" customHeight="1" collapsed="1" x14ac:dyDescent="0.3">
      <c r="A650" s="15" t="s">
        <v>746</v>
      </c>
      <c r="B650" s="119"/>
      <c r="C650" s="120"/>
      <c r="D650" s="121"/>
      <c r="E650" s="119"/>
      <c r="F650" s="119"/>
      <c r="G650" s="119"/>
      <c r="H650" s="119"/>
      <c r="I650" s="119"/>
      <c r="J650" s="16"/>
      <c r="K650" s="16"/>
      <c r="L650" s="16"/>
      <c r="M650" s="16"/>
      <c r="N650" s="16"/>
      <c r="O650" s="16"/>
      <c r="P650" s="16"/>
      <c r="Q650" s="16"/>
      <c r="R650" s="16"/>
      <c r="S650" s="16"/>
      <c r="T650" s="16"/>
      <c r="U650" s="16"/>
      <c r="V650" s="16"/>
      <c r="W650" s="16"/>
      <c r="X650" s="16"/>
      <c r="Y650" s="16"/>
      <c r="Z650" s="16"/>
      <c r="AA650" s="16"/>
      <c r="AB650" s="16"/>
      <c r="AC650" s="16"/>
      <c r="AD650" s="16"/>
      <c r="AE650" s="16"/>
      <c r="AF650" s="16"/>
      <c r="AG650" s="16"/>
      <c r="AH650" s="16"/>
      <c r="AI650" s="16"/>
      <c r="AJ650" s="16"/>
      <c r="AK650" s="16"/>
      <c r="AL650" s="16"/>
      <c r="AM650" s="16"/>
      <c r="AN650" s="16"/>
      <c r="AO650" s="16"/>
      <c r="AP650" s="16"/>
      <c r="AQ650" s="16"/>
      <c r="AR650" s="16"/>
      <c r="AS650" s="16"/>
    </row>
    <row r="651" spans="1:45" ht="15" customHeight="1" x14ac:dyDescent="0.3">
      <c r="A651" s="52"/>
      <c r="B651" s="244"/>
      <c r="C651" s="787"/>
      <c r="D651" s="788"/>
      <c r="E651" s="244"/>
      <c r="F651" s="244"/>
      <c r="G651" s="244"/>
      <c r="H651" s="244"/>
      <c r="I651" s="244"/>
      <c r="J651" s="53"/>
      <c r="K651" s="53"/>
      <c r="L651" s="53"/>
      <c r="M651" s="53"/>
      <c r="N651" s="53"/>
      <c r="O651" s="53"/>
      <c r="P651" s="53"/>
      <c r="Q651" s="53"/>
      <c r="R651" s="53"/>
      <c r="S651" s="53"/>
      <c r="T651" s="53"/>
      <c r="U651" s="53"/>
      <c r="V651" s="53"/>
      <c r="W651" s="53"/>
      <c r="X651" s="53"/>
      <c r="Y651" s="53"/>
      <c r="Z651" s="53"/>
      <c r="AA651" s="53"/>
      <c r="AB651" s="53"/>
      <c r="AC651" s="53"/>
      <c r="AD651" s="53"/>
      <c r="AE651" s="53"/>
      <c r="AF651" s="53"/>
      <c r="AG651" s="53"/>
      <c r="AH651" s="53"/>
      <c r="AI651" s="53"/>
      <c r="AJ651" s="53"/>
      <c r="AK651" s="53"/>
      <c r="AL651" s="53"/>
      <c r="AM651" s="53"/>
      <c r="AN651" s="53"/>
      <c r="AO651" s="53"/>
      <c r="AP651" s="53"/>
      <c r="AQ651" s="53"/>
      <c r="AR651" s="53"/>
      <c r="AS651" s="53"/>
    </row>
    <row r="652" spans="1:45" ht="15" customHeight="1" x14ac:dyDescent="0.3">
      <c r="A652" s="530"/>
      <c r="B652" s="531"/>
      <c r="C652" s="532" t="s">
        <v>583</v>
      </c>
      <c r="D652" s="257"/>
      <c r="E652" s="257"/>
      <c r="F652" s="257"/>
      <c r="G652" s="257"/>
      <c r="H652" s="257"/>
      <c r="I652" s="257"/>
      <c r="J652" s="257"/>
      <c r="K652" s="106"/>
      <c r="L652" s="106"/>
      <c r="M652" s="106"/>
      <c r="N652" s="106"/>
      <c r="O652" s="106"/>
      <c r="P652" s="106"/>
      <c r="Q652" s="106"/>
      <c r="R652" s="106"/>
      <c r="S652" s="106"/>
      <c r="T652" s="106"/>
      <c r="U652" s="106"/>
      <c r="V652" s="106"/>
      <c r="W652" s="106"/>
      <c r="X652" s="106"/>
      <c r="Y652" s="106"/>
      <c r="Z652" s="106"/>
      <c r="AA652" s="106"/>
      <c r="AB652" s="106"/>
      <c r="AC652" s="106"/>
      <c r="AD652" s="106"/>
      <c r="AE652" s="106"/>
      <c r="AF652" s="106"/>
      <c r="AG652" s="106"/>
      <c r="AH652" s="106"/>
      <c r="AI652" s="106"/>
      <c r="AJ652" s="106"/>
      <c r="AK652" s="106"/>
      <c r="AL652" s="106"/>
      <c r="AM652" s="106"/>
      <c r="AN652" s="106"/>
      <c r="AO652" s="106"/>
      <c r="AP652" s="106"/>
      <c r="AQ652" s="106"/>
      <c r="AR652" s="106"/>
      <c r="AS652" s="106"/>
    </row>
    <row r="653" spans="1:45" ht="15" customHeight="1" x14ac:dyDescent="0.3">
      <c r="A653" s="530"/>
      <c r="B653" s="531"/>
      <c r="C653" s="532"/>
      <c r="D653" s="257"/>
      <c r="E653" s="257" t="str">
        <f xml:space="preserve"> E$520</f>
        <v>Operating costs, including Sens.</v>
      </c>
      <c r="F653" s="257" t="str">
        <f t="shared" ref="F653:O653" si="583" xml:space="preserve"> F$520</f>
        <v>FS</v>
      </c>
      <c r="G653" s="257" t="str">
        <f t="shared" si="583"/>
        <v>$ mn</v>
      </c>
      <c r="H653" s="257">
        <f t="shared" si="583"/>
        <v>0</v>
      </c>
      <c r="I653" s="257">
        <f t="shared" si="583"/>
        <v>6417.4732060838423</v>
      </c>
      <c r="J653" s="257">
        <f t="shared" si="583"/>
        <v>0</v>
      </c>
      <c r="K653" s="257">
        <f t="shared" si="583"/>
        <v>0</v>
      </c>
      <c r="L653" s="257">
        <f t="shared" si="583"/>
        <v>0</v>
      </c>
      <c r="M653" s="257">
        <f t="shared" si="583"/>
        <v>0</v>
      </c>
      <c r="N653" s="257">
        <f t="shared" si="583"/>
        <v>0</v>
      </c>
      <c r="O653" s="257">
        <f t="shared" si="583"/>
        <v>0</v>
      </c>
      <c r="P653" s="257">
        <f t="shared" ref="P653:AS653" si="584" xml:space="preserve"> P$520</f>
        <v>0</v>
      </c>
      <c r="Q653" s="257">
        <f t="shared" si="584"/>
        <v>0</v>
      </c>
      <c r="R653" s="257">
        <f t="shared" si="584"/>
        <v>0</v>
      </c>
      <c r="S653" s="257">
        <f t="shared" si="584"/>
        <v>0</v>
      </c>
      <c r="T653" s="257">
        <f t="shared" si="584"/>
        <v>0</v>
      </c>
      <c r="U653" s="257">
        <f t="shared" si="584"/>
        <v>0</v>
      </c>
      <c r="V653" s="257">
        <f t="shared" si="584"/>
        <v>92.547447899999995</v>
      </c>
      <c r="W653" s="257">
        <f t="shared" si="584"/>
        <v>111.20828203000001</v>
      </c>
      <c r="X653" s="257">
        <f t="shared" si="584"/>
        <v>222.95433410956798</v>
      </c>
      <c r="Y653" s="257">
        <f t="shared" si="584"/>
        <v>275.07933724392001</v>
      </c>
      <c r="Z653" s="257">
        <f t="shared" si="584"/>
        <v>236.842377442112</v>
      </c>
      <c r="AA653" s="257">
        <f t="shared" si="584"/>
        <v>521.23181416247598</v>
      </c>
      <c r="AB653" s="257">
        <f t="shared" si="584"/>
        <v>458.85614080454303</v>
      </c>
      <c r="AC653" s="257">
        <f t="shared" si="584"/>
        <v>498.26409575079998</v>
      </c>
      <c r="AD653" s="257">
        <f t="shared" si="584"/>
        <v>499.39449196549901</v>
      </c>
      <c r="AE653" s="257">
        <f t="shared" si="584"/>
        <v>511.64191424046072</v>
      </c>
      <c r="AF653" s="257">
        <f t="shared" si="584"/>
        <v>522.47681812965493</v>
      </c>
      <c r="AG653" s="257">
        <f t="shared" si="584"/>
        <v>533.79306524069909</v>
      </c>
      <c r="AH653" s="257">
        <f t="shared" si="584"/>
        <v>545.3125501316897</v>
      </c>
      <c r="AI653" s="257">
        <f t="shared" si="584"/>
        <v>563.04437690960037</v>
      </c>
      <c r="AJ653" s="257">
        <f t="shared" si="584"/>
        <v>520.87013281239911</v>
      </c>
      <c r="AK653" s="257">
        <f t="shared" si="584"/>
        <v>303.9560272104207</v>
      </c>
      <c r="AL653" s="257">
        <f t="shared" si="584"/>
        <v>0</v>
      </c>
      <c r="AM653" s="257">
        <f t="shared" si="584"/>
        <v>0</v>
      </c>
      <c r="AN653" s="257">
        <f t="shared" si="584"/>
        <v>0</v>
      </c>
      <c r="AO653" s="257">
        <f t="shared" si="584"/>
        <v>0</v>
      </c>
      <c r="AP653" s="257">
        <f t="shared" si="584"/>
        <v>0</v>
      </c>
      <c r="AQ653" s="257">
        <f t="shared" si="584"/>
        <v>0</v>
      </c>
      <c r="AR653" s="257">
        <f t="shared" si="584"/>
        <v>0</v>
      </c>
      <c r="AS653" s="257">
        <f t="shared" si="584"/>
        <v>0</v>
      </c>
    </row>
    <row r="654" spans="1:45" ht="15" customHeight="1" x14ac:dyDescent="0.3">
      <c r="A654" s="530"/>
      <c r="B654" s="531"/>
      <c r="C654" s="532"/>
      <c r="D654" s="257"/>
      <c r="E654" s="257" t="str">
        <f t="shared" ref="E654:AS654" si="585" xml:space="preserve"> E$566</f>
        <v>Capital costs, including Sens.</v>
      </c>
      <c r="F654" s="257" t="str">
        <f t="shared" si="585"/>
        <v>FS</v>
      </c>
      <c r="G654" s="257" t="str">
        <f t="shared" si="585"/>
        <v>$ mn</v>
      </c>
      <c r="H654" s="257">
        <f t="shared" si="585"/>
        <v>0</v>
      </c>
      <c r="I654" s="257">
        <f t="shared" si="585"/>
        <v>831.24520052188814</v>
      </c>
      <c r="J654" s="257">
        <f t="shared" si="585"/>
        <v>0</v>
      </c>
      <c r="K654" s="257">
        <f t="shared" si="585"/>
        <v>0</v>
      </c>
      <c r="L654" s="257">
        <f t="shared" si="585"/>
        <v>0</v>
      </c>
      <c r="M654" s="257">
        <f t="shared" si="585"/>
        <v>0</v>
      </c>
      <c r="N654" s="257">
        <f t="shared" si="585"/>
        <v>0</v>
      </c>
      <c r="O654" s="257">
        <f t="shared" si="585"/>
        <v>0</v>
      </c>
      <c r="P654" s="257">
        <f t="shared" si="585"/>
        <v>0</v>
      </c>
      <c r="Q654" s="257">
        <f t="shared" si="585"/>
        <v>0</v>
      </c>
      <c r="R654" s="257">
        <f t="shared" si="585"/>
        <v>0</v>
      </c>
      <c r="S654" s="257">
        <f t="shared" si="585"/>
        <v>0</v>
      </c>
      <c r="T654" s="257">
        <f t="shared" si="585"/>
        <v>0</v>
      </c>
      <c r="U654" s="257">
        <f t="shared" si="585"/>
        <v>0</v>
      </c>
      <c r="V654" s="257">
        <f t="shared" si="585"/>
        <v>245.02819335000001</v>
      </c>
      <c r="W654" s="257">
        <f t="shared" si="585"/>
        <v>111.33372773000001</v>
      </c>
      <c r="X654" s="257">
        <f t="shared" si="585"/>
        <v>148.28970892000001</v>
      </c>
      <c r="Y654" s="257">
        <f t="shared" si="585"/>
        <v>4.7877627</v>
      </c>
      <c r="Z654" s="257">
        <f t="shared" si="585"/>
        <v>81.812290399999995</v>
      </c>
      <c r="AA654" s="257">
        <f t="shared" si="585"/>
        <v>100.30613584</v>
      </c>
      <c r="AB654" s="257">
        <f t="shared" si="585"/>
        <v>103.88373304536523</v>
      </c>
      <c r="AC654" s="257">
        <f t="shared" si="585"/>
        <v>35.80364853652285</v>
      </c>
      <c r="AD654" s="257">
        <f t="shared" si="585"/>
        <v>0</v>
      </c>
      <c r="AE654" s="257">
        <f t="shared" si="585"/>
        <v>0</v>
      </c>
      <c r="AF654" s="257">
        <f t="shared" si="585"/>
        <v>0</v>
      </c>
      <c r="AG654" s="257">
        <f t="shared" si="585"/>
        <v>0</v>
      </c>
      <c r="AH654" s="257">
        <f t="shared" si="585"/>
        <v>0</v>
      </c>
      <c r="AI654" s="257">
        <f t="shared" si="585"/>
        <v>0</v>
      </c>
      <c r="AJ654" s="257">
        <f t="shared" si="585"/>
        <v>0</v>
      </c>
      <c r="AK654" s="257">
        <f t="shared" si="585"/>
        <v>0</v>
      </c>
      <c r="AL654" s="257">
        <f t="shared" si="585"/>
        <v>0</v>
      </c>
      <c r="AM654" s="257">
        <f t="shared" si="585"/>
        <v>0</v>
      </c>
      <c r="AN654" s="257">
        <f t="shared" si="585"/>
        <v>0</v>
      </c>
      <c r="AO654" s="257">
        <f t="shared" si="585"/>
        <v>0</v>
      </c>
      <c r="AP654" s="257">
        <f t="shared" si="585"/>
        <v>0</v>
      </c>
      <c r="AQ654" s="257">
        <f t="shared" si="585"/>
        <v>0</v>
      </c>
      <c r="AR654" s="257">
        <f t="shared" si="585"/>
        <v>0</v>
      </c>
      <c r="AS654" s="257">
        <f t="shared" si="585"/>
        <v>0</v>
      </c>
    </row>
    <row r="655" spans="1:45" ht="15" customHeight="1" x14ac:dyDescent="0.3">
      <c r="A655" s="768"/>
      <c r="B655" s="769"/>
      <c r="C655" s="770"/>
      <c r="D655" s="768"/>
      <c r="E655" s="768" t="s">
        <v>583</v>
      </c>
      <c r="F655" s="768"/>
      <c r="G655" s="768" t="s">
        <v>346</v>
      </c>
      <c r="H655" s="768"/>
      <c r="I655" s="768">
        <f>SUM(K655:AS655)</f>
        <v>7248.7184066057316</v>
      </c>
      <c r="J655" s="768"/>
      <c r="K655" s="768">
        <f t="shared" ref="K655:O655" si="586">K653 + K654</f>
        <v>0</v>
      </c>
      <c r="L655" s="768">
        <f t="shared" si="586"/>
        <v>0</v>
      </c>
      <c r="M655" s="768">
        <f t="shared" si="586"/>
        <v>0</v>
      </c>
      <c r="N655" s="768">
        <f t="shared" si="586"/>
        <v>0</v>
      </c>
      <c r="O655" s="768">
        <f t="shared" si="586"/>
        <v>0</v>
      </c>
      <c r="P655" s="768">
        <f t="shared" ref="P655:R655" si="587">P653 + P654</f>
        <v>0</v>
      </c>
      <c r="Q655" s="768">
        <f t="shared" si="587"/>
        <v>0</v>
      </c>
      <c r="R655" s="768">
        <f t="shared" si="587"/>
        <v>0</v>
      </c>
      <c r="S655" s="768">
        <f>S653 + S654</f>
        <v>0</v>
      </c>
      <c r="T655" s="768">
        <f t="shared" ref="T655:AS655" si="588">T653 + T654</f>
        <v>0</v>
      </c>
      <c r="U655" s="768">
        <f t="shared" si="588"/>
        <v>0</v>
      </c>
      <c r="V655" s="768">
        <f t="shared" si="588"/>
        <v>337.57564124999999</v>
      </c>
      <c r="W655" s="768">
        <f t="shared" si="588"/>
        <v>222.54200976000001</v>
      </c>
      <c r="X655" s="768">
        <f t="shared" si="588"/>
        <v>371.24404302956799</v>
      </c>
      <c r="Y655" s="768">
        <f t="shared" si="588"/>
        <v>279.86709994391998</v>
      </c>
      <c r="Z655" s="768">
        <f t="shared" si="588"/>
        <v>318.65466784211196</v>
      </c>
      <c r="AA655" s="768">
        <f t="shared" si="588"/>
        <v>621.53795000247601</v>
      </c>
      <c r="AB655" s="768">
        <f t="shared" si="588"/>
        <v>562.73987384990824</v>
      </c>
      <c r="AC655" s="768">
        <f t="shared" si="588"/>
        <v>534.06774428732285</v>
      </c>
      <c r="AD655" s="768">
        <f t="shared" si="588"/>
        <v>499.39449196549901</v>
      </c>
      <c r="AE655" s="768">
        <f t="shared" si="588"/>
        <v>511.64191424046072</v>
      </c>
      <c r="AF655" s="768">
        <f t="shared" si="588"/>
        <v>522.47681812965493</v>
      </c>
      <c r="AG655" s="768">
        <f t="shared" si="588"/>
        <v>533.79306524069909</v>
      </c>
      <c r="AH655" s="768">
        <f t="shared" si="588"/>
        <v>545.3125501316897</v>
      </c>
      <c r="AI655" s="768">
        <f t="shared" si="588"/>
        <v>563.04437690960037</v>
      </c>
      <c r="AJ655" s="768">
        <f t="shared" si="588"/>
        <v>520.87013281239911</v>
      </c>
      <c r="AK655" s="768">
        <f t="shared" si="588"/>
        <v>303.9560272104207</v>
      </c>
      <c r="AL655" s="768">
        <f t="shared" si="588"/>
        <v>0</v>
      </c>
      <c r="AM655" s="768">
        <f t="shared" si="588"/>
        <v>0</v>
      </c>
      <c r="AN655" s="768">
        <f t="shared" si="588"/>
        <v>0</v>
      </c>
      <c r="AO655" s="768">
        <f t="shared" si="588"/>
        <v>0</v>
      </c>
      <c r="AP655" s="768">
        <f t="shared" si="588"/>
        <v>0</v>
      </c>
      <c r="AQ655" s="768">
        <f t="shared" si="588"/>
        <v>0</v>
      </c>
      <c r="AR655" s="768">
        <f t="shared" si="588"/>
        <v>0</v>
      </c>
      <c r="AS655" s="768">
        <f t="shared" si="588"/>
        <v>0</v>
      </c>
    </row>
    <row r="656" spans="1:45" ht="15" customHeight="1" x14ac:dyDescent="0.3">
      <c r="A656" s="530"/>
      <c r="B656" s="531"/>
      <c r="C656" s="532"/>
      <c r="D656" s="257"/>
      <c r="E656" s="257"/>
      <c r="F656" s="257"/>
      <c r="G656" s="257"/>
      <c r="H656" s="257"/>
      <c r="I656" s="257"/>
      <c r="J656" s="257"/>
      <c r="K656" s="106"/>
      <c r="L656" s="106"/>
      <c r="M656" s="106"/>
      <c r="N656" s="106"/>
      <c r="O656" s="106"/>
      <c r="P656" s="106"/>
      <c r="Q656" s="106"/>
      <c r="R656" s="106"/>
      <c r="S656" s="106"/>
      <c r="T656" s="106"/>
      <c r="U656" s="106"/>
      <c r="V656" s="106"/>
      <c r="W656" s="106"/>
      <c r="X656" s="106"/>
      <c r="Y656" s="106"/>
      <c r="Z656" s="106"/>
      <c r="AA656" s="106"/>
      <c r="AB656" s="106"/>
      <c r="AC656" s="106"/>
      <c r="AD656" s="106"/>
      <c r="AE656" s="106"/>
      <c r="AF656" s="106"/>
      <c r="AG656" s="106"/>
      <c r="AH656" s="106"/>
      <c r="AI656" s="106"/>
      <c r="AJ656" s="106"/>
      <c r="AK656" s="106"/>
      <c r="AL656" s="106"/>
      <c r="AM656" s="106"/>
      <c r="AN656" s="106"/>
      <c r="AO656" s="106"/>
      <c r="AP656" s="106"/>
      <c r="AQ656" s="106"/>
      <c r="AR656" s="106"/>
      <c r="AS656" s="106"/>
    </row>
    <row r="657" spans="1:45" ht="15" customHeight="1" x14ac:dyDescent="0.3">
      <c r="A657" s="530"/>
      <c r="B657" s="531"/>
      <c r="C657" s="532" t="s">
        <v>660</v>
      </c>
      <c r="D657" s="257"/>
      <c r="E657" s="257"/>
      <c r="F657" s="257"/>
      <c r="G657" s="257"/>
      <c r="H657" s="257"/>
      <c r="I657" s="257"/>
      <c r="J657" s="257"/>
      <c r="K657" s="106"/>
      <c r="L657" s="106"/>
      <c r="M657" s="106"/>
      <c r="N657" s="106"/>
      <c r="O657" s="106"/>
      <c r="P657" s="106"/>
      <c r="Q657" s="106"/>
      <c r="R657" s="106"/>
      <c r="S657" s="106"/>
      <c r="T657" s="106"/>
      <c r="U657" s="106"/>
      <c r="V657" s="106"/>
      <c r="W657" s="106"/>
      <c r="X657" s="106"/>
      <c r="Y657" s="106"/>
      <c r="Z657" s="106"/>
      <c r="AA657" s="106"/>
      <c r="AB657" s="106"/>
      <c r="AC657" s="106"/>
      <c r="AD657" s="106"/>
      <c r="AE657" s="106"/>
      <c r="AF657" s="106"/>
      <c r="AG657" s="106"/>
      <c r="AH657" s="106"/>
      <c r="AI657" s="106"/>
      <c r="AJ657" s="106"/>
      <c r="AK657" s="106"/>
      <c r="AL657" s="106"/>
      <c r="AM657" s="106"/>
      <c r="AN657" s="106"/>
      <c r="AO657" s="106"/>
      <c r="AP657" s="106"/>
      <c r="AQ657" s="106"/>
      <c r="AR657" s="106"/>
      <c r="AS657" s="106"/>
    </row>
    <row r="658" spans="1:45" ht="15" customHeight="1" x14ac:dyDescent="0.3">
      <c r="A658" s="530"/>
      <c r="B658" s="531"/>
      <c r="C658" s="532"/>
      <c r="D658" s="257"/>
      <c r="E658" s="257" t="str">
        <f xml:space="preserve"> E$409</f>
        <v>Total net revenue</v>
      </c>
      <c r="F658" s="257">
        <f t="shared" ref="F658:O658" si="589" xml:space="preserve"> F$409</f>
        <v>0</v>
      </c>
      <c r="G658" s="257" t="str">
        <f t="shared" si="589"/>
        <v>$ mn</v>
      </c>
      <c r="H658" s="257">
        <f t="shared" si="589"/>
        <v>0</v>
      </c>
      <c r="I658" s="257">
        <f t="shared" si="589"/>
        <v>12057.227358098444</v>
      </c>
      <c r="J658" s="257">
        <f t="shared" si="589"/>
        <v>0</v>
      </c>
      <c r="K658" s="257">
        <f t="shared" si="589"/>
        <v>0</v>
      </c>
      <c r="L658" s="257">
        <f t="shared" si="589"/>
        <v>0</v>
      </c>
      <c r="M658" s="257">
        <f t="shared" si="589"/>
        <v>0</v>
      </c>
      <c r="N658" s="257">
        <f t="shared" si="589"/>
        <v>0</v>
      </c>
      <c r="O658" s="257">
        <f t="shared" si="589"/>
        <v>0</v>
      </c>
      <c r="P658" s="257">
        <f t="shared" ref="P658:AS658" si="590" xml:space="preserve"> P$409</f>
        <v>0</v>
      </c>
      <c r="Q658" s="257">
        <f t="shared" si="590"/>
        <v>0</v>
      </c>
      <c r="R658" s="257">
        <f t="shared" si="590"/>
        <v>0</v>
      </c>
      <c r="S658" s="257">
        <f t="shared" si="590"/>
        <v>0</v>
      </c>
      <c r="T658" s="257">
        <f t="shared" si="590"/>
        <v>0</v>
      </c>
      <c r="U658" s="257">
        <f t="shared" si="590"/>
        <v>0</v>
      </c>
      <c r="V658" s="257">
        <f t="shared" si="590"/>
        <v>104.68060500000001</v>
      </c>
      <c r="W658" s="257">
        <f t="shared" si="590"/>
        <v>275.12210799999997</v>
      </c>
      <c r="X658" s="257">
        <f t="shared" si="590"/>
        <v>434.33181950432004</v>
      </c>
      <c r="Y658" s="257">
        <f t="shared" si="590"/>
        <v>668.71459861080007</v>
      </c>
      <c r="Z658" s="257">
        <f t="shared" si="590"/>
        <v>1118.6990542788801</v>
      </c>
      <c r="AA658" s="257">
        <f t="shared" si="590"/>
        <v>1042.87854002524</v>
      </c>
      <c r="AB658" s="257">
        <f t="shared" si="590"/>
        <v>1023.5483763295063</v>
      </c>
      <c r="AC658" s="257">
        <f t="shared" si="590"/>
        <v>653.80972292592492</v>
      </c>
      <c r="AD658" s="257">
        <f t="shared" si="590"/>
        <v>950.03036632116414</v>
      </c>
      <c r="AE658" s="257">
        <f t="shared" si="590"/>
        <v>951.6644311595096</v>
      </c>
      <c r="AF658" s="257">
        <f t="shared" si="590"/>
        <v>950.73777764764964</v>
      </c>
      <c r="AG658" s="257">
        <f t="shared" si="590"/>
        <v>949.42243301743406</v>
      </c>
      <c r="AH658" s="257">
        <f t="shared" si="590"/>
        <v>950.81913917116799</v>
      </c>
      <c r="AI658" s="257">
        <f t="shared" si="590"/>
        <v>812.68254925258475</v>
      </c>
      <c r="AJ658" s="257">
        <f t="shared" si="590"/>
        <v>822.69220700892402</v>
      </c>
      <c r="AK658" s="257">
        <f t="shared" si="590"/>
        <v>347.39362984533904</v>
      </c>
      <c r="AL658" s="257">
        <f t="shared" si="590"/>
        <v>0</v>
      </c>
      <c r="AM658" s="257">
        <f t="shared" si="590"/>
        <v>0</v>
      </c>
      <c r="AN658" s="257">
        <f t="shared" si="590"/>
        <v>0</v>
      </c>
      <c r="AO658" s="257">
        <f t="shared" si="590"/>
        <v>0</v>
      </c>
      <c r="AP658" s="257">
        <f t="shared" si="590"/>
        <v>0</v>
      </c>
      <c r="AQ658" s="257">
        <f t="shared" si="590"/>
        <v>0</v>
      </c>
      <c r="AR658" s="257">
        <f t="shared" si="590"/>
        <v>0</v>
      </c>
      <c r="AS658" s="257">
        <f t="shared" si="590"/>
        <v>0</v>
      </c>
    </row>
    <row r="659" spans="1:45" ht="15" customHeight="1" x14ac:dyDescent="0.3">
      <c r="A659" s="530"/>
      <c r="B659" s="531"/>
      <c r="C659" s="532"/>
      <c r="D659" s="257"/>
      <c r="E659" s="257" t="str">
        <f xml:space="preserve"> E$520</f>
        <v>Operating costs, including Sens.</v>
      </c>
      <c r="F659" s="257" t="str">
        <f t="shared" ref="F659:I659" si="591" xml:space="preserve"> F$520</f>
        <v>FS</v>
      </c>
      <c r="G659" s="257" t="str">
        <f t="shared" si="591"/>
        <v>$ mn</v>
      </c>
      <c r="H659" s="257">
        <f t="shared" si="591"/>
        <v>0</v>
      </c>
      <c r="I659" s="257">
        <f t="shared" si="591"/>
        <v>6417.4732060838423</v>
      </c>
      <c r="J659" s="257"/>
      <c r="K659" s="257">
        <f t="shared" ref="K659:O659" si="592" xml:space="preserve"> K$520</f>
        <v>0</v>
      </c>
      <c r="L659" s="257">
        <f t="shared" si="592"/>
        <v>0</v>
      </c>
      <c r="M659" s="257">
        <f t="shared" si="592"/>
        <v>0</v>
      </c>
      <c r="N659" s="257">
        <f t="shared" si="592"/>
        <v>0</v>
      </c>
      <c r="O659" s="257">
        <f t="shared" si="592"/>
        <v>0</v>
      </c>
      <c r="P659" s="257">
        <f t="shared" ref="P659:AS659" si="593" xml:space="preserve"> P$520</f>
        <v>0</v>
      </c>
      <c r="Q659" s="257">
        <f t="shared" si="593"/>
        <v>0</v>
      </c>
      <c r="R659" s="257">
        <f t="shared" si="593"/>
        <v>0</v>
      </c>
      <c r="S659" s="257">
        <f t="shared" si="593"/>
        <v>0</v>
      </c>
      <c r="T659" s="257">
        <f t="shared" si="593"/>
        <v>0</v>
      </c>
      <c r="U659" s="257">
        <f t="shared" si="593"/>
        <v>0</v>
      </c>
      <c r="V659" s="257">
        <f t="shared" si="593"/>
        <v>92.547447899999995</v>
      </c>
      <c r="W659" s="257">
        <f t="shared" si="593"/>
        <v>111.20828203000001</v>
      </c>
      <c r="X659" s="257">
        <f t="shared" si="593"/>
        <v>222.95433410956798</v>
      </c>
      <c r="Y659" s="257">
        <f t="shared" si="593"/>
        <v>275.07933724392001</v>
      </c>
      <c r="Z659" s="257">
        <f t="shared" si="593"/>
        <v>236.842377442112</v>
      </c>
      <c r="AA659" s="257">
        <f t="shared" si="593"/>
        <v>521.23181416247598</v>
      </c>
      <c r="AB659" s="257">
        <f t="shared" si="593"/>
        <v>458.85614080454303</v>
      </c>
      <c r="AC659" s="257">
        <f t="shared" si="593"/>
        <v>498.26409575079998</v>
      </c>
      <c r="AD659" s="257">
        <f t="shared" si="593"/>
        <v>499.39449196549901</v>
      </c>
      <c r="AE659" s="257">
        <f t="shared" si="593"/>
        <v>511.64191424046072</v>
      </c>
      <c r="AF659" s="257">
        <f t="shared" si="593"/>
        <v>522.47681812965493</v>
      </c>
      <c r="AG659" s="257">
        <f t="shared" si="593"/>
        <v>533.79306524069909</v>
      </c>
      <c r="AH659" s="257">
        <f t="shared" si="593"/>
        <v>545.3125501316897</v>
      </c>
      <c r="AI659" s="257">
        <f t="shared" si="593"/>
        <v>563.04437690960037</v>
      </c>
      <c r="AJ659" s="257">
        <f t="shared" si="593"/>
        <v>520.87013281239911</v>
      </c>
      <c r="AK659" s="257">
        <f t="shared" si="593"/>
        <v>303.9560272104207</v>
      </c>
      <c r="AL659" s="257">
        <f t="shared" si="593"/>
        <v>0</v>
      </c>
      <c r="AM659" s="257">
        <f t="shared" si="593"/>
        <v>0</v>
      </c>
      <c r="AN659" s="257">
        <f t="shared" si="593"/>
        <v>0</v>
      </c>
      <c r="AO659" s="257">
        <f t="shared" si="593"/>
        <v>0</v>
      </c>
      <c r="AP659" s="257">
        <f t="shared" si="593"/>
        <v>0</v>
      </c>
      <c r="AQ659" s="257">
        <f t="shared" si="593"/>
        <v>0</v>
      </c>
      <c r="AR659" s="257">
        <f t="shared" si="593"/>
        <v>0</v>
      </c>
      <c r="AS659" s="257">
        <f t="shared" si="593"/>
        <v>0</v>
      </c>
    </row>
    <row r="660" spans="1:45" ht="15" customHeight="1" x14ac:dyDescent="0.3">
      <c r="A660" s="530"/>
      <c r="B660" s="531"/>
      <c r="C660" s="532"/>
      <c r="D660" s="257"/>
      <c r="E660" s="257" t="str">
        <f xml:space="preserve"> E$566</f>
        <v>Capital costs, including Sens.</v>
      </c>
      <c r="F660" s="257" t="str">
        <f xml:space="preserve"> F$566</f>
        <v>FS</v>
      </c>
      <c r="G660" s="257" t="str">
        <f xml:space="preserve"> G$566</f>
        <v>$ mn</v>
      </c>
      <c r="H660" s="257">
        <f xml:space="preserve"> H$566</f>
        <v>0</v>
      </c>
      <c r="I660" s="257">
        <f xml:space="preserve"> I$566</f>
        <v>831.24520052188814</v>
      </c>
      <c r="J660" s="257"/>
      <c r="K660" s="257">
        <f t="shared" ref="K660:AS660" si="594" xml:space="preserve"> K$566</f>
        <v>0</v>
      </c>
      <c r="L660" s="257">
        <f t="shared" si="594"/>
        <v>0</v>
      </c>
      <c r="M660" s="257">
        <f t="shared" si="594"/>
        <v>0</v>
      </c>
      <c r="N660" s="257">
        <f t="shared" si="594"/>
        <v>0</v>
      </c>
      <c r="O660" s="257">
        <f t="shared" si="594"/>
        <v>0</v>
      </c>
      <c r="P660" s="257">
        <f t="shared" si="594"/>
        <v>0</v>
      </c>
      <c r="Q660" s="257">
        <f t="shared" si="594"/>
        <v>0</v>
      </c>
      <c r="R660" s="257">
        <f t="shared" si="594"/>
        <v>0</v>
      </c>
      <c r="S660" s="257">
        <f t="shared" si="594"/>
        <v>0</v>
      </c>
      <c r="T660" s="257">
        <f t="shared" si="594"/>
        <v>0</v>
      </c>
      <c r="U660" s="257">
        <f t="shared" si="594"/>
        <v>0</v>
      </c>
      <c r="V660" s="257">
        <f t="shared" si="594"/>
        <v>245.02819335000001</v>
      </c>
      <c r="W660" s="257">
        <f t="shared" si="594"/>
        <v>111.33372773000001</v>
      </c>
      <c r="X660" s="257">
        <f t="shared" si="594"/>
        <v>148.28970892000001</v>
      </c>
      <c r="Y660" s="257">
        <f t="shared" si="594"/>
        <v>4.7877627</v>
      </c>
      <c r="Z660" s="257">
        <f t="shared" si="594"/>
        <v>81.812290399999995</v>
      </c>
      <c r="AA660" s="257">
        <f t="shared" si="594"/>
        <v>100.30613584</v>
      </c>
      <c r="AB660" s="257">
        <f t="shared" si="594"/>
        <v>103.88373304536523</v>
      </c>
      <c r="AC660" s="257">
        <f t="shared" si="594"/>
        <v>35.80364853652285</v>
      </c>
      <c r="AD660" s="257">
        <f t="shared" si="594"/>
        <v>0</v>
      </c>
      <c r="AE660" s="257">
        <f t="shared" si="594"/>
        <v>0</v>
      </c>
      <c r="AF660" s="257">
        <f t="shared" si="594"/>
        <v>0</v>
      </c>
      <c r="AG660" s="257">
        <f t="shared" si="594"/>
        <v>0</v>
      </c>
      <c r="AH660" s="257">
        <f t="shared" si="594"/>
        <v>0</v>
      </c>
      <c r="AI660" s="257">
        <f t="shared" si="594"/>
        <v>0</v>
      </c>
      <c r="AJ660" s="257">
        <f t="shared" si="594"/>
        <v>0</v>
      </c>
      <c r="AK660" s="257">
        <f t="shared" si="594"/>
        <v>0</v>
      </c>
      <c r="AL660" s="257">
        <f t="shared" si="594"/>
        <v>0</v>
      </c>
      <c r="AM660" s="257">
        <f t="shared" si="594"/>
        <v>0</v>
      </c>
      <c r="AN660" s="257">
        <f t="shared" si="594"/>
        <v>0</v>
      </c>
      <c r="AO660" s="257">
        <f t="shared" si="594"/>
        <v>0</v>
      </c>
      <c r="AP660" s="257">
        <f t="shared" si="594"/>
        <v>0</v>
      </c>
      <c r="AQ660" s="257">
        <f t="shared" si="594"/>
        <v>0</v>
      </c>
      <c r="AR660" s="257">
        <f t="shared" si="594"/>
        <v>0</v>
      </c>
      <c r="AS660" s="257">
        <f t="shared" si="594"/>
        <v>0</v>
      </c>
    </row>
    <row r="661" spans="1:45" ht="15" customHeight="1" x14ac:dyDescent="0.3">
      <c r="A661" s="768"/>
      <c r="B661" s="769"/>
      <c r="C661" s="770"/>
      <c r="D661" s="768"/>
      <c r="E661" s="768" t="s">
        <v>660</v>
      </c>
      <c r="F661" s="768"/>
      <c r="G661" s="768" t="s">
        <v>346</v>
      </c>
      <c r="H661" s="768"/>
      <c r="I661" s="768">
        <f>SUM(K661:AS661)</f>
        <v>4808.508951492714</v>
      </c>
      <c r="J661" s="768"/>
      <c r="K661" s="768">
        <f t="shared" ref="K661:O661" si="595">K658 - K659 - K660</f>
        <v>0</v>
      </c>
      <c r="L661" s="768">
        <f t="shared" si="595"/>
        <v>0</v>
      </c>
      <c r="M661" s="768">
        <f t="shared" si="595"/>
        <v>0</v>
      </c>
      <c r="N661" s="768">
        <f t="shared" si="595"/>
        <v>0</v>
      </c>
      <c r="O661" s="768">
        <f t="shared" si="595"/>
        <v>0</v>
      </c>
      <c r="P661" s="768">
        <f t="shared" ref="P661:R661" si="596">P658 - P659 - P660</f>
        <v>0</v>
      </c>
      <c r="Q661" s="768">
        <f t="shared" si="596"/>
        <v>0</v>
      </c>
      <c r="R661" s="768">
        <f t="shared" si="596"/>
        <v>0</v>
      </c>
      <c r="S661" s="768">
        <f>S658 - S659 - S660</f>
        <v>0</v>
      </c>
      <c r="T661" s="768">
        <f t="shared" ref="T661:AS661" si="597">T658 - T659 - T660</f>
        <v>0</v>
      </c>
      <c r="U661" s="768">
        <f t="shared" si="597"/>
        <v>0</v>
      </c>
      <c r="V661" s="768">
        <f t="shared" si="597"/>
        <v>-232.89503624999998</v>
      </c>
      <c r="W661" s="768">
        <f t="shared" si="597"/>
        <v>52.580098239999941</v>
      </c>
      <c r="X661" s="768">
        <f t="shared" si="597"/>
        <v>63.087776474752047</v>
      </c>
      <c r="Y661" s="768">
        <f t="shared" si="597"/>
        <v>388.84749866688009</v>
      </c>
      <c r="Z661" s="768">
        <f t="shared" si="597"/>
        <v>800.04438643676804</v>
      </c>
      <c r="AA661" s="768">
        <f t="shared" si="597"/>
        <v>421.34059002276399</v>
      </c>
      <c r="AB661" s="768">
        <f t="shared" si="597"/>
        <v>460.80850247959802</v>
      </c>
      <c r="AC661" s="768">
        <f t="shared" si="597"/>
        <v>119.74197863860209</v>
      </c>
      <c r="AD661" s="768">
        <f t="shared" si="597"/>
        <v>450.63587435566512</v>
      </c>
      <c r="AE661" s="768">
        <f t="shared" si="597"/>
        <v>440.02251691904888</v>
      </c>
      <c r="AF661" s="768">
        <f t="shared" si="597"/>
        <v>428.26095951799471</v>
      </c>
      <c r="AG661" s="768">
        <f t="shared" si="597"/>
        <v>415.62936777673497</v>
      </c>
      <c r="AH661" s="768">
        <f t="shared" si="597"/>
        <v>405.50658903947829</v>
      </c>
      <c r="AI661" s="768">
        <f t="shared" si="597"/>
        <v>249.63817234298438</v>
      </c>
      <c r="AJ661" s="768">
        <f t="shared" si="597"/>
        <v>301.82207419652491</v>
      </c>
      <c r="AK661" s="768">
        <f t="shared" si="597"/>
        <v>43.437602634918335</v>
      </c>
      <c r="AL661" s="768">
        <f t="shared" si="597"/>
        <v>0</v>
      </c>
      <c r="AM661" s="768">
        <f t="shared" si="597"/>
        <v>0</v>
      </c>
      <c r="AN661" s="768">
        <f t="shared" si="597"/>
        <v>0</v>
      </c>
      <c r="AO661" s="768">
        <f t="shared" si="597"/>
        <v>0</v>
      </c>
      <c r="AP661" s="768">
        <f t="shared" si="597"/>
        <v>0</v>
      </c>
      <c r="AQ661" s="768">
        <f t="shared" si="597"/>
        <v>0</v>
      </c>
      <c r="AR661" s="768">
        <f t="shared" si="597"/>
        <v>0</v>
      </c>
      <c r="AS661" s="768">
        <f t="shared" si="597"/>
        <v>0</v>
      </c>
    </row>
    <row r="662" spans="1:45" ht="15" customHeight="1" x14ac:dyDescent="0.3">
      <c r="A662" s="705"/>
      <c r="B662" s="706"/>
      <c r="C662" s="707"/>
      <c r="D662" s="705"/>
      <c r="E662" s="705" t="s">
        <v>660</v>
      </c>
      <c r="F662" s="705">
        <f>SUM(S661:AS661)</f>
        <v>4808.508951492714</v>
      </c>
      <c r="G662" s="705"/>
      <c r="H662" s="705"/>
      <c r="I662" s="705"/>
      <c r="J662" s="705"/>
      <c r="K662" s="705"/>
      <c r="L662" s="705"/>
      <c r="M662" s="705"/>
      <c r="N662" s="705"/>
      <c r="O662" s="705"/>
      <c r="P662" s="705"/>
      <c r="Q662" s="705"/>
      <c r="R662" s="705"/>
      <c r="S662" s="705"/>
      <c r="T662" s="705"/>
      <c r="U662" s="705"/>
      <c r="V662" s="705"/>
      <c r="W662" s="705"/>
      <c r="X662" s="705"/>
      <c r="Y662" s="705"/>
      <c r="Z662" s="705"/>
      <c r="AA662" s="705"/>
      <c r="AB662" s="705"/>
      <c r="AC662" s="705"/>
      <c r="AD662" s="705"/>
      <c r="AE662" s="705"/>
      <c r="AF662" s="705"/>
      <c r="AG662" s="705"/>
      <c r="AH662" s="705"/>
      <c r="AI662" s="705"/>
      <c r="AJ662" s="705"/>
      <c r="AK662" s="705"/>
      <c r="AL662" s="705"/>
      <c r="AM662" s="705"/>
      <c r="AN662" s="705"/>
      <c r="AO662" s="705"/>
      <c r="AP662" s="705"/>
      <c r="AQ662" s="705"/>
      <c r="AR662" s="705"/>
      <c r="AS662" s="705"/>
    </row>
    <row r="663" spans="1:45" ht="15" customHeight="1" x14ac:dyDescent="0.3">
      <c r="A663" s="705"/>
      <c r="B663" s="706"/>
      <c r="C663" s="707"/>
      <c r="D663" s="705"/>
      <c r="E663" s="705"/>
      <c r="F663" s="705"/>
      <c r="G663" s="705"/>
      <c r="H663" s="705"/>
      <c r="I663" s="705"/>
      <c r="J663" s="705"/>
      <c r="K663" s="705"/>
      <c r="L663" s="705"/>
      <c r="M663" s="705"/>
      <c r="N663" s="705"/>
      <c r="O663" s="705"/>
      <c r="P663" s="705"/>
      <c r="Q663" s="705"/>
      <c r="R663" s="705"/>
      <c r="S663" s="705"/>
      <c r="T663" s="705"/>
      <c r="U663" s="705"/>
      <c r="V663" s="705"/>
      <c r="W663" s="705"/>
      <c r="X663" s="705"/>
      <c r="Y663" s="705"/>
      <c r="Z663" s="705"/>
      <c r="AA663" s="705"/>
      <c r="AB663" s="705"/>
      <c r="AC663" s="705"/>
      <c r="AD663" s="705"/>
      <c r="AE663" s="705"/>
      <c r="AF663" s="705"/>
      <c r="AG663" s="705"/>
      <c r="AH663" s="705"/>
      <c r="AI663" s="705"/>
      <c r="AJ663" s="705"/>
      <c r="AK663" s="705"/>
      <c r="AL663" s="705"/>
      <c r="AM663" s="705"/>
      <c r="AN663" s="705"/>
      <c r="AO663" s="705"/>
      <c r="AP663" s="705"/>
      <c r="AQ663" s="705"/>
      <c r="AR663" s="705"/>
      <c r="AS663" s="705"/>
    </row>
    <row r="664" spans="1:45" ht="15" customHeight="1" x14ac:dyDescent="0.3">
      <c r="A664" s="474" t="s">
        <v>978</v>
      </c>
      <c r="B664" s="475"/>
      <c r="C664" s="476"/>
      <c r="D664" s="477"/>
      <c r="E664" s="475"/>
      <c r="F664" s="475"/>
      <c r="G664" s="475"/>
      <c r="H664" s="475"/>
      <c r="I664" s="478"/>
      <c r="J664" s="478"/>
      <c r="K664" s="478"/>
      <c r="L664" s="478"/>
      <c r="M664" s="478"/>
      <c r="N664" s="478"/>
      <c r="O664" s="478"/>
      <c r="P664" s="478"/>
      <c r="Q664" s="478"/>
      <c r="R664" s="478"/>
      <c r="S664" s="478"/>
      <c r="T664" s="478"/>
      <c r="U664" s="478"/>
      <c r="V664" s="478"/>
      <c r="W664" s="478"/>
      <c r="X664" s="478"/>
      <c r="Y664" s="478"/>
      <c r="Z664" s="478"/>
      <c r="AA664" s="478"/>
      <c r="AB664" s="478"/>
      <c r="AC664" s="478"/>
      <c r="AD664" s="478"/>
      <c r="AE664" s="478"/>
      <c r="AF664" s="478"/>
      <c r="AG664" s="478"/>
      <c r="AH664" s="478"/>
      <c r="AI664" s="478"/>
      <c r="AJ664" s="478"/>
      <c r="AK664" s="478"/>
      <c r="AL664" s="478"/>
      <c r="AM664" s="478"/>
      <c r="AN664" s="478"/>
      <c r="AO664" s="478"/>
      <c r="AP664" s="478"/>
      <c r="AQ664" s="478"/>
      <c r="AR664" s="478"/>
      <c r="AS664" s="478"/>
    </row>
    <row r="665" spans="1:45" ht="15" customHeight="1" x14ac:dyDescent="0.3">
      <c r="A665" s="705"/>
      <c r="B665" s="706"/>
      <c r="C665" s="707"/>
      <c r="D665" s="705"/>
      <c r="E665" s="705"/>
      <c r="F665" s="705"/>
      <c r="G665" s="705"/>
      <c r="H665" s="705"/>
      <c r="I665" s="705"/>
      <c r="J665" s="705"/>
      <c r="K665" s="705"/>
      <c r="L665" s="705"/>
      <c r="M665" s="705"/>
      <c r="N665" s="705"/>
      <c r="O665" s="705"/>
      <c r="P665" s="705"/>
      <c r="Q665" s="705"/>
      <c r="R665" s="705"/>
      <c r="S665" s="705"/>
      <c r="T665" s="705"/>
      <c r="U665" s="705"/>
      <c r="V665" s="705"/>
      <c r="W665" s="705"/>
      <c r="X665" s="705"/>
      <c r="Y665" s="705"/>
      <c r="Z665" s="705"/>
      <c r="AA665" s="705"/>
      <c r="AB665" s="705"/>
      <c r="AC665" s="705"/>
      <c r="AD665" s="705"/>
      <c r="AE665" s="705"/>
      <c r="AF665" s="705"/>
      <c r="AG665" s="705"/>
      <c r="AH665" s="705"/>
      <c r="AI665" s="705"/>
      <c r="AJ665" s="705"/>
      <c r="AK665" s="705"/>
      <c r="AL665" s="705"/>
      <c r="AM665" s="705"/>
      <c r="AN665" s="705"/>
      <c r="AO665" s="705"/>
      <c r="AP665" s="705"/>
      <c r="AQ665" s="705"/>
      <c r="AR665" s="705"/>
      <c r="AS665" s="705"/>
    </row>
    <row r="666" spans="1:45" ht="15" customHeight="1" x14ac:dyDescent="0.3">
      <c r="A666" s="705"/>
      <c r="B666" s="706"/>
      <c r="C666" s="707"/>
      <c r="D666" s="705"/>
      <c r="E666" s="977" t="s">
        <v>979</v>
      </c>
      <c r="F666" s="978">
        <v>3.0000000000000001E-3</v>
      </c>
      <c r="G666" s="463" t="s">
        <v>980</v>
      </c>
      <c r="H666" s="705"/>
      <c r="I666" s="705"/>
      <c r="J666" s="705"/>
      <c r="K666" s="705"/>
      <c r="L666" s="705"/>
      <c r="M666" s="705"/>
      <c r="N666" s="705"/>
      <c r="O666" s="705"/>
      <c r="P666" s="705"/>
      <c r="Q666" s="705"/>
      <c r="R666" s="705"/>
      <c r="S666" s="705"/>
      <c r="T666" s="705"/>
      <c r="U666" s="705"/>
      <c r="V666" s="705"/>
      <c r="W666" s="705"/>
      <c r="X666" s="705"/>
      <c r="Y666" s="705"/>
      <c r="Z666" s="705"/>
      <c r="AA666" s="705"/>
      <c r="AB666" s="705"/>
      <c r="AC666" s="705"/>
      <c r="AD666" s="705"/>
      <c r="AE666" s="705"/>
      <c r="AF666" s="705"/>
      <c r="AG666" s="705"/>
      <c r="AH666" s="705"/>
      <c r="AI666" s="705"/>
      <c r="AJ666" s="705"/>
      <c r="AK666" s="705"/>
      <c r="AL666" s="705"/>
      <c r="AM666" s="705"/>
      <c r="AN666" s="705"/>
      <c r="AO666" s="705"/>
      <c r="AP666" s="705"/>
      <c r="AQ666" s="705"/>
      <c r="AR666" s="705"/>
      <c r="AS666" s="705"/>
    </row>
    <row r="667" spans="1:45" ht="15" customHeight="1" x14ac:dyDescent="0.3">
      <c r="A667" s="705"/>
      <c r="B667" s="706"/>
      <c r="C667" s="707"/>
      <c r="D667" s="705"/>
      <c r="E667" s="705"/>
      <c r="F667" s="705"/>
      <c r="G667" s="705"/>
      <c r="H667" s="705"/>
      <c r="I667" s="705"/>
      <c r="J667" s="705"/>
      <c r="K667" s="705"/>
      <c r="L667" s="705"/>
      <c r="M667" s="705"/>
      <c r="N667" s="705"/>
      <c r="O667" s="705"/>
      <c r="P667" s="705"/>
      <c r="Q667" s="705"/>
      <c r="R667" s="705"/>
      <c r="S667" s="705"/>
      <c r="T667" s="705"/>
      <c r="U667" s="705"/>
      <c r="V667" s="705"/>
      <c r="W667" s="705"/>
      <c r="X667" s="705"/>
      <c r="Y667" s="705"/>
      <c r="Z667" s="705"/>
      <c r="AA667" s="705"/>
      <c r="AB667" s="705"/>
      <c r="AC667" s="705"/>
      <c r="AD667" s="705"/>
      <c r="AE667" s="705"/>
      <c r="AF667" s="705"/>
      <c r="AG667" s="705"/>
      <c r="AH667" s="705"/>
      <c r="AI667" s="705"/>
      <c r="AJ667" s="705"/>
      <c r="AK667" s="705"/>
      <c r="AL667" s="705"/>
      <c r="AM667" s="705"/>
      <c r="AN667" s="705"/>
      <c r="AO667" s="705"/>
      <c r="AP667" s="705"/>
      <c r="AQ667" s="705"/>
      <c r="AR667" s="705"/>
      <c r="AS667" s="705"/>
    </row>
    <row r="668" spans="1:45" ht="15" customHeight="1" x14ac:dyDescent="0.3">
      <c r="A668"/>
      <c r="B668"/>
      <c r="C668"/>
      <c r="D668"/>
      <c r="E668" s="662" t="str">
        <f xml:space="preserve"> E$409</f>
        <v>Total net revenue</v>
      </c>
      <c r="F668" s="662">
        <f t="shared" ref="F668:AS668" si="598" xml:space="preserve"> F$409</f>
        <v>0</v>
      </c>
      <c r="G668" s="662" t="str">
        <f t="shared" si="598"/>
        <v>$ mn</v>
      </c>
      <c r="H668" s="662">
        <f t="shared" si="598"/>
        <v>0</v>
      </c>
      <c r="I668" s="662">
        <f t="shared" si="598"/>
        <v>12057.227358098444</v>
      </c>
      <c r="J668" s="662">
        <f t="shared" si="598"/>
        <v>0</v>
      </c>
      <c r="K668" s="662">
        <f t="shared" si="598"/>
        <v>0</v>
      </c>
      <c r="L668" s="662">
        <f t="shared" si="598"/>
        <v>0</v>
      </c>
      <c r="M668" s="662">
        <f t="shared" si="598"/>
        <v>0</v>
      </c>
      <c r="N668" s="662">
        <f t="shared" si="598"/>
        <v>0</v>
      </c>
      <c r="O668" s="662">
        <f t="shared" si="598"/>
        <v>0</v>
      </c>
      <c r="P668" s="662">
        <f t="shared" si="598"/>
        <v>0</v>
      </c>
      <c r="Q668" s="662">
        <f t="shared" si="598"/>
        <v>0</v>
      </c>
      <c r="R668" s="662">
        <f t="shared" si="598"/>
        <v>0</v>
      </c>
      <c r="S668" s="662">
        <f t="shared" si="598"/>
        <v>0</v>
      </c>
      <c r="T668" s="662">
        <f t="shared" si="598"/>
        <v>0</v>
      </c>
      <c r="U668" s="662">
        <f t="shared" si="598"/>
        <v>0</v>
      </c>
      <c r="V668" s="662">
        <f t="shared" si="598"/>
        <v>104.68060500000001</v>
      </c>
      <c r="W668" s="662">
        <f t="shared" si="598"/>
        <v>275.12210799999997</v>
      </c>
      <c r="X668" s="662">
        <f t="shared" si="598"/>
        <v>434.33181950432004</v>
      </c>
      <c r="Y668" s="662">
        <f t="shared" si="598"/>
        <v>668.71459861080007</v>
      </c>
      <c r="Z668" s="662">
        <f t="shared" si="598"/>
        <v>1118.6990542788801</v>
      </c>
      <c r="AA668" s="662">
        <f t="shared" si="598"/>
        <v>1042.87854002524</v>
      </c>
      <c r="AB668" s="662">
        <f t="shared" si="598"/>
        <v>1023.5483763295063</v>
      </c>
      <c r="AC668" s="662">
        <f t="shared" si="598"/>
        <v>653.80972292592492</v>
      </c>
      <c r="AD668" s="662">
        <f t="shared" si="598"/>
        <v>950.03036632116414</v>
      </c>
      <c r="AE668" s="662">
        <f t="shared" si="598"/>
        <v>951.6644311595096</v>
      </c>
      <c r="AF668" s="662">
        <f t="shared" si="598"/>
        <v>950.73777764764964</v>
      </c>
      <c r="AG668" s="662">
        <f t="shared" si="598"/>
        <v>949.42243301743406</v>
      </c>
      <c r="AH668" s="662">
        <f t="shared" si="598"/>
        <v>950.81913917116799</v>
      </c>
      <c r="AI668" s="662">
        <f t="shared" si="598"/>
        <v>812.68254925258475</v>
      </c>
      <c r="AJ668" s="662">
        <f t="shared" si="598"/>
        <v>822.69220700892402</v>
      </c>
      <c r="AK668" s="662">
        <f t="shared" si="598"/>
        <v>347.39362984533904</v>
      </c>
      <c r="AL668" s="662">
        <f t="shared" si="598"/>
        <v>0</v>
      </c>
      <c r="AM668" s="662">
        <f t="shared" si="598"/>
        <v>0</v>
      </c>
      <c r="AN668" s="662">
        <f t="shared" si="598"/>
        <v>0</v>
      </c>
      <c r="AO668" s="662">
        <f t="shared" si="598"/>
        <v>0</v>
      </c>
      <c r="AP668" s="662">
        <f t="shared" si="598"/>
        <v>0</v>
      </c>
      <c r="AQ668" s="662">
        <f t="shared" si="598"/>
        <v>0</v>
      </c>
      <c r="AR668" s="662">
        <f t="shared" si="598"/>
        <v>0</v>
      </c>
      <c r="AS668" s="662">
        <f t="shared" si="598"/>
        <v>0</v>
      </c>
    </row>
    <row r="669" spans="1:45" ht="15" customHeight="1" x14ac:dyDescent="0.3">
      <c r="A669" s="705"/>
      <c r="B669" s="706"/>
      <c r="C669" s="707"/>
      <c r="D669" s="705"/>
      <c r="E669" s="705"/>
      <c r="F669" s="705"/>
      <c r="G669" s="705"/>
      <c r="H669" s="705"/>
      <c r="I669" s="705"/>
      <c r="J669" s="705"/>
      <c r="K669" s="705"/>
      <c r="L669" s="705"/>
      <c r="M669" s="705"/>
      <c r="N669" s="705"/>
      <c r="O669" s="705"/>
      <c r="P669" s="705"/>
      <c r="Q669" s="705"/>
      <c r="R669" s="705"/>
      <c r="S669" s="705"/>
      <c r="T669" s="705"/>
      <c r="U669" s="705"/>
      <c r="V669" s="705"/>
      <c r="W669" s="705"/>
      <c r="X669" s="705"/>
      <c r="Y669" s="705"/>
      <c r="Z669" s="705"/>
      <c r="AA669" s="705"/>
      <c r="AB669" s="705"/>
      <c r="AC669" s="705"/>
      <c r="AD669" s="705"/>
      <c r="AE669" s="705"/>
      <c r="AF669" s="705"/>
      <c r="AG669" s="705"/>
      <c r="AH669" s="705"/>
      <c r="AI669" s="705"/>
      <c r="AJ669" s="705"/>
      <c r="AK669" s="705"/>
      <c r="AL669" s="705"/>
      <c r="AM669" s="705"/>
      <c r="AN669" s="705"/>
      <c r="AO669" s="705"/>
      <c r="AP669" s="705"/>
      <c r="AQ669" s="705"/>
      <c r="AR669" s="705"/>
      <c r="AS669" s="705"/>
    </row>
    <row r="670" spans="1:45" s="70" customFormat="1" ht="15" customHeight="1" x14ac:dyDescent="0.3">
      <c r="A670" s="1099"/>
      <c r="B670" s="1100"/>
      <c r="C670" s="1101"/>
      <c r="D670" s="1099"/>
      <c r="E670" s="488" t="str">
        <f xml:space="preserve"> E666</f>
        <v>Turnover tax (Chiffre d'Affaires 0.3PC)</v>
      </c>
      <c r="F670" s="488"/>
      <c r="G670" s="488" t="s">
        <v>346</v>
      </c>
      <c r="H670" s="488"/>
      <c r="I670" s="488">
        <f xml:space="preserve"> SUM(L670:AV670)</f>
        <v>36.17168207429534</v>
      </c>
      <c r="J670" s="386"/>
      <c r="K670" s="488"/>
      <c r="L670" s="488">
        <f t="shared" ref="L670:AS670" si="599" xml:space="preserve"> L668* $F666</f>
        <v>0</v>
      </c>
      <c r="M670" s="488">
        <f t="shared" si="599"/>
        <v>0</v>
      </c>
      <c r="N670" s="488">
        <f t="shared" si="599"/>
        <v>0</v>
      </c>
      <c r="O670" s="488">
        <f t="shared" si="599"/>
        <v>0</v>
      </c>
      <c r="P670" s="488">
        <f t="shared" si="599"/>
        <v>0</v>
      </c>
      <c r="Q670" s="488">
        <f t="shared" si="599"/>
        <v>0</v>
      </c>
      <c r="R670" s="488">
        <f t="shared" si="599"/>
        <v>0</v>
      </c>
      <c r="S670" s="488">
        <f t="shared" si="599"/>
        <v>0</v>
      </c>
      <c r="T670" s="488">
        <f t="shared" si="599"/>
        <v>0</v>
      </c>
      <c r="U670" s="488">
        <f t="shared" si="599"/>
        <v>0</v>
      </c>
      <c r="V670" s="488">
        <f t="shared" si="599"/>
        <v>0.31404181500000006</v>
      </c>
      <c r="W670" s="488">
        <f t="shared" si="599"/>
        <v>0.82536632399999987</v>
      </c>
      <c r="X670" s="488">
        <f t="shared" si="599"/>
        <v>1.3029954585129602</v>
      </c>
      <c r="Y670" s="488">
        <f t="shared" si="599"/>
        <v>2.0061437958324002</v>
      </c>
      <c r="Z670" s="488">
        <f t="shared" si="599"/>
        <v>3.3560971628366403</v>
      </c>
      <c r="AA670" s="488">
        <f t="shared" si="599"/>
        <v>3.1286356200757202</v>
      </c>
      <c r="AB670" s="488">
        <f t="shared" si="599"/>
        <v>3.0706451289885188</v>
      </c>
      <c r="AC670" s="488">
        <f t="shared" si="599"/>
        <v>1.9614291687777747</v>
      </c>
      <c r="AD670" s="488">
        <f t="shared" si="599"/>
        <v>2.8500910989634924</v>
      </c>
      <c r="AE670" s="488">
        <f t="shared" si="599"/>
        <v>2.8549932934785289</v>
      </c>
      <c r="AF670" s="488">
        <f t="shared" si="599"/>
        <v>2.8522133329429491</v>
      </c>
      <c r="AG670" s="488">
        <f t="shared" si="599"/>
        <v>2.8482672990523024</v>
      </c>
      <c r="AH670" s="488">
        <f t="shared" si="599"/>
        <v>2.852457417513504</v>
      </c>
      <c r="AI670" s="488">
        <f t="shared" si="599"/>
        <v>2.4380476477577542</v>
      </c>
      <c r="AJ670" s="488">
        <f t="shared" si="599"/>
        <v>2.4680766210267722</v>
      </c>
      <c r="AK670" s="488">
        <f t="shared" si="599"/>
        <v>1.0421808895360172</v>
      </c>
      <c r="AL670" s="488">
        <f t="shared" si="599"/>
        <v>0</v>
      </c>
      <c r="AM670" s="488">
        <f t="shared" si="599"/>
        <v>0</v>
      </c>
      <c r="AN670" s="488">
        <f t="shared" si="599"/>
        <v>0</v>
      </c>
      <c r="AO670" s="488">
        <f t="shared" si="599"/>
        <v>0</v>
      </c>
      <c r="AP670" s="488">
        <f t="shared" si="599"/>
        <v>0</v>
      </c>
      <c r="AQ670" s="488">
        <f t="shared" si="599"/>
        <v>0</v>
      </c>
      <c r="AR670" s="488">
        <f t="shared" si="599"/>
        <v>0</v>
      </c>
      <c r="AS670" s="488">
        <f t="shared" si="599"/>
        <v>0</v>
      </c>
    </row>
    <row r="671" spans="1:45" ht="15" customHeight="1" x14ac:dyDescent="0.3">
      <c r="A671" s="705"/>
      <c r="B671" s="706"/>
      <c r="C671" s="707"/>
      <c r="D671" s="705"/>
      <c r="E671" s="705"/>
      <c r="F671" s="705"/>
      <c r="G671" s="705"/>
      <c r="H671" s="705"/>
      <c r="I671" s="705"/>
      <c r="J671" s="705"/>
      <c r="K671" s="705"/>
      <c r="L671" s="705"/>
      <c r="M671" s="705"/>
      <c r="N671" s="705"/>
      <c r="O671" s="705"/>
      <c r="P671" s="705"/>
      <c r="Q671" s="705"/>
      <c r="R671" s="705"/>
      <c r="S671" s="705"/>
      <c r="T671" s="705"/>
      <c r="U671" s="705"/>
      <c r="V671" s="705"/>
      <c r="W671" s="705"/>
      <c r="X671" s="705"/>
      <c r="Y671" s="705"/>
      <c r="Z671" s="705"/>
      <c r="AA671" s="705"/>
      <c r="AB671" s="705"/>
      <c r="AC671" s="705"/>
      <c r="AD671" s="705"/>
      <c r="AE671" s="705"/>
      <c r="AF671" s="705"/>
      <c r="AG671" s="705"/>
      <c r="AH671" s="705"/>
      <c r="AI671" s="705"/>
      <c r="AJ671" s="705"/>
      <c r="AK671" s="705"/>
      <c r="AL671" s="705"/>
      <c r="AM671" s="705"/>
      <c r="AN671" s="705"/>
      <c r="AO671" s="705"/>
      <c r="AP671" s="705"/>
      <c r="AQ671" s="705"/>
      <c r="AR671" s="705"/>
      <c r="AS671" s="705"/>
    </row>
    <row r="672" spans="1:45" ht="15" customHeight="1" collapsed="1" x14ac:dyDescent="0.3">
      <c r="A672" s="15" t="s">
        <v>747</v>
      </c>
      <c r="B672" s="119"/>
      <c r="C672" s="120"/>
      <c r="D672" s="121"/>
      <c r="E672" s="119"/>
      <c r="F672" s="119"/>
      <c r="G672" s="119"/>
      <c r="H672" s="119"/>
      <c r="I672" s="119"/>
      <c r="J672" s="16"/>
      <c r="K672" s="16"/>
      <c r="L672" s="16"/>
      <c r="M672" s="16"/>
      <c r="N672" s="16"/>
      <c r="O672" s="16"/>
      <c r="P672" s="16"/>
      <c r="Q672" s="16"/>
      <c r="R672" s="16"/>
      <c r="S672" s="16"/>
      <c r="T672" s="16"/>
      <c r="U672" s="16"/>
      <c r="V672" s="16"/>
      <c r="W672" s="16"/>
      <c r="X672" s="16"/>
      <c r="Y672" s="16"/>
      <c r="Z672" s="16"/>
      <c r="AA672" s="16"/>
      <c r="AB672" s="16"/>
      <c r="AC672" s="16"/>
      <c r="AD672" s="16"/>
      <c r="AE672" s="16"/>
      <c r="AF672" s="16"/>
      <c r="AG672" s="16"/>
      <c r="AH672" s="16"/>
      <c r="AI672" s="16"/>
      <c r="AJ672" s="16"/>
      <c r="AK672" s="16"/>
      <c r="AL672" s="16"/>
      <c r="AM672" s="16"/>
      <c r="AN672" s="16"/>
      <c r="AO672" s="16"/>
      <c r="AP672" s="16"/>
      <c r="AQ672" s="16"/>
      <c r="AR672" s="16"/>
      <c r="AS672" s="16"/>
    </row>
    <row r="673" spans="1:45" ht="15" customHeight="1" x14ac:dyDescent="0.3">
      <c r="A673" s="705"/>
      <c r="B673" s="706"/>
      <c r="C673" s="707"/>
      <c r="D673" s="705"/>
      <c r="E673" s="705"/>
      <c r="F673" s="705"/>
      <c r="G673" s="705"/>
      <c r="H673" s="705"/>
      <c r="I673" s="705"/>
      <c r="J673" s="705"/>
      <c r="K673" s="705"/>
      <c r="L673" s="705"/>
      <c r="M673" s="705"/>
      <c r="N673" s="705"/>
      <c r="O673" s="705"/>
      <c r="P673" s="705"/>
      <c r="Q673" s="705"/>
      <c r="R673" s="705"/>
      <c r="S673" s="705"/>
      <c r="T673" s="705"/>
      <c r="U673" s="705"/>
      <c r="V673" s="705"/>
      <c r="W673" s="705"/>
      <c r="X673" s="705"/>
      <c r="Y673" s="705"/>
      <c r="Z673" s="705"/>
      <c r="AA673" s="705"/>
      <c r="AB673" s="705"/>
      <c r="AC673" s="705"/>
      <c r="AD673" s="705"/>
      <c r="AE673" s="705"/>
      <c r="AF673" s="705"/>
      <c r="AG673" s="705"/>
      <c r="AH673" s="705"/>
      <c r="AI673" s="705"/>
      <c r="AJ673" s="705"/>
      <c r="AK673" s="705"/>
      <c r="AL673" s="705"/>
      <c r="AM673" s="705"/>
      <c r="AN673" s="705"/>
      <c r="AO673" s="705"/>
      <c r="AP673" s="705"/>
      <c r="AQ673" s="705"/>
      <c r="AR673" s="705"/>
      <c r="AS673" s="705"/>
    </row>
    <row r="674" spans="1:45" ht="15" customHeight="1" x14ac:dyDescent="0.3">
      <c r="A674" s="705"/>
      <c r="B674" s="164" t="s">
        <v>748</v>
      </c>
      <c r="C674" s="707"/>
      <c r="D674" s="705"/>
      <c r="E674" s="705"/>
      <c r="F674" s="705"/>
      <c r="G674" s="705"/>
      <c r="H674" s="705"/>
      <c r="I674" s="705"/>
      <c r="J674" s="705"/>
      <c r="K674" s="705"/>
      <c r="L674" s="705"/>
      <c r="M674" s="705"/>
      <c r="N674" s="705"/>
      <c r="O674" s="705"/>
      <c r="P674" s="705"/>
      <c r="Q674" s="705"/>
      <c r="R674" s="705"/>
      <c r="S674" s="705"/>
      <c r="T674" s="705"/>
      <c r="U674" s="705"/>
      <c r="V674" s="705"/>
      <c r="W674" s="705"/>
      <c r="X674" s="705"/>
      <c r="Y674" s="705"/>
      <c r="Z674" s="705"/>
      <c r="AA674" s="705"/>
      <c r="AB674" s="705"/>
      <c r="AC674" s="705"/>
      <c r="AD674" s="705"/>
      <c r="AE674" s="705"/>
      <c r="AF674" s="705"/>
      <c r="AG674" s="705"/>
      <c r="AH674" s="705"/>
      <c r="AI674" s="705"/>
      <c r="AJ674" s="705"/>
      <c r="AK674" s="705"/>
      <c r="AL674" s="705"/>
      <c r="AM674" s="705"/>
      <c r="AN674" s="705"/>
      <c r="AO674" s="705"/>
      <c r="AP674" s="705"/>
      <c r="AQ674" s="705"/>
      <c r="AR674" s="705"/>
      <c r="AS674" s="705"/>
    </row>
    <row r="675" spans="1:45" ht="15" customHeight="1" x14ac:dyDescent="0.3">
      <c r="A675" s="705"/>
      <c r="B675" s="706"/>
      <c r="C675" s="799" t="s">
        <v>764</v>
      </c>
      <c r="D675" s="705"/>
      <c r="E675" s="705"/>
      <c r="F675" s="705"/>
      <c r="G675" s="705"/>
      <c r="H675" s="705"/>
      <c r="I675" s="705"/>
      <c r="J675" s="705"/>
      <c r="K675" s="705"/>
      <c r="L675" s="705"/>
      <c r="M675" s="705"/>
      <c r="N675" s="705"/>
      <c r="O675" s="705"/>
      <c r="P675" s="705"/>
      <c r="Q675" s="705"/>
      <c r="R675" s="705"/>
      <c r="S675" s="705"/>
      <c r="T675" s="705"/>
      <c r="U675" s="705"/>
      <c r="V675" s="705"/>
      <c r="W675" s="705"/>
      <c r="X675" s="705"/>
      <c r="Y675" s="705"/>
      <c r="Z675" s="705"/>
      <c r="AA675" s="705"/>
      <c r="AB675" s="705"/>
      <c r="AC675" s="705"/>
      <c r="AD675" s="705"/>
      <c r="AE675" s="705"/>
      <c r="AF675" s="705"/>
      <c r="AG675" s="705"/>
      <c r="AH675" s="705"/>
      <c r="AI675" s="705"/>
      <c r="AJ675" s="705"/>
      <c r="AK675" s="705"/>
      <c r="AL675" s="705"/>
      <c r="AM675" s="705"/>
      <c r="AN675" s="705"/>
      <c r="AO675" s="705"/>
      <c r="AP675" s="705"/>
      <c r="AQ675" s="705"/>
      <c r="AR675" s="705"/>
      <c r="AS675" s="705"/>
    </row>
    <row r="676" spans="1:45" ht="15" customHeight="1" x14ac:dyDescent="0.3">
      <c r="A676" s="88"/>
      <c r="B676" s="288"/>
      <c r="C676" s="289"/>
      <c r="D676" s="292"/>
      <c r="E676" s="362" t="str">
        <f xml:space="preserve"> 'Inputs_ FS'!E$28</f>
        <v>Copper price: FS</v>
      </c>
      <c r="F676" s="362">
        <f xml:space="preserve"> 'Inputs_ FS'!F$28</f>
        <v>0</v>
      </c>
      <c r="G676" s="362" t="str">
        <f xml:space="preserve"> 'Inputs_ FS'!G$28</f>
        <v>$ /tCu</v>
      </c>
      <c r="H676" s="362" t="str">
        <f xml:space="preserve"> 'Inputs_ FS'!H$28</f>
        <v>M</v>
      </c>
      <c r="I676" s="362">
        <f xml:space="preserve"> 'Inputs_ FS'!I$28</f>
        <v>0</v>
      </c>
      <c r="J676" s="362">
        <f xml:space="preserve"> 'Inputs_ FS'!J$28</f>
        <v>0</v>
      </c>
      <c r="K676" s="362">
        <f xml:space="preserve"> 'Inputs_ FS'!K$28</f>
        <v>0</v>
      </c>
      <c r="L676" s="362">
        <f xml:space="preserve"> 'Inputs_ FS'!L$28</f>
        <v>0</v>
      </c>
      <c r="M676" s="362">
        <f xml:space="preserve"> 'Inputs_ FS'!M$28</f>
        <v>0</v>
      </c>
      <c r="N676" s="362">
        <f xml:space="preserve"> 'Inputs_ FS'!N$28</f>
        <v>0</v>
      </c>
      <c r="O676" s="362">
        <f xml:space="preserve"> 'Inputs_ FS'!O$28</f>
        <v>0</v>
      </c>
      <c r="P676" s="362">
        <f xml:space="preserve"> 'Inputs_ FS'!P$28</f>
        <v>0</v>
      </c>
      <c r="Q676" s="362">
        <f xml:space="preserve"> 'Inputs_ FS'!Q$28</f>
        <v>0</v>
      </c>
      <c r="R676" s="362">
        <f xml:space="preserve"> 'Inputs_ FS'!R$28</f>
        <v>0</v>
      </c>
      <c r="S676" s="362">
        <f xml:space="preserve"> 'Inputs_ FS'!S$28</f>
        <v>0</v>
      </c>
      <c r="T676" s="362">
        <f xml:space="preserve"> 'Inputs_ FS'!T$28</f>
        <v>0</v>
      </c>
      <c r="U676" s="362">
        <f xml:space="preserve"> 'Inputs_ FS'!U$28</f>
        <v>0</v>
      </c>
      <c r="V676" s="362">
        <f xml:space="preserve"> 'Inputs_ FS'!V$28</f>
        <v>5370</v>
      </c>
      <c r="W676" s="362">
        <f xml:space="preserve"> 'Inputs_ FS'!W$28</f>
        <v>6009</v>
      </c>
      <c r="X676" s="362">
        <f xml:space="preserve"> 'Inputs_ FS'!X$28</f>
        <v>5535</v>
      </c>
      <c r="Y676" s="362">
        <f xml:space="preserve"> 'Inputs_ FS'!Y$28</f>
        <v>5998</v>
      </c>
      <c r="Z676" s="362">
        <f xml:space="preserve"> 'Inputs_ FS'!Z$28</f>
        <v>8360</v>
      </c>
      <c r="AA676" s="362">
        <f xml:space="preserve"> 'Inputs_ FS'!AA$28</f>
        <v>6819</v>
      </c>
      <c r="AB676" s="362">
        <f xml:space="preserve"> 'Inputs_ FS'!AB$28</f>
        <v>8000</v>
      </c>
      <c r="AC676" s="362">
        <f xml:space="preserve"> 'Inputs_ FS'!AC$28</f>
        <v>8000</v>
      </c>
      <c r="AD676" s="362">
        <f xml:space="preserve"> 'Inputs_ FS'!AD$28</f>
        <v>8000</v>
      </c>
      <c r="AE676" s="362">
        <f xml:space="preserve"> 'Inputs_ FS'!AE$28</f>
        <v>8000</v>
      </c>
      <c r="AF676" s="362">
        <f xml:space="preserve"> 'Inputs_ FS'!AF$28</f>
        <v>8000</v>
      </c>
      <c r="AG676" s="362">
        <f xml:space="preserve"> 'Inputs_ FS'!AG$28</f>
        <v>8000</v>
      </c>
      <c r="AH676" s="362">
        <f xml:space="preserve"> 'Inputs_ FS'!AH$28</f>
        <v>8000</v>
      </c>
      <c r="AI676" s="362">
        <f xml:space="preserve"> 'Inputs_ FS'!AI$28</f>
        <v>8000</v>
      </c>
      <c r="AJ676" s="362">
        <f xml:space="preserve"> 'Inputs_ FS'!AJ$28</f>
        <v>8000</v>
      </c>
      <c r="AK676" s="362">
        <f xml:space="preserve"> 'Inputs_ FS'!AK$28</f>
        <v>8000</v>
      </c>
      <c r="AL676" s="362">
        <f xml:space="preserve"> 'Inputs_ FS'!AL$28</f>
        <v>0</v>
      </c>
      <c r="AM676" s="362">
        <f xml:space="preserve"> 'Inputs_ FS'!AM$28</f>
        <v>0</v>
      </c>
      <c r="AN676" s="362">
        <f xml:space="preserve"> 'Inputs_ FS'!AN$28</f>
        <v>0</v>
      </c>
      <c r="AO676" s="362">
        <f xml:space="preserve"> 'Inputs_ FS'!AO$28</f>
        <v>0</v>
      </c>
      <c r="AP676" s="362">
        <f xml:space="preserve"> 'Inputs_ FS'!AP$28</f>
        <v>0</v>
      </c>
      <c r="AQ676" s="362">
        <f xml:space="preserve"> 'Inputs_ FS'!AQ$28</f>
        <v>0</v>
      </c>
      <c r="AR676" s="362">
        <f xml:space="preserve"> 'Inputs_ FS'!AR$28</f>
        <v>0</v>
      </c>
      <c r="AS676" s="362">
        <f xml:space="preserve"> 'Inputs_ FS'!AS$28</f>
        <v>0</v>
      </c>
    </row>
    <row r="677" spans="1:45" ht="15" customHeight="1" x14ac:dyDescent="0.3">
      <c r="A677" s="88"/>
      <c r="B677" s="288"/>
      <c r="C677" s="289"/>
      <c r="D677" s="292"/>
      <c r="E677" s="362"/>
      <c r="F677" s="362"/>
      <c r="G677" s="362"/>
      <c r="H677" s="362"/>
      <c r="I677" s="362"/>
      <c r="J677" s="362"/>
      <c r="K677" s="362"/>
      <c r="L677" s="362"/>
      <c r="M677" s="362"/>
      <c r="N677" s="362"/>
      <c r="O677" s="362"/>
      <c r="P677" s="362"/>
      <c r="Q677" s="362"/>
      <c r="R677" s="362"/>
      <c r="S677" s="362"/>
      <c r="T677" s="362"/>
      <c r="U677" s="362"/>
      <c r="V677" s="362"/>
      <c r="W677" s="362"/>
      <c r="X677" s="362"/>
      <c r="Y677" s="362"/>
      <c r="Z677" s="362"/>
      <c r="AA677" s="362"/>
      <c r="AB677" s="362"/>
      <c r="AC677" s="362"/>
      <c r="AD677" s="362"/>
      <c r="AE677" s="362"/>
      <c r="AF677" s="362"/>
      <c r="AG677" s="362"/>
      <c r="AH677" s="362"/>
      <c r="AI677" s="362"/>
      <c r="AJ677" s="362"/>
      <c r="AK677" s="362"/>
      <c r="AL677" s="362"/>
      <c r="AM677" s="362"/>
      <c r="AN677" s="362"/>
      <c r="AO677" s="362"/>
      <c r="AP677" s="362"/>
      <c r="AQ677" s="362"/>
      <c r="AR677" s="362"/>
      <c r="AS677" s="362"/>
    </row>
    <row r="678" spans="1:45" ht="15" customHeight="1" x14ac:dyDescent="0.3">
      <c r="A678" s="177"/>
      <c r="B678" s="800"/>
      <c r="C678" s="801"/>
      <c r="D678" s="802"/>
      <c r="E678" s="362" t="str">
        <f xml:space="preserve"> COMMUS_23FS_Model!E$73</f>
        <v>Cobalt price: FS payable</v>
      </c>
      <c r="F678" s="362">
        <f xml:space="preserve"> COMMUS_23FS_Model!F$73</f>
        <v>0</v>
      </c>
      <c r="G678" s="362" t="str">
        <f xml:space="preserve"> COMMUS_23FS_Model!G$73</f>
        <v>$ /lbCo</v>
      </c>
      <c r="H678" s="362">
        <f xml:space="preserve"> COMMUS_23FS_Model!H$73</f>
        <v>0</v>
      </c>
      <c r="I678" s="362">
        <f xml:space="preserve"> COMMUS_23FS_Model!I$73</f>
        <v>0</v>
      </c>
      <c r="J678" s="362">
        <f xml:space="preserve"> COMMUS_23FS_Model!J$73</f>
        <v>0</v>
      </c>
      <c r="K678" s="362">
        <f xml:space="preserve"> COMMUS_23FS_Model!K$73</f>
        <v>0</v>
      </c>
      <c r="L678" s="362">
        <f xml:space="preserve"> COMMUS_23FS_Model!L$73</f>
        <v>0</v>
      </c>
      <c r="M678" s="362">
        <f xml:space="preserve"> COMMUS_23FS_Model!M$73</f>
        <v>0</v>
      </c>
      <c r="N678" s="362">
        <f xml:space="preserve"> COMMUS_23FS_Model!N$73</f>
        <v>0</v>
      </c>
      <c r="O678" s="362">
        <f xml:space="preserve"> COMMUS_23FS_Model!O$73</f>
        <v>0</v>
      </c>
      <c r="P678" s="362">
        <f xml:space="preserve"> COMMUS_23FS_Model!P$73</f>
        <v>0</v>
      </c>
      <c r="Q678" s="362">
        <f xml:space="preserve"> COMMUS_23FS_Model!Q$73</f>
        <v>0</v>
      </c>
      <c r="R678" s="362">
        <f xml:space="preserve"> COMMUS_23FS_Model!R$73</f>
        <v>0</v>
      </c>
      <c r="S678" s="362">
        <f xml:space="preserve"> COMMUS_23FS_Model!S$73</f>
        <v>0</v>
      </c>
      <c r="T678" s="362">
        <f xml:space="preserve"> COMMUS_23FS_Model!T$73</f>
        <v>0</v>
      </c>
      <c r="U678" s="362">
        <f xml:space="preserve"> COMMUS_23FS_Model!U$73</f>
        <v>0</v>
      </c>
      <c r="V678" s="362">
        <f xml:space="preserve"> COMMUS_23FS_Model!V$73</f>
        <v>12.6</v>
      </c>
      <c r="W678" s="362">
        <f xml:space="preserve"> COMMUS_23FS_Model!W$73</f>
        <v>12.6</v>
      </c>
      <c r="X678" s="362">
        <f xml:space="preserve"> COMMUS_23FS_Model!X$73</f>
        <v>11.2</v>
      </c>
      <c r="Y678" s="362">
        <f xml:space="preserve"> COMMUS_23FS_Model!Y$73</f>
        <v>10.5</v>
      </c>
      <c r="Z678" s="362">
        <f xml:space="preserve"> COMMUS_23FS_Model!Z$73</f>
        <v>16.799999999999997</v>
      </c>
      <c r="AA678" s="362">
        <f xml:space="preserve"> COMMUS_23FS_Model!AA$73</f>
        <v>18.899999999999999</v>
      </c>
      <c r="AB678" s="362">
        <f xml:space="preserve"> COMMUS_23FS_Model!AB$73</f>
        <v>12.6</v>
      </c>
      <c r="AC678" s="362">
        <f xml:space="preserve"> COMMUS_23FS_Model!AC$73</f>
        <v>12.6</v>
      </c>
      <c r="AD678" s="362">
        <f xml:space="preserve"> COMMUS_23FS_Model!AD$73</f>
        <v>12.6</v>
      </c>
      <c r="AE678" s="362">
        <f xml:space="preserve"> COMMUS_23FS_Model!AE$73</f>
        <v>12.6</v>
      </c>
      <c r="AF678" s="362">
        <f xml:space="preserve"> COMMUS_23FS_Model!AF$73</f>
        <v>12.6</v>
      </c>
      <c r="AG678" s="362">
        <f xml:space="preserve"> COMMUS_23FS_Model!AG$73</f>
        <v>12.6</v>
      </c>
      <c r="AH678" s="362">
        <f xml:space="preserve"> COMMUS_23FS_Model!AH$73</f>
        <v>12.6</v>
      </c>
      <c r="AI678" s="362">
        <f xml:space="preserve"> COMMUS_23FS_Model!AI$73</f>
        <v>12.6</v>
      </c>
      <c r="AJ678" s="362">
        <f xml:space="preserve"> COMMUS_23FS_Model!AJ$73</f>
        <v>12.6</v>
      </c>
      <c r="AK678" s="362">
        <f xml:space="preserve"> COMMUS_23FS_Model!AK$73</f>
        <v>12.6</v>
      </c>
      <c r="AL678" s="362">
        <f xml:space="preserve"> COMMUS_23FS_Model!AL$73</f>
        <v>0</v>
      </c>
      <c r="AM678" s="362">
        <f xml:space="preserve"> COMMUS_23FS_Model!AM$73</f>
        <v>0</v>
      </c>
      <c r="AN678" s="362">
        <f xml:space="preserve"> COMMUS_23FS_Model!AN$73</f>
        <v>0</v>
      </c>
      <c r="AO678" s="362">
        <f xml:space="preserve"> COMMUS_23FS_Model!AO$73</f>
        <v>0</v>
      </c>
      <c r="AP678" s="362">
        <f xml:space="preserve"> COMMUS_23FS_Model!AP$73</f>
        <v>0</v>
      </c>
      <c r="AQ678" s="362">
        <f xml:space="preserve"> COMMUS_23FS_Model!AQ$73</f>
        <v>0</v>
      </c>
      <c r="AR678" s="362">
        <f xml:space="preserve"> COMMUS_23FS_Model!AR$73</f>
        <v>0</v>
      </c>
      <c r="AS678" s="362">
        <f xml:space="preserve"> COMMUS_23FS_Model!AS$73</f>
        <v>0</v>
      </c>
    </row>
    <row r="679" spans="1:45" ht="15" customHeight="1" x14ac:dyDescent="0.3">
      <c r="A679" s="705"/>
      <c r="B679" s="706"/>
      <c r="C679" s="707"/>
      <c r="D679" s="705"/>
      <c r="E679" s="61" t="str">
        <f xml:space="preserve"> Inputs_Con!E$150</f>
        <v>Convert  lb / tonnes</v>
      </c>
      <c r="F679" s="94">
        <f xml:space="preserve"> Inputs_Con!F$150</f>
        <v>2204.62</v>
      </c>
      <c r="G679" s="61" t="str">
        <f xml:space="preserve"> Inputs_Con!G$150</f>
        <v>lb / tonne</v>
      </c>
      <c r="H679" s="705"/>
      <c r="I679" s="705"/>
      <c r="J679" s="705"/>
      <c r="K679" s="705"/>
      <c r="L679" s="705"/>
      <c r="M679" s="705"/>
      <c r="N679" s="705"/>
      <c r="O679" s="705"/>
      <c r="P679" s="705"/>
      <c r="Q679" s="705"/>
      <c r="R679" s="705"/>
      <c r="S679" s="705"/>
      <c r="T679" s="705"/>
      <c r="U679" s="705"/>
      <c r="V679" s="705"/>
      <c r="W679" s="705"/>
      <c r="X679" s="705"/>
      <c r="Y679" s="705"/>
      <c r="Z679" s="705"/>
      <c r="AA679" s="705"/>
      <c r="AB679" s="705"/>
      <c r="AC679" s="705"/>
      <c r="AD679" s="705"/>
      <c r="AE679" s="705"/>
      <c r="AF679" s="705"/>
      <c r="AG679" s="705"/>
      <c r="AH679" s="705"/>
      <c r="AI679" s="705"/>
      <c r="AJ679" s="705"/>
      <c r="AK679" s="705"/>
      <c r="AL679" s="705"/>
      <c r="AM679" s="705"/>
      <c r="AN679" s="705"/>
      <c r="AO679" s="705"/>
      <c r="AP679" s="705"/>
      <c r="AQ679" s="705"/>
      <c r="AR679" s="705"/>
      <c r="AS679" s="705"/>
    </row>
    <row r="680" spans="1:45" ht="15" customHeight="1" x14ac:dyDescent="0.3">
      <c r="A680" s="705"/>
      <c r="B680" s="706"/>
      <c r="C680" s="707"/>
      <c r="D680" s="705"/>
      <c r="E680" s="61" t="s">
        <v>776</v>
      </c>
      <c r="F680" s="94"/>
      <c r="G680" s="61"/>
      <c r="H680" s="705"/>
      <c r="I680" s="705"/>
      <c r="J680" s="705"/>
      <c r="K680" s="705">
        <f t="shared" ref="K680:O680" si="600">K678 * $F679</f>
        <v>0</v>
      </c>
      <c r="L680" s="705">
        <f t="shared" si="600"/>
        <v>0</v>
      </c>
      <c r="M680" s="705">
        <f t="shared" si="600"/>
        <v>0</v>
      </c>
      <c r="N680" s="705">
        <f t="shared" si="600"/>
        <v>0</v>
      </c>
      <c r="O680" s="705">
        <f t="shared" si="600"/>
        <v>0</v>
      </c>
      <c r="P680" s="705">
        <f t="shared" ref="P680:AS680" si="601">P678 * $F679</f>
        <v>0</v>
      </c>
      <c r="Q680" s="705">
        <f t="shared" si="601"/>
        <v>0</v>
      </c>
      <c r="R680" s="705">
        <f t="shared" si="601"/>
        <v>0</v>
      </c>
      <c r="S680" s="705">
        <f t="shared" si="601"/>
        <v>0</v>
      </c>
      <c r="T680" s="705">
        <f t="shared" si="601"/>
        <v>0</v>
      </c>
      <c r="U680" s="705">
        <f t="shared" si="601"/>
        <v>0</v>
      </c>
      <c r="V680" s="705">
        <f t="shared" si="601"/>
        <v>27778.212</v>
      </c>
      <c r="W680" s="705">
        <f t="shared" si="601"/>
        <v>27778.212</v>
      </c>
      <c r="X680" s="705">
        <f t="shared" si="601"/>
        <v>24691.743999999999</v>
      </c>
      <c r="Y680" s="705">
        <f t="shared" si="601"/>
        <v>23148.51</v>
      </c>
      <c r="Z680" s="705">
        <f t="shared" si="601"/>
        <v>37037.615999999995</v>
      </c>
      <c r="AA680" s="705">
        <f t="shared" si="601"/>
        <v>41667.317999999992</v>
      </c>
      <c r="AB680" s="705">
        <f t="shared" si="601"/>
        <v>27778.212</v>
      </c>
      <c r="AC680" s="705">
        <f t="shared" si="601"/>
        <v>27778.212</v>
      </c>
      <c r="AD680" s="705">
        <f t="shared" si="601"/>
        <v>27778.212</v>
      </c>
      <c r="AE680" s="705">
        <f t="shared" si="601"/>
        <v>27778.212</v>
      </c>
      <c r="AF680" s="705">
        <f t="shared" si="601"/>
        <v>27778.212</v>
      </c>
      <c r="AG680" s="705">
        <f t="shared" si="601"/>
        <v>27778.212</v>
      </c>
      <c r="AH680" s="705">
        <f t="shared" si="601"/>
        <v>27778.212</v>
      </c>
      <c r="AI680" s="705">
        <f t="shared" si="601"/>
        <v>27778.212</v>
      </c>
      <c r="AJ680" s="705">
        <f t="shared" si="601"/>
        <v>27778.212</v>
      </c>
      <c r="AK680" s="705">
        <f t="shared" si="601"/>
        <v>27778.212</v>
      </c>
      <c r="AL680" s="705">
        <f t="shared" si="601"/>
        <v>0</v>
      </c>
      <c r="AM680" s="705">
        <f t="shared" si="601"/>
        <v>0</v>
      </c>
      <c r="AN680" s="705">
        <f t="shared" si="601"/>
        <v>0</v>
      </c>
      <c r="AO680" s="705">
        <f t="shared" si="601"/>
        <v>0</v>
      </c>
      <c r="AP680" s="705">
        <f t="shared" si="601"/>
        <v>0</v>
      </c>
      <c r="AQ680" s="705">
        <f t="shared" si="601"/>
        <v>0</v>
      </c>
      <c r="AR680" s="705">
        <f t="shared" si="601"/>
        <v>0</v>
      </c>
      <c r="AS680" s="705">
        <f t="shared" si="601"/>
        <v>0</v>
      </c>
    </row>
    <row r="681" spans="1:45" ht="15" customHeight="1" x14ac:dyDescent="0.3">
      <c r="A681" s="705"/>
      <c r="B681" s="706"/>
      <c r="C681" s="707"/>
      <c r="D681" s="705"/>
      <c r="E681" s="61"/>
      <c r="F681" s="94"/>
      <c r="G681" s="61"/>
      <c r="H681" s="705"/>
      <c r="I681" s="705"/>
      <c r="J681" s="705"/>
      <c r="K681" s="705"/>
      <c r="L681" s="705"/>
      <c r="M681" s="705"/>
      <c r="N681" s="705"/>
      <c r="O681" s="705"/>
      <c r="P681" s="705"/>
      <c r="Q681" s="705"/>
      <c r="R681" s="705"/>
      <c r="S681" s="705"/>
      <c r="T681" s="705"/>
      <c r="U681" s="705"/>
      <c r="V681" s="705"/>
      <c r="W681" s="705"/>
      <c r="X681" s="705"/>
      <c r="Y681" s="705"/>
      <c r="Z681" s="705"/>
      <c r="AA681" s="705"/>
      <c r="AB681" s="705"/>
      <c r="AC681" s="705"/>
      <c r="AD681" s="705"/>
      <c r="AE681" s="705"/>
      <c r="AF681" s="705"/>
      <c r="AG681" s="705"/>
      <c r="AH681" s="705"/>
      <c r="AI681" s="705"/>
      <c r="AJ681" s="705"/>
      <c r="AK681" s="705"/>
      <c r="AL681" s="705"/>
      <c r="AM681" s="705"/>
      <c r="AN681" s="705"/>
      <c r="AO681" s="705"/>
      <c r="AP681" s="705"/>
      <c r="AQ681" s="705"/>
      <c r="AR681" s="705"/>
      <c r="AS681" s="705"/>
    </row>
    <row r="682" spans="1:45" ht="15" customHeight="1" x14ac:dyDescent="0.3">
      <c r="A682" s="705"/>
      <c r="B682" s="706"/>
      <c r="C682" s="707"/>
      <c r="D682" s="705"/>
      <c r="E682" s="1002" t="str">
        <f xml:space="preserve"> 'T&amp;E'!E$9</f>
        <v>Model calendar year</v>
      </c>
      <c r="F682" s="1002">
        <f xml:space="preserve"> 'T&amp;E'!F$9</f>
        <v>0</v>
      </c>
      <c r="G682" s="1002" t="str">
        <f xml:space="preserve"> 'T&amp;E'!G$9</f>
        <v>year</v>
      </c>
      <c r="H682" s="1002">
        <f xml:space="preserve"> 'T&amp;E'!H$9</f>
        <v>0</v>
      </c>
      <c r="I682" s="1002">
        <f xml:space="preserve"> 'T&amp;E'!I$9</f>
        <v>0</v>
      </c>
      <c r="J682" s="1002">
        <f xml:space="preserve"> 'T&amp;E'!J$9</f>
        <v>0</v>
      </c>
      <c r="K682" s="1002">
        <f xml:space="preserve"> 'T&amp;E'!K$9</f>
        <v>2006</v>
      </c>
      <c r="L682" s="1002">
        <f xml:space="preserve"> 'T&amp;E'!L$9</f>
        <v>2007</v>
      </c>
      <c r="M682" s="1002">
        <f xml:space="preserve"> 'T&amp;E'!M$9</f>
        <v>2008</v>
      </c>
      <c r="N682" s="1002">
        <f xml:space="preserve"> 'T&amp;E'!N$9</f>
        <v>2009</v>
      </c>
      <c r="O682" s="1002">
        <f xml:space="preserve"> 'T&amp;E'!O$9</f>
        <v>2010</v>
      </c>
      <c r="P682" s="1002">
        <f xml:space="preserve"> 'T&amp;E'!P$9</f>
        <v>2011</v>
      </c>
      <c r="Q682" s="1002">
        <f xml:space="preserve"> 'T&amp;E'!Q$9</f>
        <v>2012</v>
      </c>
      <c r="R682" s="1002">
        <f xml:space="preserve"> 'T&amp;E'!R$9</f>
        <v>2013</v>
      </c>
      <c r="S682" s="1002">
        <f xml:space="preserve"> 'T&amp;E'!S$9</f>
        <v>2014</v>
      </c>
      <c r="T682" s="1002">
        <f xml:space="preserve"> 'T&amp;E'!T$9</f>
        <v>2015</v>
      </c>
      <c r="U682" s="1002">
        <f xml:space="preserve"> 'T&amp;E'!U$9</f>
        <v>2016</v>
      </c>
      <c r="V682" s="1002">
        <f xml:space="preserve"> 'T&amp;E'!V$9</f>
        <v>2017</v>
      </c>
      <c r="W682" s="1002">
        <f xml:space="preserve"> 'T&amp;E'!W$9</f>
        <v>2018</v>
      </c>
      <c r="X682" s="1002">
        <f xml:space="preserve"> 'T&amp;E'!X$9</f>
        <v>2019</v>
      </c>
      <c r="Y682" s="1002">
        <f xml:space="preserve"> 'T&amp;E'!Y$9</f>
        <v>2020</v>
      </c>
      <c r="Z682" s="1002">
        <f xml:space="preserve"> 'T&amp;E'!Z$9</f>
        <v>2021</v>
      </c>
      <c r="AA682" s="1002">
        <f xml:space="preserve"> 'T&amp;E'!AA$9</f>
        <v>2022</v>
      </c>
      <c r="AB682" s="1002">
        <f xml:space="preserve"> 'T&amp;E'!AB$9</f>
        <v>2023</v>
      </c>
      <c r="AC682" s="1002">
        <f xml:space="preserve"> 'T&amp;E'!AC$9</f>
        <v>2024</v>
      </c>
      <c r="AD682" s="1002">
        <f xml:space="preserve"> 'T&amp;E'!AD$9</f>
        <v>2025</v>
      </c>
      <c r="AE682" s="1002">
        <f xml:space="preserve"> 'T&amp;E'!AE$9</f>
        <v>2026</v>
      </c>
      <c r="AF682" s="1002">
        <f xml:space="preserve"> 'T&amp;E'!AF$9</f>
        <v>2027</v>
      </c>
      <c r="AG682" s="1002">
        <f xml:space="preserve"> 'T&amp;E'!AG$9</f>
        <v>2028</v>
      </c>
      <c r="AH682" s="1002">
        <f xml:space="preserve"> 'T&amp;E'!AH$9</f>
        <v>2029</v>
      </c>
      <c r="AI682" s="1002">
        <f xml:space="preserve"> 'T&amp;E'!AI$9</f>
        <v>2030</v>
      </c>
      <c r="AJ682" s="1002">
        <f xml:space="preserve"> 'T&amp;E'!AJ$9</f>
        <v>2031</v>
      </c>
      <c r="AK682" s="1002">
        <f xml:space="preserve"> 'T&amp;E'!AK$9</f>
        <v>2032</v>
      </c>
      <c r="AL682" s="1002">
        <f xml:space="preserve"> 'T&amp;E'!AL$9</f>
        <v>2033</v>
      </c>
      <c r="AM682" s="1002">
        <f xml:space="preserve"> 'T&amp;E'!AM$9</f>
        <v>2034</v>
      </c>
      <c r="AN682" s="1002">
        <f xml:space="preserve"> 'T&amp;E'!AN$9</f>
        <v>2035</v>
      </c>
      <c r="AO682" s="1002">
        <f xml:space="preserve"> 'T&amp;E'!AO$9</f>
        <v>2036</v>
      </c>
      <c r="AP682" s="1002">
        <f xml:space="preserve"> 'T&amp;E'!AP$9</f>
        <v>2037</v>
      </c>
      <c r="AQ682" s="1002">
        <f xml:space="preserve"> 'T&amp;E'!AQ$9</f>
        <v>2038</v>
      </c>
      <c r="AR682" s="1002">
        <f xml:space="preserve"> 'T&amp;E'!AR$9</f>
        <v>2039</v>
      </c>
      <c r="AS682" s="1002">
        <f xml:space="preserve"> 'T&amp;E'!AS$9</f>
        <v>2040</v>
      </c>
    </row>
    <row r="683" spans="1:45" ht="15" customHeight="1" x14ac:dyDescent="0.3">
      <c r="A683" s="705"/>
      <c r="B683" s="706"/>
      <c r="C683" s="707"/>
      <c r="D683" s="705"/>
      <c r="E683" s="1002" t="str">
        <f xml:space="preserve"> 'T&amp;E'!E$30</f>
        <v>USD CPI Inflation (incl forecast)</v>
      </c>
      <c r="F683" s="1002">
        <f xml:space="preserve"> 'T&amp;E'!F$30</f>
        <v>0</v>
      </c>
      <c r="G683" s="1002" t="str">
        <f xml:space="preserve"> 'T&amp;E'!G$30</f>
        <v>Index</v>
      </c>
      <c r="H683" s="1002">
        <f xml:space="preserve"> 'T&amp;E'!H$30</f>
        <v>0</v>
      </c>
      <c r="I683" s="1002">
        <f xml:space="preserve"> 'T&amp;E'!I$30</f>
        <v>0</v>
      </c>
      <c r="J683" s="1002">
        <f xml:space="preserve"> 'T&amp;E'!J$30</f>
        <v>0</v>
      </c>
      <c r="K683" s="1002">
        <f xml:space="preserve"> 'T&amp;E'!K$30</f>
        <v>201.55799999999999</v>
      </c>
      <c r="L683" s="1002">
        <f xml:space="preserve"> 'T&amp;E'!L$30</f>
        <v>207.34399999999999</v>
      </c>
      <c r="M683" s="1002">
        <f xml:space="preserve"> 'T&amp;E'!M$30</f>
        <v>215.25399999999999</v>
      </c>
      <c r="N683" s="1002">
        <f xml:space="preserve"> 'T&amp;E'!N$30</f>
        <v>214.565</v>
      </c>
      <c r="O683" s="1002">
        <f xml:space="preserve"> 'T&amp;E'!O$30</f>
        <v>218.07599999999999</v>
      </c>
      <c r="P683" s="1002">
        <f xml:space="preserve"> 'T&amp;E'!P$30</f>
        <v>224.923</v>
      </c>
      <c r="Q683" s="1002">
        <f xml:space="preserve"> 'T&amp;E'!Q$30</f>
        <v>229.58600000000001</v>
      </c>
      <c r="R683" s="1002">
        <f xml:space="preserve"> 'T&amp;E'!R$30</f>
        <v>232.952</v>
      </c>
      <c r="S683" s="1002">
        <f xml:space="preserve"> 'T&amp;E'!S$30</f>
        <v>236.715</v>
      </c>
      <c r="T683" s="1002">
        <f xml:space="preserve"> 'T&amp;E'!T$30</f>
        <v>237.00200000000001</v>
      </c>
      <c r="U683" s="1002">
        <f xml:space="preserve"> 'T&amp;E'!U$30</f>
        <v>240.005</v>
      </c>
      <c r="V683" s="1002">
        <f xml:space="preserve"> 'T&amp;E'!V$30</f>
        <v>245.12100000000001</v>
      </c>
      <c r="W683" s="1002">
        <f xml:space="preserve"> 'T&amp;E'!W$30</f>
        <v>251.1</v>
      </c>
      <c r="X683" s="1002">
        <f xml:space="preserve"> 'T&amp;E'!X$30</f>
        <v>255.65299999999999</v>
      </c>
      <c r="Y683" s="1002">
        <f xml:space="preserve"> 'T&amp;E'!Y$30</f>
        <v>258.85599999999999</v>
      </c>
      <c r="Z683" s="1002">
        <f xml:space="preserve"> 'T&amp;E'!Z$30</f>
        <v>270.96800000000002</v>
      </c>
      <c r="AA683" s="1002">
        <f xml:space="preserve"> 'T&amp;E'!AA$30</f>
        <v>292.625</v>
      </c>
      <c r="AB683" s="1002">
        <f xml:space="preserve"> 'T&amp;E'!AB$30</f>
        <v>304.70400000000001</v>
      </c>
      <c r="AC683" s="1002">
        <f xml:space="preserve"> 'T&amp;E'!AC$30</f>
        <v>313.69799999999998</v>
      </c>
      <c r="AD683" s="1002">
        <f xml:space="preserve"> 'T&amp;E'!AD$30</f>
        <v>323.07</v>
      </c>
      <c r="AE683" s="1002">
        <f xml:space="preserve"> 'T&amp;E'!AE$30</f>
        <v>331.03500000000003</v>
      </c>
      <c r="AF683" s="1002">
        <f xml:space="preserve"> 'T&amp;E'!AF$30</f>
        <v>338.02100000000002</v>
      </c>
      <c r="AG683" s="1002">
        <f xml:space="preserve"> 'T&amp;E'!AG$30</f>
        <v>345.30700000000002</v>
      </c>
      <c r="AH683" s="1002">
        <f xml:space="preserve"> 'T&amp;E'!AH$30</f>
        <v>352.79700000000003</v>
      </c>
      <c r="AI683" s="1002">
        <f xml:space="preserve"> 'T&amp;E'!AI$30</f>
        <v>360.47</v>
      </c>
      <c r="AJ683" s="1002">
        <f xml:space="preserve"> 'T&amp;E'!AJ$30</f>
        <v>367.67940000000004</v>
      </c>
      <c r="AK683" s="1002">
        <f xml:space="preserve"> 'T&amp;E'!AK$30</f>
        <v>375.03298800000005</v>
      </c>
      <c r="AL683" s="1002">
        <f xml:space="preserve"> 'T&amp;E'!AL$30</f>
        <v>382.53364776000006</v>
      </c>
      <c r="AM683" s="1002">
        <f xml:space="preserve"> 'T&amp;E'!AM$30</f>
        <v>390.18432071520004</v>
      </c>
      <c r="AN683" s="1002">
        <f xml:space="preserve"> 'T&amp;E'!AN$30</f>
        <v>397.98800712950407</v>
      </c>
      <c r="AO683" s="1002">
        <f xml:space="preserve"> 'T&amp;E'!AO$30</f>
        <v>405.94776727209415</v>
      </c>
      <c r="AP683" s="1002">
        <f xml:space="preserve"> 'T&amp;E'!AP$30</f>
        <v>414.06672261753607</v>
      </c>
      <c r="AQ683" s="1002">
        <f xml:space="preserve"> 'T&amp;E'!AQ$30</f>
        <v>422.34805706988681</v>
      </c>
      <c r="AR683" s="1002">
        <f xml:space="preserve"> 'T&amp;E'!AR$30</f>
        <v>430.79501821128457</v>
      </c>
      <c r="AS683" s="1002">
        <f xml:space="preserve"> 'T&amp;E'!AS$30</f>
        <v>439.41091857551027</v>
      </c>
    </row>
    <row r="684" spans="1:45" ht="15" customHeight="1" x14ac:dyDescent="0.3">
      <c r="A684" s="705"/>
      <c r="B684" s="706"/>
      <c r="C684" s="707"/>
      <c r="D684" s="705"/>
      <c r="E684" s="254"/>
      <c r="F684" s="254"/>
      <c r="G684" s="254"/>
      <c r="H684" s="254"/>
      <c r="I684" s="254"/>
      <c r="J684" s="254"/>
      <c r="K684" s="193"/>
      <c r="L684" s="193"/>
      <c r="M684" s="193"/>
      <c r="N684" s="193"/>
      <c r="O684" s="193"/>
      <c r="P684" s="193"/>
      <c r="Q684" s="193"/>
      <c r="R684" s="193"/>
      <c r="S684" s="193"/>
      <c r="T684" s="193"/>
      <c r="U684" s="193"/>
      <c r="V684" s="193"/>
      <c r="W684" s="193"/>
      <c r="X684" s="193"/>
      <c r="Y684" s="193"/>
      <c r="Z684" s="193"/>
      <c r="AA684" s="193"/>
      <c r="AB684" s="193"/>
      <c r="AC684" s="193"/>
      <c r="AD684" s="193"/>
      <c r="AE684" s="193"/>
      <c r="AF684" s="193"/>
      <c r="AG684" s="193"/>
      <c r="AH684" s="193"/>
      <c r="AI684" s="193"/>
      <c r="AJ684" s="193"/>
      <c r="AK684" s="193"/>
      <c r="AL684" s="193"/>
      <c r="AM684" s="193"/>
      <c r="AN684" s="193"/>
      <c r="AO684" s="193"/>
      <c r="AP684" s="193"/>
      <c r="AQ684" s="193"/>
      <c r="AR684" s="193"/>
      <c r="AS684" s="193"/>
    </row>
    <row r="685" spans="1:45" ht="15" customHeight="1" x14ac:dyDescent="0.3">
      <c r="A685" s="705"/>
      <c r="B685" s="706"/>
      <c r="C685" s="707"/>
      <c r="D685" s="705"/>
      <c r="E685" s="1002" t="str">
        <f xml:space="preserve"> Inputs_Con!E$92</f>
        <v>EPT: Apply inflation to FS prices and Operating Surplus</v>
      </c>
      <c r="F685" s="686" t="str">
        <f xml:space="preserve"> Inputs_Con!F$92</f>
        <v>no</v>
      </c>
      <c r="G685" s="686" t="str">
        <f xml:space="preserve"> Inputs_Con!G$92</f>
        <v>selected</v>
      </c>
      <c r="H685" s="254"/>
      <c r="I685" s="254"/>
      <c r="J685" s="254"/>
      <c r="K685" s="193"/>
      <c r="L685" s="193"/>
      <c r="M685" s="193"/>
      <c r="N685" s="193"/>
      <c r="O685" s="193"/>
      <c r="P685" s="193"/>
      <c r="Q685" s="193"/>
      <c r="R685" s="193"/>
      <c r="S685" s="193"/>
      <c r="T685" s="193"/>
      <c r="U685" s="193"/>
      <c r="V685" s="193"/>
      <c r="W685" s="193"/>
      <c r="X685" s="193"/>
      <c r="Y685" s="193"/>
      <c r="Z685" s="193"/>
      <c r="AA685" s="193"/>
      <c r="AB685" s="193"/>
      <c r="AC685" s="193"/>
      <c r="AD685" s="193"/>
      <c r="AE685" s="193"/>
      <c r="AF685" s="193"/>
      <c r="AG685" s="193"/>
      <c r="AH685" s="193"/>
      <c r="AI685" s="193"/>
      <c r="AJ685" s="193"/>
      <c r="AK685" s="193"/>
      <c r="AL685" s="193"/>
      <c r="AM685" s="193"/>
      <c r="AN685" s="193"/>
      <c r="AO685" s="193"/>
      <c r="AP685" s="193"/>
      <c r="AQ685" s="193"/>
      <c r="AR685" s="193"/>
      <c r="AS685" s="193"/>
    </row>
    <row r="686" spans="1:45" ht="15" customHeight="1" x14ac:dyDescent="0.3">
      <c r="A686" s="705"/>
      <c r="B686" s="706"/>
      <c r="C686" s="707"/>
      <c r="D686" s="705"/>
      <c r="E686" s="254"/>
      <c r="F686" s="617" t="str">
        <f xml:space="preserve"> Inputs_Con!F$56</f>
        <v>yes</v>
      </c>
      <c r="G686" s="280" t="str">
        <f xml:space="preserve"> Inputs_Con!G$56</f>
        <v>option</v>
      </c>
      <c r="H686" s="254"/>
      <c r="I686" s="254"/>
      <c r="J686" s="254"/>
      <c r="K686" s="254"/>
      <c r="L686" s="254"/>
      <c r="M686" s="254"/>
      <c r="N686" s="254"/>
      <c r="O686" s="254"/>
      <c r="P686" s="254"/>
      <c r="Q686" s="254"/>
      <c r="R686" s="254"/>
      <c r="S686" s="254"/>
      <c r="T686" s="254"/>
      <c r="U686" s="254"/>
      <c r="V686" s="254"/>
      <c r="W686" s="254"/>
      <c r="X686" s="254"/>
      <c r="Y686" s="254"/>
      <c r="Z686" s="254"/>
      <c r="AA686" s="254"/>
      <c r="AB686" s="254"/>
      <c r="AC686" s="254"/>
      <c r="AD686" s="254"/>
      <c r="AE686" s="254"/>
      <c r="AF686" s="254"/>
      <c r="AG686" s="254"/>
      <c r="AH686" s="254"/>
      <c r="AI686" s="254"/>
      <c r="AJ686" s="254"/>
      <c r="AK686" s="254"/>
      <c r="AL686" s="254"/>
      <c r="AM686" s="254"/>
      <c r="AN686" s="254"/>
      <c r="AO686" s="254"/>
      <c r="AP686" s="254"/>
      <c r="AQ686" s="254"/>
      <c r="AR686" s="254"/>
      <c r="AS686" s="254"/>
    </row>
    <row r="687" spans="1:45" ht="15" customHeight="1" x14ac:dyDescent="0.3">
      <c r="A687" s="705"/>
      <c r="B687" s="706"/>
      <c r="C687" s="707"/>
      <c r="D687" s="705"/>
      <c r="E687" s="254"/>
      <c r="F687" s="617" t="str">
        <f xml:space="preserve"> Inputs_Con!F$57</f>
        <v>no</v>
      </c>
      <c r="G687" s="280" t="str">
        <f xml:space="preserve"> Inputs_Con!G$57</f>
        <v>option</v>
      </c>
      <c r="H687" s="254"/>
      <c r="I687" s="254"/>
      <c r="J687" s="254"/>
      <c r="K687" s="193"/>
      <c r="L687" s="193"/>
      <c r="M687" s="193"/>
      <c r="N687" s="193"/>
      <c r="O687" s="193"/>
      <c r="P687" s="193"/>
      <c r="Q687" s="193"/>
      <c r="R687" s="193"/>
      <c r="S687" s="193"/>
      <c r="T687" s="193"/>
      <c r="U687" s="193"/>
      <c r="V687" s="193"/>
      <c r="W687" s="193"/>
      <c r="X687" s="193"/>
      <c r="Y687" s="193"/>
      <c r="Z687" s="193"/>
      <c r="AA687" s="193"/>
      <c r="AB687" s="193"/>
      <c r="AC687" s="193"/>
      <c r="AD687" s="193"/>
      <c r="AE687" s="193"/>
      <c r="AF687" s="193"/>
      <c r="AG687" s="193"/>
      <c r="AH687" s="193"/>
      <c r="AI687" s="193"/>
      <c r="AJ687" s="193"/>
      <c r="AK687" s="193"/>
      <c r="AL687" s="193"/>
      <c r="AM687" s="193"/>
      <c r="AN687" s="193"/>
      <c r="AO687" s="193"/>
      <c r="AP687" s="193"/>
      <c r="AQ687" s="193"/>
      <c r="AR687" s="193"/>
      <c r="AS687" s="193"/>
    </row>
    <row r="688" spans="1:45" ht="15" customHeight="1" x14ac:dyDescent="0.3">
      <c r="A688" s="705"/>
      <c r="B688" s="706"/>
      <c r="C688" s="707"/>
      <c r="D688" s="705"/>
      <c r="E688" s="686" t="str">
        <f xml:space="preserve"> Inputs_Con!E$93</f>
        <v>FS base year</v>
      </c>
      <c r="F688" s="1002">
        <f xml:space="preserve"> Inputs_Con!F$93</f>
        <v>2019</v>
      </c>
      <c r="G688" s="686" t="str">
        <f xml:space="preserve"> Inputs_Con!G$93</f>
        <v>year</v>
      </c>
      <c r="H688" s="254"/>
      <c r="I688" s="254"/>
      <c r="J688" s="254"/>
      <c r="K688" s="193"/>
      <c r="L688" s="193"/>
      <c r="M688" s="193"/>
      <c r="N688" s="193"/>
      <c r="O688" s="193"/>
      <c r="P688" s="193"/>
      <c r="Q688" s="193"/>
      <c r="R688" s="193"/>
      <c r="S688" s="193"/>
      <c r="T688" s="193"/>
      <c r="U688" s="193"/>
      <c r="V688" s="193"/>
      <c r="W688" s="193"/>
      <c r="X688" s="193"/>
      <c r="Y688" s="193"/>
      <c r="Z688" s="193"/>
      <c r="AA688" s="193"/>
      <c r="AB688" s="193"/>
      <c r="AC688" s="193"/>
      <c r="AD688" s="193"/>
      <c r="AE688" s="193"/>
      <c r="AF688" s="193"/>
      <c r="AG688" s="193"/>
      <c r="AH688" s="193"/>
      <c r="AI688" s="193"/>
      <c r="AJ688" s="193"/>
      <c r="AK688" s="193"/>
      <c r="AL688" s="193"/>
      <c r="AM688" s="193"/>
      <c r="AN688" s="193"/>
      <c r="AO688" s="193"/>
      <c r="AP688" s="193"/>
      <c r="AQ688" s="193"/>
      <c r="AR688" s="193"/>
      <c r="AS688" s="193"/>
    </row>
    <row r="689" spans="1:45" ht="15" customHeight="1" x14ac:dyDescent="0.3">
      <c r="A689" s="705"/>
      <c r="B689" s="706"/>
      <c r="C689" s="707"/>
      <c r="D689" s="705"/>
      <c r="E689" s="254"/>
      <c r="F689" s="463" cm="1">
        <f t="array" ref="F689" xml:space="preserve"> INDEX(K683:AS683,, MATCH(F688, K682:AS682, 0))</f>
        <v>255.65299999999999</v>
      </c>
      <c r="G689" s="463" t="s">
        <v>528</v>
      </c>
      <c r="H689" s="254"/>
      <c r="I689" s="254"/>
      <c r="J689" s="254"/>
      <c r="K689" s="254"/>
      <c r="L689" s="254"/>
      <c r="M689" s="254"/>
      <c r="N689" s="254"/>
      <c r="O689" s="254"/>
      <c r="P689" s="254"/>
      <c r="Q689" s="254"/>
      <c r="R689" s="254"/>
      <c r="S689" s="254"/>
      <c r="T689" s="254"/>
      <c r="U689" s="254"/>
      <c r="V689" s="254"/>
      <c r="W689" s="254"/>
      <c r="X689" s="254"/>
      <c r="Y689" s="254"/>
      <c r="Z689" s="254"/>
      <c r="AA689" s="254"/>
      <c r="AB689" s="254"/>
      <c r="AC689" s="254"/>
      <c r="AD689" s="254"/>
      <c r="AE689" s="254"/>
      <c r="AF689" s="254"/>
      <c r="AG689" s="254"/>
      <c r="AH689" s="254"/>
      <c r="AI689" s="254"/>
      <c r="AJ689" s="254"/>
      <c r="AK689" s="254"/>
      <c r="AL689" s="254"/>
      <c r="AM689" s="254"/>
      <c r="AN689" s="254"/>
      <c r="AO689" s="254"/>
      <c r="AP689" s="254"/>
      <c r="AQ689" s="254"/>
      <c r="AR689" s="254"/>
      <c r="AS689" s="254"/>
    </row>
    <row r="690" spans="1:45" ht="15" customHeight="1" x14ac:dyDescent="0.3">
      <c r="A690" s="705"/>
      <c r="B690" s="706"/>
      <c r="C690" s="707"/>
      <c r="D690" s="705"/>
      <c r="E690" s="254"/>
      <c r="F690" s="254"/>
      <c r="G690" s="254"/>
      <c r="H690" s="254"/>
      <c r="I690" s="254"/>
      <c r="J690" s="254"/>
      <c r="K690" s="193"/>
      <c r="L690" s="193"/>
      <c r="M690" s="193"/>
      <c r="N690" s="193"/>
      <c r="O690" s="193"/>
      <c r="P690" s="193"/>
      <c r="Q690" s="193"/>
      <c r="R690" s="193"/>
      <c r="S690" s="193"/>
      <c r="T690" s="193"/>
      <c r="U690" s="193"/>
      <c r="V690" s="193"/>
      <c r="W690" s="193"/>
      <c r="X690" s="193"/>
      <c r="Y690" s="193"/>
      <c r="Z690" s="193"/>
      <c r="AA690" s="193"/>
      <c r="AB690" s="193"/>
      <c r="AC690" s="193"/>
      <c r="AD690" s="193"/>
      <c r="AE690" s="193"/>
      <c r="AF690" s="193"/>
      <c r="AG690" s="193"/>
      <c r="AH690" s="193"/>
      <c r="AI690" s="193"/>
      <c r="AJ690" s="193"/>
      <c r="AK690" s="193"/>
      <c r="AL690" s="193"/>
      <c r="AM690" s="193"/>
      <c r="AN690" s="193"/>
      <c r="AO690" s="193"/>
      <c r="AP690" s="193"/>
      <c r="AQ690" s="193"/>
      <c r="AR690" s="193"/>
      <c r="AS690" s="193"/>
    </row>
    <row r="691" spans="1:45" ht="15" customHeight="1" x14ac:dyDescent="0.3">
      <c r="A691" s="705"/>
      <c r="B691" s="706"/>
      <c r="C691" s="707" t="s">
        <v>875</v>
      </c>
      <c r="D691" s="705"/>
      <c r="E691" s="254"/>
      <c r="F691" s="254"/>
      <c r="G691" s="254"/>
      <c r="H691" s="254"/>
      <c r="I691" s="254"/>
      <c r="J691" s="254"/>
      <c r="K691" s="193"/>
      <c r="L691" s="193"/>
      <c r="M691" s="193"/>
      <c r="N691" s="193"/>
      <c r="O691" s="193"/>
      <c r="P691" s="193"/>
      <c r="Q691" s="193"/>
      <c r="R691" s="193"/>
      <c r="S691" s="193"/>
      <c r="T691" s="193"/>
      <c r="U691" s="193"/>
      <c r="V691" s="193"/>
      <c r="W691" s="193"/>
      <c r="X691" s="193"/>
      <c r="Y691" s="193"/>
      <c r="Z691" s="193"/>
      <c r="AA691" s="193"/>
      <c r="AB691" s="193"/>
      <c r="AC691" s="193"/>
      <c r="AD691" s="193"/>
      <c r="AE691" s="193"/>
      <c r="AF691" s="193"/>
      <c r="AG691" s="193"/>
      <c r="AH691" s="193"/>
      <c r="AI691" s="193"/>
      <c r="AJ691" s="193"/>
      <c r="AK691" s="193"/>
      <c r="AL691" s="193"/>
      <c r="AM691" s="193"/>
      <c r="AN691" s="193"/>
      <c r="AO691" s="193"/>
      <c r="AP691" s="193"/>
      <c r="AQ691" s="193"/>
      <c r="AR691" s="193"/>
      <c r="AS691" s="193"/>
    </row>
    <row r="692" spans="1:45" ht="15" customHeight="1" x14ac:dyDescent="0.3">
      <c r="A692" s="705"/>
      <c r="B692" s="706"/>
      <c r="C692" s="707"/>
      <c r="D692" s="705"/>
      <c r="E692" s="467" t="str">
        <f xml:space="preserve"> E676 &amp; " (inflation adjustment = " &amp; F685 &amp; ")"</f>
        <v>Copper price: FS (inflation adjustment = no)</v>
      </c>
      <c r="F692" s="467"/>
      <c r="G692" s="467" t="s">
        <v>321</v>
      </c>
      <c r="H692" s="254"/>
      <c r="I692" s="254"/>
      <c r="J692" s="254"/>
      <c r="K692" s="624">
        <f xml:space="preserve"> K676 * IF($F685 = $F686, K683 / $F689, 1)</f>
        <v>0</v>
      </c>
      <c r="L692" s="624">
        <f t="shared" ref="L692:AS692" si="602" xml:space="preserve"> L676 * IF($F685 = $F686, L683 / $F689, 1)</f>
        <v>0</v>
      </c>
      <c r="M692" s="624">
        <f t="shared" si="602"/>
        <v>0</v>
      </c>
      <c r="N692" s="624">
        <f t="shared" si="602"/>
        <v>0</v>
      </c>
      <c r="O692" s="624">
        <f t="shared" si="602"/>
        <v>0</v>
      </c>
      <c r="P692" s="624">
        <f t="shared" si="602"/>
        <v>0</v>
      </c>
      <c r="Q692" s="624">
        <f t="shared" si="602"/>
        <v>0</v>
      </c>
      <c r="R692" s="624">
        <f t="shared" si="602"/>
        <v>0</v>
      </c>
      <c r="S692" s="624">
        <f t="shared" si="602"/>
        <v>0</v>
      </c>
      <c r="T692" s="624">
        <f t="shared" si="602"/>
        <v>0</v>
      </c>
      <c r="U692" s="624">
        <f t="shared" si="602"/>
        <v>0</v>
      </c>
      <c r="V692" s="624">
        <f t="shared" si="602"/>
        <v>5370</v>
      </c>
      <c r="W692" s="624">
        <f t="shared" si="602"/>
        <v>6009</v>
      </c>
      <c r="X692" s="624">
        <f t="shared" si="602"/>
        <v>5535</v>
      </c>
      <c r="Y692" s="624">
        <f t="shared" si="602"/>
        <v>5998</v>
      </c>
      <c r="Z692" s="624">
        <f t="shared" si="602"/>
        <v>8360</v>
      </c>
      <c r="AA692" s="624">
        <f t="shared" si="602"/>
        <v>6819</v>
      </c>
      <c r="AB692" s="624">
        <f t="shared" si="602"/>
        <v>8000</v>
      </c>
      <c r="AC692" s="624">
        <f t="shared" si="602"/>
        <v>8000</v>
      </c>
      <c r="AD692" s="624">
        <f t="shared" si="602"/>
        <v>8000</v>
      </c>
      <c r="AE692" s="624">
        <f t="shared" si="602"/>
        <v>8000</v>
      </c>
      <c r="AF692" s="624">
        <f t="shared" si="602"/>
        <v>8000</v>
      </c>
      <c r="AG692" s="624">
        <f t="shared" si="602"/>
        <v>8000</v>
      </c>
      <c r="AH692" s="624">
        <f t="shared" si="602"/>
        <v>8000</v>
      </c>
      <c r="AI692" s="624">
        <f t="shared" si="602"/>
        <v>8000</v>
      </c>
      <c r="AJ692" s="624">
        <f t="shared" si="602"/>
        <v>8000</v>
      </c>
      <c r="AK692" s="624">
        <f t="shared" si="602"/>
        <v>8000</v>
      </c>
      <c r="AL692" s="624">
        <f t="shared" si="602"/>
        <v>0</v>
      </c>
      <c r="AM692" s="624">
        <f t="shared" si="602"/>
        <v>0</v>
      </c>
      <c r="AN692" s="624">
        <f t="shared" si="602"/>
        <v>0</v>
      </c>
      <c r="AO692" s="624">
        <f t="shared" si="602"/>
        <v>0</v>
      </c>
      <c r="AP692" s="624">
        <f t="shared" si="602"/>
        <v>0</v>
      </c>
      <c r="AQ692" s="624">
        <f t="shared" si="602"/>
        <v>0</v>
      </c>
      <c r="AR692" s="624">
        <f t="shared" si="602"/>
        <v>0</v>
      </c>
      <c r="AS692" s="624">
        <f t="shared" si="602"/>
        <v>0</v>
      </c>
    </row>
    <row r="693" spans="1:45" ht="15" customHeight="1" x14ac:dyDescent="0.3">
      <c r="A693" s="705"/>
      <c r="B693" s="706"/>
      <c r="C693" s="707"/>
      <c r="D693" s="705"/>
      <c r="E693" s="467" t="str">
        <f xml:space="preserve"> E680 &amp; " (inflation adjustment = " &amp; F685 &amp; ")"</f>
        <v>Cobalt price: FS (inflation adjustment = no)</v>
      </c>
      <c r="F693" s="817"/>
      <c r="G693" s="467" t="s">
        <v>321</v>
      </c>
      <c r="H693" s="254"/>
      <c r="I693" s="254"/>
      <c r="J693" s="254"/>
      <c r="K693" s="467">
        <f t="shared" ref="K693:AS693" si="603" xml:space="preserve"> K680 * IF($F685 = $F686, K683 / $F689, 1)</f>
        <v>0</v>
      </c>
      <c r="L693" s="467">
        <f xml:space="preserve"> L680 * IF($F685 = $F686, L683 / $F689, 1)</f>
        <v>0</v>
      </c>
      <c r="M693" s="467">
        <f t="shared" si="603"/>
        <v>0</v>
      </c>
      <c r="N693" s="467">
        <f t="shared" si="603"/>
        <v>0</v>
      </c>
      <c r="O693" s="467">
        <f t="shared" si="603"/>
        <v>0</v>
      </c>
      <c r="P693" s="467">
        <f t="shared" si="603"/>
        <v>0</v>
      </c>
      <c r="Q693" s="467">
        <f t="shared" si="603"/>
        <v>0</v>
      </c>
      <c r="R693" s="467">
        <f t="shared" si="603"/>
        <v>0</v>
      </c>
      <c r="S693" s="467">
        <f t="shared" si="603"/>
        <v>0</v>
      </c>
      <c r="T693" s="467">
        <f t="shared" si="603"/>
        <v>0</v>
      </c>
      <c r="U693" s="467">
        <f t="shared" si="603"/>
        <v>0</v>
      </c>
      <c r="V693" s="467">
        <f t="shared" si="603"/>
        <v>27778.212</v>
      </c>
      <c r="W693" s="467">
        <f t="shared" si="603"/>
        <v>27778.212</v>
      </c>
      <c r="X693" s="467">
        <f t="shared" si="603"/>
        <v>24691.743999999999</v>
      </c>
      <c r="Y693" s="467">
        <f t="shared" si="603"/>
        <v>23148.51</v>
      </c>
      <c r="Z693" s="467">
        <f t="shared" si="603"/>
        <v>37037.615999999995</v>
      </c>
      <c r="AA693" s="467">
        <f t="shared" si="603"/>
        <v>41667.317999999992</v>
      </c>
      <c r="AB693" s="467">
        <f t="shared" si="603"/>
        <v>27778.212</v>
      </c>
      <c r="AC693" s="467">
        <f t="shared" si="603"/>
        <v>27778.212</v>
      </c>
      <c r="AD693" s="467">
        <f t="shared" si="603"/>
        <v>27778.212</v>
      </c>
      <c r="AE693" s="467">
        <f t="shared" si="603"/>
        <v>27778.212</v>
      </c>
      <c r="AF693" s="467">
        <f t="shared" si="603"/>
        <v>27778.212</v>
      </c>
      <c r="AG693" s="467">
        <f t="shared" si="603"/>
        <v>27778.212</v>
      </c>
      <c r="AH693" s="467">
        <f t="shared" si="603"/>
        <v>27778.212</v>
      </c>
      <c r="AI693" s="467">
        <f t="shared" si="603"/>
        <v>27778.212</v>
      </c>
      <c r="AJ693" s="467">
        <f t="shared" si="603"/>
        <v>27778.212</v>
      </c>
      <c r="AK693" s="467">
        <f t="shared" si="603"/>
        <v>27778.212</v>
      </c>
      <c r="AL693" s="467">
        <f t="shared" si="603"/>
        <v>0</v>
      </c>
      <c r="AM693" s="467">
        <f t="shared" si="603"/>
        <v>0</v>
      </c>
      <c r="AN693" s="467">
        <f t="shared" si="603"/>
        <v>0</v>
      </c>
      <c r="AO693" s="467">
        <f t="shared" si="603"/>
        <v>0</v>
      </c>
      <c r="AP693" s="467">
        <f t="shared" si="603"/>
        <v>0</v>
      </c>
      <c r="AQ693" s="467">
        <f t="shared" si="603"/>
        <v>0</v>
      </c>
      <c r="AR693" s="467">
        <f t="shared" si="603"/>
        <v>0</v>
      </c>
      <c r="AS693" s="467">
        <f t="shared" si="603"/>
        <v>0</v>
      </c>
    </row>
    <row r="694" spans="1:45" ht="15" customHeight="1" x14ac:dyDescent="0.3">
      <c r="A694" s="705"/>
      <c r="B694" s="706"/>
      <c r="C694" s="707"/>
      <c r="D694" s="705"/>
      <c r="E694" s="254"/>
      <c r="F694" s="254"/>
      <c r="G694" s="254"/>
      <c r="H694" s="254"/>
      <c r="I694" s="254"/>
      <c r="J694" s="254"/>
      <c r="K694" s="193"/>
      <c r="L694" s="193"/>
      <c r="M694" s="193"/>
      <c r="N694" s="193"/>
      <c r="O694" s="193"/>
      <c r="P694" s="193"/>
      <c r="Q694" s="193"/>
      <c r="R694" s="193"/>
      <c r="S694" s="193"/>
      <c r="T694" s="193"/>
      <c r="U694" s="193"/>
      <c r="V694" s="193"/>
      <c r="W694" s="193"/>
      <c r="X694" s="193"/>
      <c r="Y694" s="193"/>
      <c r="Z694" s="193"/>
      <c r="AA694" s="193"/>
      <c r="AB694" s="193"/>
      <c r="AC694" s="193"/>
      <c r="AD694" s="193"/>
      <c r="AE694" s="193"/>
      <c r="AF694" s="193"/>
      <c r="AG694" s="193"/>
      <c r="AH694" s="193"/>
      <c r="AI694" s="193"/>
      <c r="AJ694" s="193"/>
      <c r="AK694" s="193"/>
      <c r="AL694" s="193"/>
      <c r="AM694" s="193"/>
      <c r="AN694" s="193"/>
      <c r="AO694" s="193"/>
      <c r="AP694" s="193"/>
      <c r="AQ694" s="193"/>
      <c r="AR694" s="193"/>
      <c r="AS694" s="193"/>
    </row>
    <row r="695" spans="1:45" ht="15" customHeight="1" x14ac:dyDescent="0.3">
      <c r="A695" s="705"/>
      <c r="B695" s="706"/>
      <c r="C695" s="799" t="s">
        <v>763</v>
      </c>
      <c r="D695" s="705"/>
      <c r="E695" s="705"/>
      <c r="F695" s="705"/>
      <c r="G695" s="705"/>
      <c r="H695" s="705"/>
      <c r="I695" s="705"/>
      <c r="J695" s="705"/>
      <c r="K695" s="705"/>
      <c r="L695" s="705"/>
      <c r="M695" s="705"/>
      <c r="N695" s="705"/>
      <c r="O695" s="705"/>
      <c r="P695" s="705"/>
      <c r="Q695" s="705"/>
      <c r="R695" s="705"/>
      <c r="S695" s="705"/>
      <c r="T695" s="705"/>
      <c r="U695" s="705"/>
      <c r="V695" s="705"/>
      <c r="W695" s="705"/>
      <c r="X695" s="705"/>
      <c r="Y695" s="705"/>
      <c r="Z695" s="705"/>
      <c r="AA695" s="705"/>
      <c r="AB695" s="705"/>
      <c r="AC695" s="705"/>
      <c r="AD695" s="705"/>
      <c r="AE695" s="705"/>
      <c r="AF695" s="705"/>
      <c r="AG695" s="705"/>
      <c r="AH695" s="705"/>
      <c r="AI695" s="705"/>
      <c r="AJ695" s="705"/>
      <c r="AK695" s="705"/>
      <c r="AL695" s="705"/>
      <c r="AM695" s="705"/>
      <c r="AN695" s="705"/>
      <c r="AO695" s="705"/>
      <c r="AP695" s="705"/>
      <c r="AQ695" s="705"/>
      <c r="AR695" s="705"/>
      <c r="AS695" s="705"/>
    </row>
    <row r="696" spans="1:45" ht="15" customHeight="1" x14ac:dyDescent="0.3">
      <c r="A696" s="705"/>
      <c r="B696" s="706"/>
      <c r="C696" s="707"/>
      <c r="D696" s="705"/>
      <c r="E696" s="686" t="str">
        <f xml:space="preserve"> 'Inputs_ FS'!E$121</f>
        <v>Gross operating surplus</v>
      </c>
      <c r="F696" s="686">
        <f xml:space="preserve"> 'Inputs_ FS'!F$121</f>
        <v>0</v>
      </c>
      <c r="G696" s="686" t="str">
        <f xml:space="preserve"> 'Inputs_ FS'!G$121</f>
        <v>$ mn</v>
      </c>
      <c r="H696" s="686">
        <f xml:space="preserve"> 'Inputs_ FS'!H$121</f>
        <v>0</v>
      </c>
      <c r="I696" s="686">
        <f xml:space="preserve"> 'Inputs_ FS'!I$121</f>
        <v>4732.0000000000018</v>
      </c>
      <c r="J696" s="686">
        <f xml:space="preserve"> 'Inputs_ FS'!J$121</f>
        <v>0</v>
      </c>
      <c r="K696" s="686">
        <f xml:space="preserve"> 'Inputs_ FS'!K$121</f>
        <v>0</v>
      </c>
      <c r="L696" s="686">
        <f xml:space="preserve"> 'Inputs_ FS'!L$121</f>
        <v>0</v>
      </c>
      <c r="M696" s="686">
        <f xml:space="preserve"> 'Inputs_ FS'!M$121</f>
        <v>0</v>
      </c>
      <c r="N696" s="686">
        <f xml:space="preserve"> 'Inputs_ FS'!N$121</f>
        <v>0</v>
      </c>
      <c r="O696" s="686">
        <f xml:space="preserve"> 'Inputs_ FS'!O$121</f>
        <v>0</v>
      </c>
      <c r="P696" s="686">
        <f xml:space="preserve"> 'Inputs_ FS'!P$121</f>
        <v>0</v>
      </c>
      <c r="Q696" s="686">
        <f xml:space="preserve"> 'Inputs_ FS'!Q$121</f>
        <v>0</v>
      </c>
      <c r="R696" s="686">
        <f xml:space="preserve"> 'Inputs_ FS'!R$121</f>
        <v>0</v>
      </c>
      <c r="S696" s="686">
        <f xml:space="preserve"> 'Inputs_ FS'!S$121</f>
        <v>0</v>
      </c>
      <c r="T696" s="686">
        <f xml:space="preserve"> 'Inputs_ FS'!T$121</f>
        <v>0</v>
      </c>
      <c r="U696" s="686">
        <f xml:space="preserve"> 'Inputs_ FS'!U$121</f>
        <v>0</v>
      </c>
      <c r="V696" s="686">
        <f xml:space="preserve"> 'Inputs_ FS'!V$121</f>
        <v>-8.2360000000000007</v>
      </c>
      <c r="W696" s="686">
        <f xml:space="preserve"> 'Inputs_ FS'!W$121</f>
        <v>103.72</v>
      </c>
      <c r="X696" s="686">
        <f xml:space="preserve"> 'Inputs_ FS'!X$121</f>
        <v>127.75700000000001</v>
      </c>
      <c r="Y696" s="686">
        <f xml:space="preserve"> 'Inputs_ FS'!Y$121</f>
        <v>294.41800000000001</v>
      </c>
      <c r="Z696" s="686">
        <f xml:space="preserve"> 'Inputs_ FS'!Z$121</f>
        <v>733.15</v>
      </c>
      <c r="AA696" s="686">
        <f xml:space="preserve"> 'Inputs_ FS'!AA$121</f>
        <v>398.56700000000001</v>
      </c>
      <c r="AB696" s="686">
        <f xml:space="preserve"> 'Inputs_ FS'!AB$121</f>
        <v>356.37</v>
      </c>
      <c r="AC696" s="686">
        <f xml:space="preserve"> 'Inputs_ FS'!AC$121</f>
        <v>345.9551428571429</v>
      </c>
      <c r="AD696" s="686">
        <f xml:space="preserve"> 'Inputs_ FS'!AD$121</f>
        <v>345.9551428571429</v>
      </c>
      <c r="AE696" s="686">
        <f xml:space="preserve"> 'Inputs_ FS'!AE$121</f>
        <v>345.9551428571429</v>
      </c>
      <c r="AF696" s="686">
        <f xml:space="preserve"> 'Inputs_ FS'!AF$121</f>
        <v>345.9551428571429</v>
      </c>
      <c r="AG696" s="686">
        <f xml:space="preserve"> 'Inputs_ FS'!AG$121</f>
        <v>345.9551428571429</v>
      </c>
      <c r="AH696" s="686">
        <f xml:space="preserve"> 'Inputs_ FS'!AH$121</f>
        <v>345.9551428571429</v>
      </c>
      <c r="AI696" s="686">
        <f xml:space="preserve"> 'Inputs_ FS'!AI$121</f>
        <v>345.9551428571429</v>
      </c>
      <c r="AJ696" s="686">
        <f xml:space="preserve"> 'Inputs_ FS'!AJ$121</f>
        <v>262.10000000000002</v>
      </c>
      <c r="AK696" s="686">
        <f xml:space="preserve"> 'Inputs_ FS'!AK$121</f>
        <v>42.468000000000004</v>
      </c>
      <c r="AL696" s="686">
        <f xml:space="preserve"> 'Inputs_ FS'!AL$121</f>
        <v>0</v>
      </c>
      <c r="AM696" s="686">
        <f xml:space="preserve"> 'Inputs_ FS'!AM$121</f>
        <v>0</v>
      </c>
      <c r="AN696" s="686">
        <f xml:space="preserve"> 'Inputs_ FS'!AN$121</f>
        <v>0</v>
      </c>
      <c r="AO696" s="686">
        <f xml:space="preserve"> 'Inputs_ FS'!AO$121</f>
        <v>0</v>
      </c>
      <c r="AP696" s="686">
        <f xml:space="preserve"> 'Inputs_ FS'!AP$121</f>
        <v>0</v>
      </c>
      <c r="AQ696" s="686">
        <f xml:space="preserve"> 'Inputs_ FS'!AQ$121</f>
        <v>0</v>
      </c>
      <c r="AR696" s="686">
        <f xml:space="preserve"> 'Inputs_ FS'!AR$121</f>
        <v>0</v>
      </c>
      <c r="AS696" s="686">
        <f xml:space="preserve"> 'Inputs_ FS'!AS$121</f>
        <v>0</v>
      </c>
    </row>
    <row r="697" spans="1:45" ht="15" customHeight="1" x14ac:dyDescent="0.3">
      <c r="A697" s="705"/>
      <c r="B697" s="706"/>
      <c r="C697" s="707"/>
      <c r="D697" s="705"/>
      <c r="E697" s="686" t="str">
        <f xml:space="preserve"> COMMUS_23FS_Model!E$247</f>
        <v>Copper % of total revenue after royalty</v>
      </c>
      <c r="F697" s="686">
        <f xml:space="preserve"> COMMUS_23FS_Model!F$247</f>
        <v>0</v>
      </c>
      <c r="G697" s="686" t="str">
        <f xml:space="preserve"> COMMUS_23FS_Model!G$247</f>
        <v>%</v>
      </c>
      <c r="H697" s="686">
        <f xml:space="preserve"> COMMUS_23FS_Model!H$247</f>
        <v>0</v>
      </c>
      <c r="I697" s="686">
        <f xml:space="preserve"> COMMUS_23FS_Model!I$247</f>
        <v>0</v>
      </c>
      <c r="J697" s="686">
        <f xml:space="preserve"> COMMUS_23FS_Model!J$247</f>
        <v>0</v>
      </c>
      <c r="K697" s="435">
        <f xml:space="preserve"> COMMUS_23FS_Model!K$247</f>
        <v>0</v>
      </c>
      <c r="L697" s="435">
        <f xml:space="preserve"> COMMUS_23FS_Model!L$247</f>
        <v>0</v>
      </c>
      <c r="M697" s="435">
        <f xml:space="preserve"> COMMUS_23FS_Model!M$247</f>
        <v>0</v>
      </c>
      <c r="N697" s="435">
        <f xml:space="preserve"> COMMUS_23FS_Model!N$247</f>
        <v>0</v>
      </c>
      <c r="O697" s="435">
        <f xml:space="preserve"> COMMUS_23FS_Model!O$247</f>
        <v>0</v>
      </c>
      <c r="P697" s="435">
        <f xml:space="preserve"> COMMUS_23FS_Model!P$247</f>
        <v>0</v>
      </c>
      <c r="Q697" s="435">
        <f xml:space="preserve"> COMMUS_23FS_Model!Q$247</f>
        <v>0</v>
      </c>
      <c r="R697" s="435">
        <f xml:space="preserve"> COMMUS_23FS_Model!R$247</f>
        <v>0</v>
      </c>
      <c r="S697" s="435">
        <f xml:space="preserve"> COMMUS_23FS_Model!S$247</f>
        <v>0</v>
      </c>
      <c r="T697" s="435">
        <f xml:space="preserve"> COMMUS_23FS_Model!T$247</f>
        <v>0</v>
      </c>
      <c r="U697" s="435">
        <f xml:space="preserve"> COMMUS_23FS_Model!U$247</f>
        <v>0</v>
      </c>
      <c r="V697" s="435">
        <f xml:space="preserve"> COMMUS_23FS_Model!V$247</f>
        <v>1</v>
      </c>
      <c r="W697" s="435">
        <f xml:space="preserve"> COMMUS_23FS_Model!W$247</f>
        <v>1</v>
      </c>
      <c r="X697" s="435">
        <f xml:space="preserve"> COMMUS_23FS_Model!X$247</f>
        <v>0.96235770886515226</v>
      </c>
      <c r="Y697" s="435">
        <f xml:space="preserve"> COMMUS_23FS_Model!Y$247</f>
        <v>0.95390326087904687</v>
      </c>
      <c r="Z697" s="435">
        <f xml:space="preserve"> COMMUS_23FS_Model!Z$247</f>
        <v>0.95020324794523647</v>
      </c>
      <c r="AA697" s="435">
        <f xml:space="preserve"> COMMUS_23FS_Model!AA$247</f>
        <v>0.90597824269291782</v>
      </c>
      <c r="AB697" s="435">
        <f xml:space="preserve"> COMMUS_23FS_Model!AB$247</f>
        <v>0.95159776326243084</v>
      </c>
      <c r="AC697" s="435">
        <f xml:space="preserve"> COMMUS_23FS_Model!AC$247</f>
        <v>0.95098028696072312</v>
      </c>
      <c r="AD697" s="435">
        <f xml:space="preserve"> COMMUS_23FS_Model!AD$247</f>
        <v>0.95098028696072312</v>
      </c>
      <c r="AE697" s="435">
        <f xml:space="preserve"> COMMUS_23FS_Model!AE$247</f>
        <v>0.95098028696072312</v>
      </c>
      <c r="AF697" s="435">
        <f xml:space="preserve"> COMMUS_23FS_Model!AF$247</f>
        <v>0.95098028696072312</v>
      </c>
      <c r="AG697" s="435">
        <f xml:space="preserve"> COMMUS_23FS_Model!AG$247</f>
        <v>0.95098028696072312</v>
      </c>
      <c r="AH697" s="435">
        <f xml:space="preserve"> COMMUS_23FS_Model!AH$247</f>
        <v>0.95098028696072312</v>
      </c>
      <c r="AI697" s="435">
        <f xml:space="preserve"> COMMUS_23FS_Model!AI$247</f>
        <v>0.94137168843749175</v>
      </c>
      <c r="AJ697" s="435">
        <f xml:space="preserve"> COMMUS_23FS_Model!AJ$247</f>
        <v>0.94952020900660927</v>
      </c>
      <c r="AK697" s="435">
        <f xml:space="preserve"> COMMUS_23FS_Model!AK$247</f>
        <v>0.94952127781457896</v>
      </c>
      <c r="AL697" s="435">
        <f xml:space="preserve"> COMMUS_23FS_Model!AL$247</f>
        <v>0</v>
      </c>
      <c r="AM697" s="435">
        <f xml:space="preserve"> COMMUS_23FS_Model!AM$247</f>
        <v>0</v>
      </c>
      <c r="AN697" s="435">
        <f xml:space="preserve"> COMMUS_23FS_Model!AN$247</f>
        <v>0</v>
      </c>
      <c r="AO697" s="435">
        <f xml:space="preserve"> COMMUS_23FS_Model!AO$247</f>
        <v>0</v>
      </c>
      <c r="AP697" s="435">
        <f xml:space="preserve"> COMMUS_23FS_Model!AP$247</f>
        <v>0</v>
      </c>
      <c r="AQ697" s="435">
        <f xml:space="preserve"> COMMUS_23FS_Model!AQ$247</f>
        <v>0</v>
      </c>
      <c r="AR697" s="435">
        <f xml:space="preserve"> COMMUS_23FS_Model!AR$247</f>
        <v>0</v>
      </c>
      <c r="AS697" s="435">
        <f xml:space="preserve"> COMMUS_23FS_Model!AS$247</f>
        <v>0</v>
      </c>
    </row>
    <row r="698" spans="1:45" ht="15" customHeight="1" x14ac:dyDescent="0.3">
      <c r="A698" s="705"/>
      <c r="B698" s="706"/>
      <c r="C698" s="707"/>
      <c r="D698" s="705"/>
      <c r="E698" s="686" t="str">
        <f xml:space="preserve"> COMMUS_23FS_Model!E$248</f>
        <v>Cobalt % of total revenue after royalty</v>
      </c>
      <c r="F698" s="686">
        <f xml:space="preserve"> COMMUS_23FS_Model!F$248</f>
        <v>0</v>
      </c>
      <c r="G698" s="686" t="str">
        <f xml:space="preserve"> COMMUS_23FS_Model!G$248</f>
        <v>%</v>
      </c>
      <c r="H698" s="686">
        <f xml:space="preserve"> COMMUS_23FS_Model!H$248</f>
        <v>0</v>
      </c>
      <c r="I698" s="686">
        <f xml:space="preserve"> COMMUS_23FS_Model!I$248</f>
        <v>0</v>
      </c>
      <c r="J698" s="686">
        <f xml:space="preserve"> COMMUS_23FS_Model!J$248</f>
        <v>0</v>
      </c>
      <c r="K698" s="435">
        <f xml:space="preserve"> COMMUS_23FS_Model!K$248</f>
        <v>0</v>
      </c>
      <c r="L698" s="435">
        <f xml:space="preserve"> COMMUS_23FS_Model!L$248</f>
        <v>0</v>
      </c>
      <c r="M698" s="435">
        <f xml:space="preserve"> COMMUS_23FS_Model!M$248</f>
        <v>0</v>
      </c>
      <c r="N698" s="435">
        <f xml:space="preserve"> COMMUS_23FS_Model!N$248</f>
        <v>0</v>
      </c>
      <c r="O698" s="435">
        <f xml:space="preserve"> COMMUS_23FS_Model!O$248</f>
        <v>0</v>
      </c>
      <c r="P698" s="435">
        <f xml:space="preserve"> COMMUS_23FS_Model!P$248</f>
        <v>0</v>
      </c>
      <c r="Q698" s="435">
        <f xml:space="preserve"> COMMUS_23FS_Model!Q$248</f>
        <v>0</v>
      </c>
      <c r="R698" s="435">
        <f xml:space="preserve"> COMMUS_23FS_Model!R$248</f>
        <v>0</v>
      </c>
      <c r="S698" s="435">
        <f xml:space="preserve"> COMMUS_23FS_Model!S$248</f>
        <v>0</v>
      </c>
      <c r="T698" s="435">
        <f xml:space="preserve"> COMMUS_23FS_Model!T$248</f>
        <v>0</v>
      </c>
      <c r="U698" s="435">
        <f xml:space="preserve"> COMMUS_23FS_Model!U$248</f>
        <v>0</v>
      </c>
      <c r="V698" s="435">
        <f xml:space="preserve"> COMMUS_23FS_Model!V$248</f>
        <v>0</v>
      </c>
      <c r="W698" s="435">
        <f xml:space="preserve"> COMMUS_23FS_Model!W$248</f>
        <v>0</v>
      </c>
      <c r="X698" s="435">
        <f xml:space="preserve"> COMMUS_23FS_Model!X$248</f>
        <v>3.7642291134847759E-2</v>
      </c>
      <c r="Y698" s="435">
        <f xml:space="preserve"> COMMUS_23FS_Model!Y$248</f>
        <v>4.6096739120953155E-2</v>
      </c>
      <c r="Z698" s="435">
        <f xml:space="preserve"> COMMUS_23FS_Model!Z$248</f>
        <v>4.9796752054763423E-2</v>
      </c>
      <c r="AA698" s="435">
        <f xml:space="preserve"> COMMUS_23FS_Model!AA$248</f>
        <v>9.4021757307082163E-2</v>
      </c>
      <c r="AB698" s="435">
        <f xml:space="preserve"> COMMUS_23FS_Model!AB$248</f>
        <v>4.840223673756909E-2</v>
      </c>
      <c r="AC698" s="435">
        <f xml:space="preserve"> COMMUS_23FS_Model!AC$248</f>
        <v>4.9019713039276942E-2</v>
      </c>
      <c r="AD698" s="435">
        <f xml:space="preserve"> COMMUS_23FS_Model!AD$248</f>
        <v>4.9019713039276942E-2</v>
      </c>
      <c r="AE698" s="435">
        <f xml:space="preserve"> COMMUS_23FS_Model!AE$248</f>
        <v>4.9019713039276942E-2</v>
      </c>
      <c r="AF698" s="435">
        <f xml:space="preserve"> COMMUS_23FS_Model!AF$248</f>
        <v>4.9019713039276942E-2</v>
      </c>
      <c r="AG698" s="435">
        <f xml:space="preserve"> COMMUS_23FS_Model!AG$248</f>
        <v>4.9019713039276942E-2</v>
      </c>
      <c r="AH698" s="435">
        <f xml:space="preserve"> COMMUS_23FS_Model!AH$248</f>
        <v>4.9019713039276942E-2</v>
      </c>
      <c r="AI698" s="435">
        <f xml:space="preserve"> COMMUS_23FS_Model!AI$248</f>
        <v>5.8628311562508299E-2</v>
      </c>
      <c r="AJ698" s="435">
        <f xml:space="preserve"> COMMUS_23FS_Model!AJ$248</f>
        <v>5.0479790993390776E-2</v>
      </c>
      <c r="AK698" s="435">
        <f xml:space="preserve"> COMMUS_23FS_Model!AK$248</f>
        <v>5.0478722185421064E-2</v>
      </c>
      <c r="AL698" s="435">
        <f xml:space="preserve"> COMMUS_23FS_Model!AL$248</f>
        <v>0</v>
      </c>
      <c r="AM698" s="435">
        <f xml:space="preserve"> COMMUS_23FS_Model!AM$248</f>
        <v>0</v>
      </c>
      <c r="AN698" s="435">
        <f xml:space="preserve"> COMMUS_23FS_Model!AN$248</f>
        <v>0</v>
      </c>
      <c r="AO698" s="435">
        <f xml:space="preserve"> COMMUS_23FS_Model!AO$248</f>
        <v>0</v>
      </c>
      <c r="AP698" s="435">
        <f xml:space="preserve"> COMMUS_23FS_Model!AP$248</f>
        <v>0</v>
      </c>
      <c r="AQ698" s="435">
        <f xml:space="preserve"> COMMUS_23FS_Model!AQ$248</f>
        <v>0</v>
      </c>
      <c r="AR698" s="435">
        <f xml:space="preserve"> COMMUS_23FS_Model!AR$248</f>
        <v>0</v>
      </c>
      <c r="AS698" s="435">
        <f xml:space="preserve"> COMMUS_23FS_Model!AS$248</f>
        <v>0</v>
      </c>
    </row>
    <row r="699" spans="1:45" ht="15" customHeight="1" x14ac:dyDescent="0.3">
      <c r="A699" s="705"/>
      <c r="B699" s="706"/>
      <c r="C699" s="707"/>
      <c r="D699" s="705"/>
      <c r="E699" s="705"/>
      <c r="F699" s="705"/>
      <c r="G699" s="705"/>
      <c r="H699" s="705"/>
      <c r="I699" s="705"/>
      <c r="J699" s="705"/>
      <c r="K699" s="705"/>
      <c r="L699" s="705"/>
      <c r="M699" s="705"/>
      <c r="N699" s="705"/>
      <c r="O699" s="705"/>
      <c r="P699" s="705"/>
      <c r="Q699" s="705"/>
      <c r="R699" s="705"/>
      <c r="S699" s="705"/>
      <c r="T699" s="705"/>
      <c r="U699" s="705"/>
      <c r="V699" s="705"/>
      <c r="W699" s="705"/>
      <c r="X699" s="705"/>
      <c r="Y699" s="705"/>
      <c r="Z699" s="705"/>
      <c r="AA699" s="705"/>
      <c r="AB699" s="705"/>
      <c r="AC699" s="705"/>
      <c r="AD699" s="705"/>
      <c r="AE699" s="705"/>
      <c r="AF699" s="705"/>
      <c r="AG699" s="705"/>
      <c r="AH699" s="705"/>
      <c r="AI699" s="705"/>
      <c r="AJ699" s="705"/>
      <c r="AK699" s="705"/>
      <c r="AL699" s="705"/>
      <c r="AM699" s="705"/>
      <c r="AN699" s="705"/>
      <c r="AO699" s="705"/>
      <c r="AP699" s="705"/>
      <c r="AQ699" s="705"/>
      <c r="AR699" s="705"/>
      <c r="AS699" s="705"/>
    </row>
    <row r="700" spans="1:45" ht="15" customHeight="1" x14ac:dyDescent="0.3">
      <c r="A700" s="705"/>
      <c r="B700" s="706"/>
      <c r="C700" s="707"/>
      <c r="D700" s="705"/>
      <c r="E700" s="705" t="s">
        <v>761</v>
      </c>
      <c r="F700" s="705"/>
      <c r="G700" s="705" t="s">
        <v>346</v>
      </c>
      <c r="H700" s="705"/>
      <c r="I700" s="705">
        <f>SUM(K700:AS700)</f>
        <v>4484.9786799941094</v>
      </c>
      <c r="J700" s="705"/>
      <c r="K700" s="705">
        <f t="shared" ref="K700:O700" si="604">K696 * K697</f>
        <v>0</v>
      </c>
      <c r="L700" s="705">
        <f t="shared" si="604"/>
        <v>0</v>
      </c>
      <c r="M700" s="705">
        <f t="shared" si="604"/>
        <v>0</v>
      </c>
      <c r="N700" s="705">
        <f t="shared" si="604"/>
        <v>0</v>
      </c>
      <c r="O700" s="705">
        <f t="shared" si="604"/>
        <v>0</v>
      </c>
      <c r="P700" s="705">
        <f>P696 * P697</f>
        <v>0</v>
      </c>
      <c r="Q700" s="705">
        <f t="shared" ref="Q700:AS700" si="605">Q696 * Q697</f>
        <v>0</v>
      </c>
      <c r="R700" s="705">
        <f t="shared" si="605"/>
        <v>0</v>
      </c>
      <c r="S700" s="705">
        <f t="shared" si="605"/>
        <v>0</v>
      </c>
      <c r="T700" s="705">
        <f t="shared" si="605"/>
        <v>0</v>
      </c>
      <c r="U700" s="705">
        <f t="shared" si="605"/>
        <v>0</v>
      </c>
      <c r="V700" s="705">
        <f t="shared" si="605"/>
        <v>-8.2360000000000007</v>
      </c>
      <c r="W700" s="705">
        <f t="shared" si="605"/>
        <v>103.72</v>
      </c>
      <c r="X700" s="705">
        <f t="shared" si="605"/>
        <v>122.94793381148526</v>
      </c>
      <c r="Y700" s="705">
        <f t="shared" si="605"/>
        <v>280.84629026148724</v>
      </c>
      <c r="Z700" s="705">
        <f t="shared" si="605"/>
        <v>696.64151123105012</v>
      </c>
      <c r="AA700" s="705">
        <f t="shared" si="605"/>
        <v>361.09303025538816</v>
      </c>
      <c r="AB700" s="705">
        <f t="shared" si="605"/>
        <v>339.12089489383249</v>
      </c>
      <c r="AC700" s="705">
        <f t="shared" si="605"/>
        <v>328.99652102982373</v>
      </c>
      <c r="AD700" s="705">
        <f t="shared" si="605"/>
        <v>328.99652102982373</v>
      </c>
      <c r="AE700" s="705">
        <f t="shared" si="605"/>
        <v>328.99652102982373</v>
      </c>
      <c r="AF700" s="705">
        <f t="shared" si="605"/>
        <v>328.99652102982373</v>
      </c>
      <c r="AG700" s="705">
        <f t="shared" si="605"/>
        <v>328.99652102982373</v>
      </c>
      <c r="AH700" s="705">
        <f t="shared" si="605"/>
        <v>328.99652102982373</v>
      </c>
      <c r="AI700" s="705">
        <f t="shared" si="605"/>
        <v>325.6723769550623</v>
      </c>
      <c r="AJ700" s="705">
        <f t="shared" si="605"/>
        <v>248.86924678063232</v>
      </c>
      <c r="AK700" s="705">
        <f t="shared" si="605"/>
        <v>40.324269626229544</v>
      </c>
      <c r="AL700" s="705">
        <f t="shared" si="605"/>
        <v>0</v>
      </c>
      <c r="AM700" s="705">
        <f t="shared" si="605"/>
        <v>0</v>
      </c>
      <c r="AN700" s="705">
        <f t="shared" si="605"/>
        <v>0</v>
      </c>
      <c r="AO700" s="705">
        <f t="shared" si="605"/>
        <v>0</v>
      </c>
      <c r="AP700" s="705">
        <f t="shared" si="605"/>
        <v>0</v>
      </c>
      <c r="AQ700" s="705">
        <f t="shared" si="605"/>
        <v>0</v>
      </c>
      <c r="AR700" s="705">
        <f t="shared" si="605"/>
        <v>0</v>
      </c>
      <c r="AS700" s="705">
        <f t="shared" si="605"/>
        <v>0</v>
      </c>
    </row>
    <row r="701" spans="1:45" ht="15" customHeight="1" x14ac:dyDescent="0.3">
      <c r="A701" s="705"/>
      <c r="B701" s="706"/>
      <c r="C701" s="707"/>
      <c r="D701" s="705"/>
      <c r="E701" s="705" t="s">
        <v>762</v>
      </c>
      <c r="F701" s="705"/>
      <c r="G701" s="705" t="s">
        <v>346</v>
      </c>
      <c r="H701" s="705"/>
      <c r="I701" s="705">
        <f>SUM(K701:AS701)</f>
        <v>247.02132000589071</v>
      </c>
      <c r="J701" s="705"/>
      <c r="K701" s="705">
        <f t="shared" ref="K701:O701" si="606">K696 * K698</f>
        <v>0</v>
      </c>
      <c r="L701" s="705">
        <f t="shared" si="606"/>
        <v>0</v>
      </c>
      <c r="M701" s="705">
        <f t="shared" si="606"/>
        <v>0</v>
      </c>
      <c r="N701" s="705">
        <f t="shared" si="606"/>
        <v>0</v>
      </c>
      <c r="O701" s="705">
        <f t="shared" si="606"/>
        <v>0</v>
      </c>
      <c r="P701" s="705">
        <f>P696 * P698</f>
        <v>0</v>
      </c>
      <c r="Q701" s="705">
        <f t="shared" ref="Q701:AS701" si="607">Q696 * Q698</f>
        <v>0</v>
      </c>
      <c r="R701" s="705">
        <f t="shared" si="607"/>
        <v>0</v>
      </c>
      <c r="S701" s="705">
        <f t="shared" si="607"/>
        <v>0</v>
      </c>
      <c r="T701" s="705">
        <f t="shared" si="607"/>
        <v>0</v>
      </c>
      <c r="U701" s="705">
        <f t="shared" si="607"/>
        <v>0</v>
      </c>
      <c r="V701" s="705">
        <f t="shared" si="607"/>
        <v>0</v>
      </c>
      <c r="W701" s="705">
        <f t="shared" si="607"/>
        <v>0</v>
      </c>
      <c r="X701" s="705">
        <f t="shared" si="607"/>
        <v>4.8090661885147457</v>
      </c>
      <c r="Y701" s="705">
        <f t="shared" si="607"/>
        <v>13.571709738512785</v>
      </c>
      <c r="Z701" s="705">
        <f t="shared" si="607"/>
        <v>36.508488768949803</v>
      </c>
      <c r="AA701" s="705">
        <f t="shared" si="607"/>
        <v>37.473969744611814</v>
      </c>
      <c r="AB701" s="705">
        <f t="shared" si="607"/>
        <v>17.249105106167498</v>
      </c>
      <c r="AC701" s="705">
        <f t="shared" si="607"/>
        <v>16.958621827319206</v>
      </c>
      <c r="AD701" s="705">
        <f t="shared" si="607"/>
        <v>16.958621827319206</v>
      </c>
      <c r="AE701" s="705">
        <f t="shared" si="607"/>
        <v>16.958621827319206</v>
      </c>
      <c r="AF701" s="705">
        <f t="shared" si="607"/>
        <v>16.958621827319206</v>
      </c>
      <c r="AG701" s="705">
        <f t="shared" si="607"/>
        <v>16.958621827319206</v>
      </c>
      <c r="AH701" s="705">
        <f t="shared" si="607"/>
        <v>16.958621827319206</v>
      </c>
      <c r="AI701" s="705">
        <f t="shared" si="607"/>
        <v>20.282765902080641</v>
      </c>
      <c r="AJ701" s="705">
        <f t="shared" si="607"/>
        <v>13.230753219367724</v>
      </c>
      <c r="AK701" s="705">
        <f t="shared" si="607"/>
        <v>2.1437303737704618</v>
      </c>
      <c r="AL701" s="705">
        <f t="shared" si="607"/>
        <v>0</v>
      </c>
      <c r="AM701" s="705">
        <f t="shared" si="607"/>
        <v>0</v>
      </c>
      <c r="AN701" s="705">
        <f t="shared" si="607"/>
        <v>0</v>
      </c>
      <c r="AO701" s="705">
        <f t="shared" si="607"/>
        <v>0</v>
      </c>
      <c r="AP701" s="705">
        <f t="shared" si="607"/>
        <v>0</v>
      </c>
      <c r="AQ701" s="705">
        <f t="shared" si="607"/>
        <v>0</v>
      </c>
      <c r="AR701" s="705">
        <f t="shared" si="607"/>
        <v>0</v>
      </c>
      <c r="AS701" s="705">
        <f t="shared" si="607"/>
        <v>0</v>
      </c>
    </row>
    <row r="702" spans="1:45" ht="15" customHeight="1" x14ac:dyDescent="0.3">
      <c r="A702" s="705"/>
      <c r="B702" s="706"/>
      <c r="C702" s="707"/>
      <c r="D702" s="705"/>
      <c r="E702" s="705"/>
      <c r="F702" s="705"/>
      <c r="G702" s="705"/>
      <c r="H702" s="705"/>
      <c r="I702" s="705"/>
      <c r="J702" s="705"/>
      <c r="K702" s="705"/>
      <c r="L702" s="705"/>
      <c r="M702" s="705"/>
      <c r="N702" s="705"/>
      <c r="O702" s="705"/>
      <c r="P702" s="705"/>
      <c r="Q702" s="705"/>
      <c r="R702" s="705"/>
      <c r="S702" s="705"/>
      <c r="T702" s="705"/>
      <c r="U702" s="705"/>
      <c r="V702" s="705"/>
      <c r="W702" s="705"/>
      <c r="X702" s="705"/>
      <c r="Y702" s="705"/>
      <c r="Z702" s="705"/>
      <c r="AA702" s="705"/>
      <c r="AB702" s="705"/>
      <c r="AC702" s="705"/>
      <c r="AD702" s="705"/>
      <c r="AE702" s="705"/>
      <c r="AF702" s="705"/>
      <c r="AG702" s="705"/>
      <c r="AH702" s="705"/>
      <c r="AI702" s="705"/>
      <c r="AJ702" s="705"/>
      <c r="AK702" s="705"/>
      <c r="AL702" s="705"/>
      <c r="AM702" s="705"/>
      <c r="AN702" s="705"/>
      <c r="AO702" s="705"/>
      <c r="AP702" s="705"/>
      <c r="AQ702" s="705"/>
      <c r="AR702" s="705"/>
      <c r="AS702" s="705"/>
    </row>
    <row r="703" spans="1:45" ht="15" customHeight="1" x14ac:dyDescent="0.3">
      <c r="A703" s="705"/>
      <c r="B703" s="706"/>
      <c r="C703" s="707" t="s">
        <v>875</v>
      </c>
      <c r="D703" s="705"/>
      <c r="E703" s="705"/>
      <c r="F703" s="705"/>
      <c r="G703" s="705"/>
      <c r="H703" s="705"/>
      <c r="I703" s="705"/>
      <c r="J703" s="705"/>
    </row>
    <row r="704" spans="1:45" ht="15" customHeight="1" x14ac:dyDescent="0.3">
      <c r="A704" s="705"/>
      <c r="B704" s="706"/>
      <c r="C704" s="707"/>
      <c r="D704" s="705"/>
      <c r="E704" s="467" t="str">
        <f xml:space="preserve"> E700 &amp; " (inflation adjustment = " &amp; F685 &amp; ")"</f>
        <v>Gross operating surplus: copper (inflation adjustment = no)</v>
      </c>
      <c r="F704" s="467"/>
      <c r="G704" s="467" t="s">
        <v>346</v>
      </c>
      <c r="H704" s="705"/>
      <c r="I704" s="705">
        <f>SUM(K704:AS704)</f>
        <v>4484.9786799941094</v>
      </c>
      <c r="J704" s="705"/>
      <c r="K704" s="467">
        <f t="shared" ref="K704:AS704" si="608" xml:space="preserve"> K700 * IF($F685 = $F686, K683 / $F689, 1)</f>
        <v>0</v>
      </c>
      <c r="L704" s="467">
        <f t="shared" si="608"/>
        <v>0</v>
      </c>
      <c r="M704" s="467">
        <f t="shared" si="608"/>
        <v>0</v>
      </c>
      <c r="N704" s="467">
        <f t="shared" si="608"/>
        <v>0</v>
      </c>
      <c r="O704" s="467">
        <f t="shared" si="608"/>
        <v>0</v>
      </c>
      <c r="P704" s="467">
        <f t="shared" si="608"/>
        <v>0</v>
      </c>
      <c r="Q704" s="467">
        <f t="shared" si="608"/>
        <v>0</v>
      </c>
      <c r="R704" s="467">
        <f t="shared" si="608"/>
        <v>0</v>
      </c>
      <c r="S704" s="467">
        <f t="shared" si="608"/>
        <v>0</v>
      </c>
      <c r="T704" s="467">
        <f t="shared" si="608"/>
        <v>0</v>
      </c>
      <c r="U704" s="467">
        <f t="shared" si="608"/>
        <v>0</v>
      </c>
      <c r="V704" s="467">
        <f t="shared" si="608"/>
        <v>-8.2360000000000007</v>
      </c>
      <c r="W704" s="467">
        <f t="shared" si="608"/>
        <v>103.72</v>
      </c>
      <c r="X704" s="467">
        <f t="shared" si="608"/>
        <v>122.94793381148526</v>
      </c>
      <c r="Y704" s="467">
        <f t="shared" si="608"/>
        <v>280.84629026148724</v>
      </c>
      <c r="Z704" s="467">
        <f t="shared" si="608"/>
        <v>696.64151123105012</v>
      </c>
      <c r="AA704" s="467">
        <f t="shared" si="608"/>
        <v>361.09303025538816</v>
      </c>
      <c r="AB704" s="467">
        <f t="shared" si="608"/>
        <v>339.12089489383249</v>
      </c>
      <c r="AC704" s="467">
        <f t="shared" si="608"/>
        <v>328.99652102982373</v>
      </c>
      <c r="AD704" s="467">
        <f t="shared" si="608"/>
        <v>328.99652102982373</v>
      </c>
      <c r="AE704" s="467">
        <f t="shared" si="608"/>
        <v>328.99652102982373</v>
      </c>
      <c r="AF704" s="467">
        <f t="shared" si="608"/>
        <v>328.99652102982373</v>
      </c>
      <c r="AG704" s="467">
        <f t="shared" si="608"/>
        <v>328.99652102982373</v>
      </c>
      <c r="AH704" s="467">
        <f t="shared" si="608"/>
        <v>328.99652102982373</v>
      </c>
      <c r="AI704" s="467">
        <f t="shared" si="608"/>
        <v>325.6723769550623</v>
      </c>
      <c r="AJ704" s="467">
        <f t="shared" si="608"/>
        <v>248.86924678063232</v>
      </c>
      <c r="AK704" s="467">
        <f t="shared" si="608"/>
        <v>40.324269626229544</v>
      </c>
      <c r="AL704" s="467">
        <f t="shared" si="608"/>
        <v>0</v>
      </c>
      <c r="AM704" s="467">
        <f t="shared" si="608"/>
        <v>0</v>
      </c>
      <c r="AN704" s="467">
        <f t="shared" si="608"/>
        <v>0</v>
      </c>
      <c r="AO704" s="467">
        <f t="shared" si="608"/>
        <v>0</v>
      </c>
      <c r="AP704" s="467">
        <f t="shared" si="608"/>
        <v>0</v>
      </c>
      <c r="AQ704" s="467">
        <f t="shared" si="608"/>
        <v>0</v>
      </c>
      <c r="AR704" s="467">
        <f t="shared" si="608"/>
        <v>0</v>
      </c>
      <c r="AS704" s="467">
        <f t="shared" si="608"/>
        <v>0</v>
      </c>
    </row>
    <row r="705" spans="1:45" ht="15" customHeight="1" x14ac:dyDescent="0.3">
      <c r="A705" s="705"/>
      <c r="B705" s="706"/>
      <c r="C705" s="707"/>
      <c r="D705" s="705"/>
      <c r="E705" s="467" t="str">
        <f xml:space="preserve"> E701 &amp; " (inflation adjustment = " &amp; F685 &amp; ")"</f>
        <v>Gross operating surplus: cobalt (inflation adjustment = no)</v>
      </c>
      <c r="F705" s="467"/>
      <c r="G705" s="467" t="s">
        <v>346</v>
      </c>
      <c r="H705" s="705"/>
      <c r="I705" s="705">
        <f>SUM(K705:AS705)</f>
        <v>247.02132000589071</v>
      </c>
      <c r="J705" s="705"/>
      <c r="K705" s="467">
        <f xml:space="preserve"> K700 * IF($F688 = $F689, K686 / $F692, 1)</f>
        <v>0</v>
      </c>
      <c r="L705" s="467">
        <f t="shared" ref="L705:AS705" si="609" xml:space="preserve"> L701 * IF($F685 = $F686, L683 / $F689, 1)</f>
        <v>0</v>
      </c>
      <c r="M705" s="467">
        <f t="shared" si="609"/>
        <v>0</v>
      </c>
      <c r="N705" s="467">
        <f t="shared" si="609"/>
        <v>0</v>
      </c>
      <c r="O705" s="467">
        <f t="shared" si="609"/>
        <v>0</v>
      </c>
      <c r="P705" s="467">
        <f t="shared" si="609"/>
        <v>0</v>
      </c>
      <c r="Q705" s="467">
        <f t="shared" si="609"/>
        <v>0</v>
      </c>
      <c r="R705" s="467">
        <f t="shared" si="609"/>
        <v>0</v>
      </c>
      <c r="S705" s="467">
        <f t="shared" si="609"/>
        <v>0</v>
      </c>
      <c r="T705" s="467">
        <f t="shared" si="609"/>
        <v>0</v>
      </c>
      <c r="U705" s="467">
        <f t="shared" si="609"/>
        <v>0</v>
      </c>
      <c r="V705" s="467">
        <f t="shared" si="609"/>
        <v>0</v>
      </c>
      <c r="W705" s="467">
        <f t="shared" si="609"/>
        <v>0</v>
      </c>
      <c r="X705" s="467">
        <f t="shared" si="609"/>
        <v>4.8090661885147457</v>
      </c>
      <c r="Y705" s="467">
        <f t="shared" si="609"/>
        <v>13.571709738512785</v>
      </c>
      <c r="Z705" s="467">
        <f t="shared" si="609"/>
        <v>36.508488768949803</v>
      </c>
      <c r="AA705" s="467">
        <f t="shared" si="609"/>
        <v>37.473969744611814</v>
      </c>
      <c r="AB705" s="467">
        <f t="shared" si="609"/>
        <v>17.249105106167498</v>
      </c>
      <c r="AC705" s="467">
        <f t="shared" si="609"/>
        <v>16.958621827319206</v>
      </c>
      <c r="AD705" s="467">
        <f t="shared" si="609"/>
        <v>16.958621827319206</v>
      </c>
      <c r="AE705" s="467">
        <f t="shared" si="609"/>
        <v>16.958621827319206</v>
      </c>
      <c r="AF705" s="467">
        <f t="shared" si="609"/>
        <v>16.958621827319206</v>
      </c>
      <c r="AG705" s="467">
        <f t="shared" si="609"/>
        <v>16.958621827319206</v>
      </c>
      <c r="AH705" s="467">
        <f t="shared" si="609"/>
        <v>16.958621827319206</v>
      </c>
      <c r="AI705" s="467">
        <f t="shared" si="609"/>
        <v>20.282765902080641</v>
      </c>
      <c r="AJ705" s="467">
        <f t="shared" si="609"/>
        <v>13.230753219367724</v>
      </c>
      <c r="AK705" s="467">
        <f t="shared" si="609"/>
        <v>2.1437303737704618</v>
      </c>
      <c r="AL705" s="467">
        <f t="shared" si="609"/>
        <v>0</v>
      </c>
      <c r="AM705" s="467">
        <f t="shared" si="609"/>
        <v>0</v>
      </c>
      <c r="AN705" s="467">
        <f t="shared" si="609"/>
        <v>0</v>
      </c>
      <c r="AO705" s="467">
        <f t="shared" si="609"/>
        <v>0</v>
      </c>
      <c r="AP705" s="467">
        <f t="shared" si="609"/>
        <v>0</v>
      </c>
      <c r="AQ705" s="467">
        <f t="shared" si="609"/>
        <v>0</v>
      </c>
      <c r="AR705" s="467">
        <f t="shared" si="609"/>
        <v>0</v>
      </c>
      <c r="AS705" s="467">
        <f t="shared" si="609"/>
        <v>0</v>
      </c>
    </row>
    <row r="706" spans="1:45" ht="15" customHeight="1" x14ac:dyDescent="0.3">
      <c r="A706" s="705"/>
      <c r="B706" s="706"/>
      <c r="C706" s="707"/>
      <c r="D706" s="705"/>
      <c r="E706" s="705"/>
      <c r="F706" s="705"/>
      <c r="G706" s="705"/>
      <c r="H706" s="705"/>
      <c r="I706" s="705"/>
      <c r="J706" s="705"/>
      <c r="K706" s="705"/>
      <c r="L706" s="705"/>
      <c r="M706" s="705"/>
      <c r="N706" s="705"/>
      <c r="O706" s="705"/>
      <c r="P706" s="705"/>
      <c r="Q706" s="705"/>
      <c r="R706" s="705"/>
      <c r="S706" s="705"/>
      <c r="T706" s="705"/>
      <c r="U706" s="705"/>
      <c r="V706" s="705"/>
      <c r="W706" s="705"/>
      <c r="X706" s="705"/>
      <c r="Y706" s="705"/>
      <c r="Z706" s="705"/>
      <c r="AA706" s="705"/>
      <c r="AB706" s="705"/>
      <c r="AC706" s="705"/>
      <c r="AD706" s="705"/>
      <c r="AE706" s="705"/>
      <c r="AF706" s="705"/>
      <c r="AG706" s="705"/>
      <c r="AH706" s="705"/>
      <c r="AI706" s="705"/>
      <c r="AJ706" s="705"/>
      <c r="AK706" s="705"/>
      <c r="AL706" s="705"/>
      <c r="AM706" s="705"/>
      <c r="AN706" s="705"/>
      <c r="AO706" s="705"/>
      <c r="AP706" s="705"/>
      <c r="AQ706" s="705"/>
      <c r="AR706" s="705"/>
      <c r="AS706" s="705"/>
    </row>
    <row r="707" spans="1:45" ht="15" customHeight="1" x14ac:dyDescent="0.3">
      <c r="A707" s="807"/>
      <c r="B707" s="164" t="s">
        <v>765</v>
      </c>
      <c r="C707" s="799"/>
      <c r="D707" s="463"/>
      <c r="E707" s="463"/>
      <c r="F707" s="705"/>
      <c r="G707" s="705"/>
      <c r="H707" s="705"/>
      <c r="I707" s="705"/>
      <c r="J707" s="705"/>
      <c r="K707" s="705"/>
      <c r="L707" s="705"/>
      <c r="M707" s="705"/>
      <c r="N707" s="705"/>
      <c r="O707" s="705"/>
      <c r="P707" s="705"/>
      <c r="Q707" s="705"/>
      <c r="R707" s="705"/>
      <c r="S707" s="705"/>
      <c r="T707" s="705"/>
      <c r="U707" s="705"/>
      <c r="V707" s="705"/>
      <c r="W707" s="705"/>
      <c r="X707" s="705"/>
      <c r="Y707" s="705"/>
      <c r="Z707" s="705"/>
      <c r="AA707" s="705"/>
      <c r="AB707" s="705"/>
      <c r="AC707" s="705"/>
      <c r="AD707" s="705"/>
      <c r="AE707" s="705"/>
      <c r="AF707" s="705"/>
      <c r="AG707" s="705"/>
      <c r="AH707" s="705"/>
      <c r="AI707" s="705"/>
      <c r="AJ707" s="705"/>
      <c r="AK707" s="705"/>
      <c r="AL707" s="705"/>
      <c r="AM707" s="705"/>
      <c r="AN707" s="705"/>
      <c r="AO707" s="705"/>
      <c r="AP707" s="705"/>
      <c r="AQ707" s="705"/>
      <c r="AR707" s="705"/>
      <c r="AS707" s="705"/>
    </row>
    <row r="708" spans="1:45" ht="15" customHeight="1" x14ac:dyDescent="0.3">
      <c r="A708" s="807"/>
      <c r="B708" s="164"/>
      <c r="C708" s="799" t="s">
        <v>766</v>
      </c>
      <c r="D708" s="463"/>
      <c r="E708" s="463"/>
      <c r="F708" s="705"/>
      <c r="G708" s="705"/>
      <c r="H708" s="705"/>
      <c r="I708" s="705"/>
      <c r="J708" s="705"/>
      <c r="K708" s="705"/>
      <c r="L708" s="705"/>
      <c r="M708" s="705"/>
      <c r="N708" s="705"/>
      <c r="O708" s="705"/>
      <c r="P708" s="705"/>
      <c r="Q708" s="705"/>
      <c r="R708" s="705"/>
      <c r="S708" s="705"/>
      <c r="T708" s="705"/>
      <c r="U708" s="705"/>
      <c r="V708" s="705"/>
      <c r="W708" s="705"/>
      <c r="X708" s="705"/>
      <c r="Y708" s="705"/>
      <c r="Z708" s="705"/>
      <c r="AA708" s="705"/>
      <c r="AB708" s="705"/>
      <c r="AC708" s="705"/>
      <c r="AD708" s="705"/>
      <c r="AE708" s="705"/>
      <c r="AF708" s="705"/>
      <c r="AG708" s="705"/>
      <c r="AH708" s="705"/>
      <c r="AI708" s="705"/>
      <c r="AJ708" s="705"/>
      <c r="AK708" s="705"/>
      <c r="AL708" s="705"/>
      <c r="AM708" s="705"/>
      <c r="AN708" s="705"/>
      <c r="AO708" s="705"/>
      <c r="AP708" s="705"/>
      <c r="AQ708" s="705"/>
      <c r="AR708" s="705"/>
      <c r="AS708" s="705"/>
    </row>
    <row r="709" spans="1:45" ht="15" customHeight="1" x14ac:dyDescent="0.3">
      <c r="A709" s="705"/>
      <c r="B709" s="706"/>
      <c r="C709" s="707"/>
      <c r="D709" s="705"/>
      <c r="E709" s="674" t="str">
        <f xml:space="preserve"> E$179</f>
        <v>Copper realized price: %LME(actual)</v>
      </c>
      <c r="F709" s="674" t="str">
        <f t="shared" ref="F709:O709" si="610" xml:space="preserve"> F$179</f>
        <v>%LME(actual)</v>
      </c>
      <c r="G709" s="674" t="str">
        <f t="shared" si="610"/>
        <v>$ / tonne</v>
      </c>
      <c r="H709" s="674">
        <f t="shared" si="610"/>
        <v>0</v>
      </c>
      <c r="I709" s="674">
        <f t="shared" si="610"/>
        <v>0</v>
      </c>
      <c r="J709" s="674">
        <f t="shared" si="610"/>
        <v>0</v>
      </c>
      <c r="K709" s="674">
        <f t="shared" si="610"/>
        <v>6039.1519599022486</v>
      </c>
      <c r="L709" s="674">
        <f t="shared" si="610"/>
        <v>6398.2684744160861</v>
      </c>
      <c r="M709" s="674">
        <f t="shared" si="610"/>
        <v>6247.4115107996176</v>
      </c>
      <c r="N709" s="674">
        <f t="shared" si="610"/>
        <v>4633.1169349183983</v>
      </c>
      <c r="O709" s="674">
        <f t="shared" si="610"/>
        <v>6763.1753096187267</v>
      </c>
      <c r="P709" s="674">
        <f t="shared" ref="P709:AS709" si="611" xml:space="preserve"> P$179</f>
        <v>7916.1184138353383</v>
      </c>
      <c r="Q709" s="674">
        <f t="shared" si="611"/>
        <v>7140.4908720365538</v>
      </c>
      <c r="R709" s="674">
        <f t="shared" si="611"/>
        <v>6577.5773190372001</v>
      </c>
      <c r="S709" s="674">
        <f t="shared" si="611"/>
        <v>6157.6184760709602</v>
      </c>
      <c r="T709" s="674">
        <f t="shared" si="611"/>
        <v>4943.8043340337963</v>
      </c>
      <c r="U709" s="674">
        <f t="shared" si="611"/>
        <v>4367.3202215769243</v>
      </c>
      <c r="V709" s="674">
        <f t="shared" si="611"/>
        <v>5370</v>
      </c>
      <c r="W709" s="674">
        <f t="shared" si="611"/>
        <v>5667.8772618398934</v>
      </c>
      <c r="X709" s="674">
        <f t="shared" si="611"/>
        <v>5484.2765439926088</v>
      </c>
      <c r="Y709" s="674">
        <f t="shared" si="611"/>
        <v>6045.5137948502415</v>
      </c>
      <c r="Z709" s="674">
        <f t="shared" si="611"/>
        <v>8360</v>
      </c>
      <c r="AA709" s="674">
        <f t="shared" si="611"/>
        <v>6819</v>
      </c>
      <c r="AB709" s="674">
        <f t="shared" si="611"/>
        <v>8000</v>
      </c>
      <c r="AC709" s="674">
        <f t="shared" si="611"/>
        <v>8000</v>
      </c>
      <c r="AD709" s="674">
        <f t="shared" si="611"/>
        <v>7770.5753748299285</v>
      </c>
      <c r="AE709" s="674">
        <f t="shared" si="611"/>
        <v>7784.0894127189003</v>
      </c>
      <c r="AF709" s="674">
        <f t="shared" si="611"/>
        <v>7776.4258057582956</v>
      </c>
      <c r="AG709" s="674">
        <f t="shared" si="611"/>
        <v>7765.5476467326171</v>
      </c>
      <c r="AH709" s="674">
        <f t="shared" si="611"/>
        <v>7777.0986815743163</v>
      </c>
      <c r="AI709" s="674">
        <f t="shared" si="611"/>
        <v>7946.2431986300735</v>
      </c>
      <c r="AJ709" s="674">
        <f t="shared" si="611"/>
        <v>8105.1680626026755</v>
      </c>
      <c r="AK709" s="674">
        <f t="shared" si="611"/>
        <v>8267.2714238547287</v>
      </c>
      <c r="AL709" s="674">
        <f t="shared" si="611"/>
        <v>8432.6168523318247</v>
      </c>
      <c r="AM709" s="674">
        <f t="shared" si="611"/>
        <v>8601.2691893784595</v>
      </c>
      <c r="AN709" s="674">
        <f t="shared" si="611"/>
        <v>8773.2945731660293</v>
      </c>
      <c r="AO709" s="674">
        <f t="shared" si="611"/>
        <v>8948.7604646293512</v>
      </c>
      <c r="AP709" s="674">
        <f t="shared" si="611"/>
        <v>9127.7356739219376</v>
      </c>
      <c r="AQ709" s="674">
        <f t="shared" si="611"/>
        <v>9310.2903874003787</v>
      </c>
      <c r="AR709" s="674">
        <f t="shared" si="611"/>
        <v>9496.4961951483874</v>
      </c>
      <c r="AS709" s="674">
        <f t="shared" si="611"/>
        <v>9686.4261190513535</v>
      </c>
    </row>
    <row r="710" spans="1:45" ht="15" customHeight="1" x14ac:dyDescent="0.3">
      <c r="A710" s="705"/>
      <c r="B710" s="706"/>
      <c r="C710" s="707"/>
      <c r="D710" s="705"/>
      <c r="E710" s="275" t="str">
        <f xml:space="preserve"> E$323</f>
        <v>Cobalt realized price: FS</v>
      </c>
      <c r="F710" s="275" t="str">
        <f t="shared" ref="F710:O710" si="612" xml:space="preserve"> F$323</f>
        <v>FS</v>
      </c>
      <c r="G710" s="275" t="str">
        <f t="shared" si="612"/>
        <v>$ / tonne</v>
      </c>
      <c r="H710" s="275">
        <f t="shared" si="612"/>
        <v>0</v>
      </c>
      <c r="I710" s="275">
        <f t="shared" si="612"/>
        <v>0</v>
      </c>
      <c r="J710" s="275">
        <f t="shared" si="612"/>
        <v>0</v>
      </c>
      <c r="K710" s="275">
        <f t="shared" si="612"/>
        <v>0</v>
      </c>
      <c r="L710" s="275">
        <f t="shared" si="612"/>
        <v>0</v>
      </c>
      <c r="M710" s="275">
        <f t="shared" si="612"/>
        <v>0</v>
      </c>
      <c r="N710" s="275">
        <f t="shared" si="612"/>
        <v>0</v>
      </c>
      <c r="O710" s="275">
        <f t="shared" si="612"/>
        <v>0</v>
      </c>
      <c r="P710" s="275">
        <f t="shared" ref="P710:AS710" si="613" xml:space="preserve"> P$323</f>
        <v>0</v>
      </c>
      <c r="Q710" s="275">
        <f t="shared" si="613"/>
        <v>0</v>
      </c>
      <c r="R710" s="275">
        <f t="shared" si="613"/>
        <v>0</v>
      </c>
      <c r="S710" s="275">
        <f t="shared" si="613"/>
        <v>0</v>
      </c>
      <c r="T710" s="275">
        <f t="shared" si="613"/>
        <v>0</v>
      </c>
      <c r="U710" s="275">
        <f t="shared" si="613"/>
        <v>0</v>
      </c>
      <c r="V710" s="275">
        <f t="shared" si="613"/>
        <v>27778.212</v>
      </c>
      <c r="W710" s="275">
        <f t="shared" si="613"/>
        <v>27778.212</v>
      </c>
      <c r="X710" s="275">
        <f t="shared" si="613"/>
        <v>24691.743999999999</v>
      </c>
      <c r="Y710" s="275">
        <f t="shared" si="613"/>
        <v>23148.51</v>
      </c>
      <c r="Z710" s="275">
        <f t="shared" si="613"/>
        <v>37037.615999999995</v>
      </c>
      <c r="AA710" s="275">
        <f t="shared" si="613"/>
        <v>41667.317999999992</v>
      </c>
      <c r="AB710" s="275">
        <f t="shared" si="613"/>
        <v>21960.215870915901</v>
      </c>
      <c r="AC710" s="275">
        <f t="shared" si="613"/>
        <v>16436.525108406309</v>
      </c>
      <c r="AD710" s="275">
        <f t="shared" si="613"/>
        <v>25938.833026931141</v>
      </c>
      <c r="AE710" s="275">
        <f t="shared" si="613"/>
        <v>25938.833026931141</v>
      </c>
      <c r="AF710" s="275">
        <f t="shared" si="613"/>
        <v>25938.833026931141</v>
      </c>
      <c r="AG710" s="275">
        <f t="shared" si="613"/>
        <v>25938.833026931141</v>
      </c>
      <c r="AH710" s="275">
        <f t="shared" si="613"/>
        <v>25938.833026931141</v>
      </c>
      <c r="AI710" s="275">
        <f t="shared" si="613"/>
        <v>26543.42185053225</v>
      </c>
      <c r="AJ710" s="275">
        <f t="shared" si="613"/>
        <v>27111.481627004272</v>
      </c>
      <c r="AK710" s="275">
        <f t="shared" si="613"/>
        <v>27690.902599005734</v>
      </c>
      <c r="AL710" s="275">
        <f t="shared" si="613"/>
        <v>28281.911990447228</v>
      </c>
      <c r="AM710" s="275">
        <f t="shared" si="613"/>
        <v>28884.741569717542</v>
      </c>
      <c r="AN710" s="275">
        <f t="shared" si="613"/>
        <v>29499.627740573273</v>
      </c>
      <c r="AO710" s="275">
        <f t="shared" si="613"/>
        <v>30126.811634846119</v>
      </c>
      <c r="AP710" s="275">
        <f t="shared" si="613"/>
        <v>30766.539207004422</v>
      </c>
      <c r="AQ710" s="275">
        <f t="shared" si="613"/>
        <v>31419.061330605895</v>
      </c>
      <c r="AR710" s="275">
        <f t="shared" si="613"/>
        <v>32084.633896679392</v>
      </c>
      <c r="AS710" s="275">
        <f t="shared" si="613"/>
        <v>32763.517914074346</v>
      </c>
    </row>
    <row r="711" spans="1:45" ht="15" customHeight="1" x14ac:dyDescent="0.3">
      <c r="A711" s="705"/>
      <c r="B711" s="706"/>
      <c r="C711" s="707"/>
      <c r="D711" s="705"/>
      <c r="E711" s="705"/>
      <c r="F711" s="705"/>
      <c r="G711" s="705"/>
      <c r="H711" s="705"/>
      <c r="I711" s="705"/>
      <c r="J711" s="705"/>
      <c r="K711" s="705"/>
      <c r="L711" s="705"/>
      <c r="M711" s="705"/>
      <c r="N711" s="705"/>
      <c r="O711" s="705"/>
      <c r="P711" s="705"/>
      <c r="Q711" s="705"/>
      <c r="R711" s="705"/>
      <c r="S711" s="705"/>
      <c r="T711" s="705"/>
      <c r="U711" s="705"/>
      <c r="V711" s="705"/>
      <c r="W711" s="705"/>
      <c r="X711" s="705"/>
      <c r="Y711" s="705"/>
      <c r="Z711" s="705"/>
      <c r="AA711" s="705"/>
      <c r="AB711" s="705"/>
      <c r="AC711" s="705"/>
      <c r="AD711" s="705"/>
      <c r="AE711" s="705"/>
      <c r="AF711" s="705"/>
      <c r="AG711" s="705"/>
      <c r="AH711" s="705"/>
      <c r="AI711" s="705"/>
      <c r="AJ711" s="705"/>
      <c r="AK711" s="705"/>
      <c r="AL711" s="705"/>
      <c r="AM711" s="705"/>
      <c r="AN711" s="705"/>
      <c r="AO711" s="705"/>
      <c r="AP711" s="705"/>
      <c r="AQ711" s="705"/>
      <c r="AR711" s="705"/>
      <c r="AS711" s="705"/>
    </row>
    <row r="712" spans="1:45" ht="15" customHeight="1" x14ac:dyDescent="0.3">
      <c r="A712" s="705"/>
      <c r="B712" s="706"/>
      <c r="C712" s="707" t="s">
        <v>767</v>
      </c>
      <c r="D712" s="705"/>
      <c r="E712" s="705"/>
      <c r="F712" s="705"/>
      <c r="G712" s="705"/>
      <c r="H712" s="705"/>
      <c r="I712" s="705"/>
      <c r="J712" s="705"/>
      <c r="K712" s="705"/>
      <c r="L712" s="705"/>
      <c r="M712" s="705"/>
      <c r="N712" s="705"/>
      <c r="O712" s="705"/>
      <c r="P712" s="705"/>
      <c r="Q712" s="705"/>
      <c r="R712" s="705"/>
      <c r="S712" s="705"/>
      <c r="T712" s="705"/>
      <c r="U712" s="705"/>
      <c r="V712" s="705"/>
      <c r="W712" s="705"/>
      <c r="X712" s="705"/>
      <c r="Y712" s="705"/>
      <c r="Z712" s="705"/>
      <c r="AA712" s="705"/>
      <c r="AB712" s="705"/>
      <c r="AC712" s="705"/>
      <c r="AD712" s="705"/>
      <c r="AE712" s="705"/>
      <c r="AF712" s="705"/>
      <c r="AG712" s="705"/>
      <c r="AH712" s="705"/>
      <c r="AI712" s="705"/>
      <c r="AJ712" s="705"/>
      <c r="AK712" s="705"/>
      <c r="AL712" s="705"/>
      <c r="AM712" s="705"/>
      <c r="AN712" s="705"/>
      <c r="AO712" s="705"/>
      <c r="AP712" s="705"/>
      <c r="AQ712" s="705"/>
      <c r="AR712" s="705"/>
      <c r="AS712" s="705"/>
    </row>
    <row r="713" spans="1:45" ht="15" customHeight="1" x14ac:dyDescent="0.3">
      <c r="A713" s="705"/>
      <c r="B713" s="706"/>
      <c r="C713" s="707"/>
      <c r="D713" s="705"/>
      <c r="E713" s="275" t="str">
        <f xml:space="preserve"> E$455</f>
        <v>Copper net revenue after royalty</v>
      </c>
      <c r="F713" s="275">
        <f t="shared" ref="F713:O713" si="614" xml:space="preserve"> F$455</f>
        <v>0</v>
      </c>
      <c r="G713" s="275" t="str">
        <f t="shared" si="614"/>
        <v>$ mn</v>
      </c>
      <c r="H713" s="275">
        <f t="shared" si="614"/>
        <v>0</v>
      </c>
      <c r="I713" s="275">
        <f t="shared" si="614"/>
        <v>11054.320998194</v>
      </c>
      <c r="J713" s="275">
        <f t="shared" si="614"/>
        <v>0</v>
      </c>
      <c r="K713" s="275">
        <f t="shared" si="614"/>
        <v>0</v>
      </c>
      <c r="L713" s="275">
        <f t="shared" si="614"/>
        <v>0</v>
      </c>
      <c r="M713" s="275">
        <f t="shared" si="614"/>
        <v>0</v>
      </c>
      <c r="N713" s="275">
        <f t="shared" si="614"/>
        <v>0</v>
      </c>
      <c r="O713" s="275">
        <f t="shared" si="614"/>
        <v>0</v>
      </c>
      <c r="P713" s="275">
        <f t="shared" ref="P713:AS713" si="615" xml:space="preserve"> P$455</f>
        <v>0</v>
      </c>
      <c r="Q713" s="275">
        <f t="shared" si="615"/>
        <v>0</v>
      </c>
      <c r="R713" s="275">
        <f t="shared" si="615"/>
        <v>0</v>
      </c>
      <c r="S713" s="275">
        <f t="shared" si="615"/>
        <v>0</v>
      </c>
      <c r="T713" s="275">
        <f t="shared" si="615"/>
        <v>0</v>
      </c>
      <c r="U713" s="275">
        <f t="shared" si="615"/>
        <v>0</v>
      </c>
      <c r="V713" s="275">
        <f t="shared" si="615"/>
        <v>102.58699290000001</v>
      </c>
      <c r="W713" s="275">
        <f t="shared" si="615"/>
        <v>267.55625002999994</v>
      </c>
      <c r="X713" s="275">
        <f t="shared" si="615"/>
        <v>402.25959766</v>
      </c>
      <c r="Y713" s="275">
        <f t="shared" si="615"/>
        <v>613.52038240499996</v>
      </c>
      <c r="Z713" s="275">
        <f t="shared" si="615"/>
        <v>1022.1108210700002</v>
      </c>
      <c r="AA713" s="275">
        <f t="shared" si="615"/>
        <v>905.60689506499989</v>
      </c>
      <c r="AB713" s="275">
        <f t="shared" si="615"/>
        <v>938.8563343825831</v>
      </c>
      <c r="AC713" s="275">
        <f t="shared" si="615"/>
        <v>618.58395348086992</v>
      </c>
      <c r="AD713" s="275">
        <f t="shared" si="615"/>
        <v>873.3836762363361</v>
      </c>
      <c r="AE713" s="275">
        <f t="shared" si="615"/>
        <v>874.96054880533961</v>
      </c>
      <c r="AF713" s="275">
        <f t="shared" si="615"/>
        <v>874.06632816639467</v>
      </c>
      <c r="AG713" s="275">
        <f t="shared" si="615"/>
        <v>872.7970205982366</v>
      </c>
      <c r="AH713" s="275">
        <f t="shared" si="615"/>
        <v>874.14484203658992</v>
      </c>
      <c r="AI713" s="275">
        <f t="shared" si="615"/>
        <v>739.83155660470356</v>
      </c>
      <c r="AJ713" s="275">
        <f t="shared" si="615"/>
        <v>755.17971633610352</v>
      </c>
      <c r="AK713" s="275">
        <f t="shared" si="615"/>
        <v>318.87608241683984</v>
      </c>
      <c r="AL713" s="275">
        <f t="shared" si="615"/>
        <v>0</v>
      </c>
      <c r="AM713" s="275">
        <f t="shared" si="615"/>
        <v>0</v>
      </c>
      <c r="AN713" s="275">
        <f t="shared" si="615"/>
        <v>0</v>
      </c>
      <c r="AO713" s="275">
        <f t="shared" si="615"/>
        <v>0</v>
      </c>
      <c r="AP713" s="275">
        <f t="shared" si="615"/>
        <v>0</v>
      </c>
      <c r="AQ713" s="275">
        <f t="shared" si="615"/>
        <v>0</v>
      </c>
      <c r="AR713" s="275">
        <f t="shared" si="615"/>
        <v>0</v>
      </c>
      <c r="AS713" s="275">
        <f t="shared" si="615"/>
        <v>0</v>
      </c>
    </row>
    <row r="714" spans="1:45" ht="15" customHeight="1" x14ac:dyDescent="0.3">
      <c r="A714" s="705"/>
      <c r="B714" s="706"/>
      <c r="C714" s="707"/>
      <c r="D714" s="705"/>
      <c r="E714" s="275" t="str">
        <f xml:space="preserve"> E$459</f>
        <v>Cobalt net revenue after royalty</v>
      </c>
      <c r="F714" s="275">
        <f t="shared" ref="F714:O714" si="616" xml:space="preserve"> F$459</f>
        <v>0</v>
      </c>
      <c r="G714" s="275" t="str">
        <f t="shared" si="616"/>
        <v>$ mn</v>
      </c>
      <c r="H714" s="275">
        <f t="shared" si="616"/>
        <v>0</v>
      </c>
      <c r="I714" s="275">
        <f t="shared" si="616"/>
        <v>545.16406687088283</v>
      </c>
      <c r="J714" s="275">
        <f t="shared" si="616"/>
        <v>0</v>
      </c>
      <c r="K714" s="275">
        <f t="shared" si="616"/>
        <v>0</v>
      </c>
      <c r="L714" s="275">
        <f t="shared" si="616"/>
        <v>0</v>
      </c>
      <c r="M714" s="275">
        <f t="shared" si="616"/>
        <v>0</v>
      </c>
      <c r="N714" s="275">
        <f t="shared" si="616"/>
        <v>0</v>
      </c>
      <c r="O714" s="275">
        <f t="shared" si="616"/>
        <v>0</v>
      </c>
      <c r="P714" s="275">
        <f t="shared" ref="P714:AS714" si="617" xml:space="preserve"> P$459</f>
        <v>0</v>
      </c>
      <c r="Q714" s="275">
        <f t="shared" si="617"/>
        <v>0</v>
      </c>
      <c r="R714" s="275">
        <f t="shared" si="617"/>
        <v>0</v>
      </c>
      <c r="S714" s="275">
        <f t="shared" si="617"/>
        <v>0</v>
      </c>
      <c r="T714" s="275">
        <f t="shared" si="617"/>
        <v>0</v>
      </c>
      <c r="U714" s="275">
        <f t="shared" si="617"/>
        <v>0</v>
      </c>
      <c r="V714" s="275">
        <f t="shared" si="617"/>
        <v>0</v>
      </c>
      <c r="W714" s="275">
        <f t="shared" si="617"/>
        <v>0</v>
      </c>
      <c r="X714" s="275">
        <f t="shared" si="617"/>
        <v>15.734245953887999</v>
      </c>
      <c r="Y714" s="275">
        <f t="shared" si="617"/>
        <v>29.647963449719999</v>
      </c>
      <c r="Z714" s="275">
        <f t="shared" si="617"/>
        <v>53.565170650992002</v>
      </c>
      <c r="AA714" s="275">
        <f t="shared" si="617"/>
        <v>93.98321912271598</v>
      </c>
      <c r="AB714" s="275">
        <f t="shared" si="617"/>
        <v>45.576232018498857</v>
      </c>
      <c r="AC714" s="275">
        <f t="shared" si="617"/>
        <v>11.511073811795734</v>
      </c>
      <c r="AD714" s="275">
        <f t="shared" si="617"/>
        <v>40.472605738060629</v>
      </c>
      <c r="AE714" s="275">
        <f t="shared" si="617"/>
        <v>40.472605738060629</v>
      </c>
      <c r="AF714" s="275">
        <f t="shared" si="617"/>
        <v>40.472605738060629</v>
      </c>
      <c r="AG714" s="275">
        <f t="shared" si="617"/>
        <v>40.472605738060629</v>
      </c>
      <c r="AH714" s="275">
        <f t="shared" si="617"/>
        <v>40.472605738060629</v>
      </c>
      <c r="AI714" s="275">
        <f t="shared" si="617"/>
        <v>41.415951379934349</v>
      </c>
      <c r="AJ714" s="275">
        <f t="shared" si="617"/>
        <v>36.110297497157902</v>
      </c>
      <c r="AK714" s="275">
        <f t="shared" si="617"/>
        <v>15.256884295876789</v>
      </c>
      <c r="AL714" s="275">
        <f t="shared" si="617"/>
        <v>0</v>
      </c>
      <c r="AM714" s="275">
        <f t="shared" si="617"/>
        <v>0</v>
      </c>
      <c r="AN714" s="275">
        <f t="shared" si="617"/>
        <v>0</v>
      </c>
      <c r="AO714" s="275">
        <f t="shared" si="617"/>
        <v>0</v>
      </c>
      <c r="AP714" s="275">
        <f t="shared" si="617"/>
        <v>0</v>
      </c>
      <c r="AQ714" s="275">
        <f t="shared" si="617"/>
        <v>0</v>
      </c>
      <c r="AR714" s="275">
        <f t="shared" si="617"/>
        <v>0</v>
      </c>
      <c r="AS714" s="275">
        <f t="shared" si="617"/>
        <v>0</v>
      </c>
    </row>
    <row r="715" spans="1:45" ht="15" customHeight="1" x14ac:dyDescent="0.3">
      <c r="A715" s="697"/>
      <c r="B715" s="698"/>
      <c r="C715" s="699"/>
      <c r="D715" s="697"/>
      <c r="E715" s="808" t="str">
        <f xml:space="preserve"> E$463</f>
        <v>Total net revenue after royalty</v>
      </c>
      <c r="F715" s="808">
        <f t="shared" ref="F715:O715" si="618" xml:space="preserve"> F$463</f>
        <v>0</v>
      </c>
      <c r="G715" s="808" t="str">
        <f t="shared" si="618"/>
        <v>$ mn</v>
      </c>
      <c r="H715" s="808">
        <f t="shared" si="618"/>
        <v>0</v>
      </c>
      <c r="I715" s="808">
        <f t="shared" si="618"/>
        <v>11599.485065064879</v>
      </c>
      <c r="J715" s="808">
        <f t="shared" si="618"/>
        <v>0</v>
      </c>
      <c r="K715" s="808">
        <f t="shared" si="618"/>
        <v>0</v>
      </c>
      <c r="L715" s="808">
        <f t="shared" si="618"/>
        <v>0</v>
      </c>
      <c r="M715" s="808">
        <f t="shared" si="618"/>
        <v>0</v>
      </c>
      <c r="N715" s="808">
        <f t="shared" si="618"/>
        <v>0</v>
      </c>
      <c r="O715" s="808">
        <f t="shared" si="618"/>
        <v>0</v>
      </c>
      <c r="P715" s="808">
        <f t="shared" ref="P715:AS715" si="619" xml:space="preserve"> P$463</f>
        <v>0</v>
      </c>
      <c r="Q715" s="808">
        <f t="shared" si="619"/>
        <v>0</v>
      </c>
      <c r="R715" s="808">
        <f t="shared" si="619"/>
        <v>0</v>
      </c>
      <c r="S715" s="808">
        <f t="shared" si="619"/>
        <v>0</v>
      </c>
      <c r="T715" s="808">
        <f t="shared" si="619"/>
        <v>0</v>
      </c>
      <c r="U715" s="808">
        <f t="shared" si="619"/>
        <v>0</v>
      </c>
      <c r="V715" s="808">
        <f t="shared" si="619"/>
        <v>102.58699290000001</v>
      </c>
      <c r="W715" s="808">
        <f t="shared" si="619"/>
        <v>267.55625002999994</v>
      </c>
      <c r="X715" s="808">
        <f t="shared" si="619"/>
        <v>417.99384361388798</v>
      </c>
      <c r="Y715" s="808">
        <f t="shared" si="619"/>
        <v>643.16834585471997</v>
      </c>
      <c r="Z715" s="808">
        <f t="shared" si="619"/>
        <v>1075.6759917209922</v>
      </c>
      <c r="AA715" s="808">
        <f t="shared" si="619"/>
        <v>999.59011418771593</v>
      </c>
      <c r="AB715" s="808">
        <f t="shared" si="619"/>
        <v>984.432566401082</v>
      </c>
      <c r="AC715" s="808">
        <f t="shared" si="619"/>
        <v>630.09502729266569</v>
      </c>
      <c r="AD715" s="808">
        <f t="shared" si="619"/>
        <v>913.85628197439678</v>
      </c>
      <c r="AE715" s="808">
        <f t="shared" si="619"/>
        <v>915.43315454340029</v>
      </c>
      <c r="AF715" s="808">
        <f t="shared" si="619"/>
        <v>914.53893390445535</v>
      </c>
      <c r="AG715" s="808">
        <f t="shared" si="619"/>
        <v>913.26962633629728</v>
      </c>
      <c r="AH715" s="808">
        <f t="shared" si="619"/>
        <v>914.6174477746506</v>
      </c>
      <c r="AI715" s="808">
        <f t="shared" si="619"/>
        <v>781.24750798463788</v>
      </c>
      <c r="AJ715" s="808">
        <f t="shared" si="619"/>
        <v>791.29001383326147</v>
      </c>
      <c r="AK715" s="808">
        <f t="shared" si="619"/>
        <v>334.13296671271661</v>
      </c>
      <c r="AL715" s="808">
        <f t="shared" si="619"/>
        <v>0</v>
      </c>
      <c r="AM715" s="808">
        <f t="shared" si="619"/>
        <v>0</v>
      </c>
      <c r="AN715" s="808">
        <f t="shared" si="619"/>
        <v>0</v>
      </c>
      <c r="AO715" s="808">
        <f t="shared" si="619"/>
        <v>0</v>
      </c>
      <c r="AP715" s="808">
        <f t="shared" si="619"/>
        <v>0</v>
      </c>
      <c r="AQ715" s="808">
        <f t="shared" si="619"/>
        <v>0</v>
      </c>
      <c r="AR715" s="808">
        <f t="shared" si="619"/>
        <v>0</v>
      </c>
      <c r="AS715" s="808">
        <f t="shared" si="619"/>
        <v>0</v>
      </c>
    </row>
    <row r="716" spans="1:45" ht="15" customHeight="1" x14ac:dyDescent="0.3">
      <c r="A716" s="705"/>
      <c r="B716" s="706"/>
      <c r="C716" s="707"/>
      <c r="D716" s="705"/>
      <c r="E716" s="705"/>
      <c r="F716" s="705"/>
      <c r="G716" s="705"/>
      <c r="H716" s="705"/>
      <c r="I716" s="705"/>
      <c r="J716" s="705"/>
      <c r="K716" s="705"/>
      <c r="L716" s="705"/>
      <c r="M716" s="705"/>
      <c r="N716" s="705"/>
      <c r="O716" s="705"/>
      <c r="P716" s="705"/>
      <c r="Q716" s="705"/>
      <c r="R716" s="705"/>
      <c r="S716" s="705"/>
      <c r="T716" s="705"/>
      <c r="U716" s="705"/>
      <c r="V716" s="705"/>
      <c r="W716" s="705"/>
      <c r="X716" s="705"/>
      <c r="Y716" s="705"/>
      <c r="Z716" s="705"/>
      <c r="AA716" s="705"/>
      <c r="AB716" s="705"/>
      <c r="AC716" s="705"/>
      <c r="AD716" s="705"/>
      <c r="AE716" s="705"/>
      <c r="AF716" s="705"/>
      <c r="AG716" s="705"/>
      <c r="AH716" s="705"/>
      <c r="AI716" s="705"/>
      <c r="AJ716" s="705"/>
      <c r="AK716" s="705"/>
      <c r="AL716" s="705"/>
      <c r="AM716" s="705"/>
      <c r="AN716" s="705"/>
      <c r="AO716" s="705"/>
      <c r="AP716" s="705"/>
      <c r="AQ716" s="705"/>
      <c r="AR716" s="705"/>
      <c r="AS716" s="705"/>
    </row>
    <row r="717" spans="1:45" ht="15" customHeight="1" x14ac:dyDescent="0.3">
      <c r="A717" s="705"/>
      <c r="B717" s="706"/>
      <c r="C717" s="707"/>
      <c r="D717" s="705"/>
      <c r="E717" s="275" t="str">
        <f xml:space="preserve"> E$670</f>
        <v>Turnover tax (Chiffre d'Affaires 0.3PC)</v>
      </c>
      <c r="F717" s="275">
        <f t="shared" ref="F717:AS717" si="620" xml:space="preserve"> F$670</f>
        <v>0</v>
      </c>
      <c r="G717" s="275" t="str">
        <f t="shared" si="620"/>
        <v>$ mn</v>
      </c>
      <c r="H717" s="275">
        <f t="shared" si="620"/>
        <v>0</v>
      </c>
      <c r="I717" s="275">
        <f t="shared" si="620"/>
        <v>36.17168207429534</v>
      </c>
      <c r="J717" s="275">
        <f t="shared" si="620"/>
        <v>0</v>
      </c>
      <c r="K717" s="275">
        <f t="shared" si="620"/>
        <v>0</v>
      </c>
      <c r="L717" s="275">
        <f t="shared" si="620"/>
        <v>0</v>
      </c>
      <c r="M717" s="275">
        <f t="shared" si="620"/>
        <v>0</v>
      </c>
      <c r="N717" s="275">
        <f t="shared" si="620"/>
        <v>0</v>
      </c>
      <c r="O717" s="275">
        <f t="shared" si="620"/>
        <v>0</v>
      </c>
      <c r="P717" s="275">
        <f t="shared" si="620"/>
        <v>0</v>
      </c>
      <c r="Q717" s="275">
        <f t="shared" si="620"/>
        <v>0</v>
      </c>
      <c r="R717" s="275">
        <f t="shared" si="620"/>
        <v>0</v>
      </c>
      <c r="S717" s="275">
        <f t="shared" si="620"/>
        <v>0</v>
      </c>
      <c r="T717" s="275">
        <f t="shared" si="620"/>
        <v>0</v>
      </c>
      <c r="U717" s="275">
        <f t="shared" si="620"/>
        <v>0</v>
      </c>
      <c r="V717" s="275">
        <f t="shared" si="620"/>
        <v>0.31404181500000006</v>
      </c>
      <c r="W717" s="275">
        <f t="shared" si="620"/>
        <v>0.82536632399999987</v>
      </c>
      <c r="X717" s="275">
        <f t="shared" si="620"/>
        <v>1.3029954585129602</v>
      </c>
      <c r="Y717" s="275">
        <f t="shared" si="620"/>
        <v>2.0061437958324002</v>
      </c>
      <c r="Z717" s="275">
        <f t="shared" si="620"/>
        <v>3.3560971628366403</v>
      </c>
      <c r="AA717" s="275">
        <f t="shared" si="620"/>
        <v>3.1286356200757202</v>
      </c>
      <c r="AB717" s="275">
        <f t="shared" si="620"/>
        <v>3.0706451289885188</v>
      </c>
      <c r="AC717" s="275">
        <f t="shared" si="620"/>
        <v>1.9614291687777747</v>
      </c>
      <c r="AD717" s="275">
        <f t="shared" si="620"/>
        <v>2.8500910989634924</v>
      </c>
      <c r="AE717" s="275">
        <f t="shared" si="620"/>
        <v>2.8549932934785289</v>
      </c>
      <c r="AF717" s="275">
        <f t="shared" si="620"/>
        <v>2.8522133329429491</v>
      </c>
      <c r="AG717" s="275">
        <f t="shared" si="620"/>
        <v>2.8482672990523024</v>
      </c>
      <c r="AH717" s="275">
        <f t="shared" si="620"/>
        <v>2.852457417513504</v>
      </c>
      <c r="AI717" s="275">
        <f t="shared" si="620"/>
        <v>2.4380476477577542</v>
      </c>
      <c r="AJ717" s="275">
        <f t="shared" si="620"/>
        <v>2.4680766210267722</v>
      </c>
      <c r="AK717" s="275">
        <f t="shared" si="620"/>
        <v>1.0421808895360172</v>
      </c>
      <c r="AL717" s="275">
        <f t="shared" si="620"/>
        <v>0</v>
      </c>
      <c r="AM717" s="275">
        <f t="shared" si="620"/>
        <v>0</v>
      </c>
      <c r="AN717" s="275">
        <f t="shared" si="620"/>
        <v>0</v>
      </c>
      <c r="AO717" s="275">
        <f t="shared" si="620"/>
        <v>0</v>
      </c>
      <c r="AP717" s="275">
        <f t="shared" si="620"/>
        <v>0</v>
      </c>
      <c r="AQ717" s="275">
        <f t="shared" si="620"/>
        <v>0</v>
      </c>
      <c r="AR717" s="275">
        <f t="shared" si="620"/>
        <v>0</v>
      </c>
      <c r="AS717" s="275">
        <f t="shared" si="620"/>
        <v>0</v>
      </c>
    </row>
    <row r="718" spans="1:45" ht="15" customHeight="1" x14ac:dyDescent="0.3">
      <c r="A718" s="705"/>
      <c r="B718" s="706"/>
      <c r="C718" s="707"/>
      <c r="D718" s="705"/>
      <c r="E718" s="674" t="str">
        <f xml:space="preserve"> E$520</f>
        <v>Operating costs, including Sens.</v>
      </c>
      <c r="F718" s="674" t="str">
        <f t="shared" ref="F718:O718" si="621" xml:space="preserve"> F$520</f>
        <v>FS</v>
      </c>
      <c r="G718" s="674" t="str">
        <f t="shared" si="621"/>
        <v>$ mn</v>
      </c>
      <c r="H718" s="674">
        <f t="shared" si="621"/>
        <v>0</v>
      </c>
      <c r="I718" s="674">
        <f t="shared" si="621"/>
        <v>6417.4732060838423</v>
      </c>
      <c r="J718" s="674">
        <f t="shared" si="621"/>
        <v>0</v>
      </c>
      <c r="K718" s="674">
        <f t="shared" si="621"/>
        <v>0</v>
      </c>
      <c r="L718" s="674">
        <f t="shared" si="621"/>
        <v>0</v>
      </c>
      <c r="M718" s="674">
        <f t="shared" si="621"/>
        <v>0</v>
      </c>
      <c r="N718" s="674">
        <f t="shared" si="621"/>
        <v>0</v>
      </c>
      <c r="O718" s="674">
        <f t="shared" si="621"/>
        <v>0</v>
      </c>
      <c r="P718" s="674">
        <f t="shared" ref="P718:AS718" si="622" xml:space="preserve"> P$520</f>
        <v>0</v>
      </c>
      <c r="Q718" s="674">
        <f t="shared" si="622"/>
        <v>0</v>
      </c>
      <c r="R718" s="674">
        <f t="shared" si="622"/>
        <v>0</v>
      </c>
      <c r="S718" s="674">
        <f t="shared" si="622"/>
        <v>0</v>
      </c>
      <c r="T718" s="674">
        <f t="shared" si="622"/>
        <v>0</v>
      </c>
      <c r="U718" s="674">
        <f t="shared" si="622"/>
        <v>0</v>
      </c>
      <c r="V718" s="674">
        <f t="shared" si="622"/>
        <v>92.547447899999995</v>
      </c>
      <c r="W718" s="674">
        <f t="shared" si="622"/>
        <v>111.20828203000001</v>
      </c>
      <c r="X718" s="674">
        <f t="shared" si="622"/>
        <v>222.95433410956798</v>
      </c>
      <c r="Y718" s="674">
        <f t="shared" si="622"/>
        <v>275.07933724392001</v>
      </c>
      <c r="Z718" s="674">
        <f t="shared" si="622"/>
        <v>236.842377442112</v>
      </c>
      <c r="AA718" s="674">
        <f t="shared" si="622"/>
        <v>521.23181416247598</v>
      </c>
      <c r="AB718" s="674">
        <f t="shared" si="622"/>
        <v>458.85614080454303</v>
      </c>
      <c r="AC718" s="674">
        <f t="shared" si="622"/>
        <v>498.26409575079998</v>
      </c>
      <c r="AD718" s="674">
        <f t="shared" si="622"/>
        <v>499.39449196549901</v>
      </c>
      <c r="AE718" s="674">
        <f t="shared" si="622"/>
        <v>511.64191424046072</v>
      </c>
      <c r="AF718" s="674">
        <f t="shared" si="622"/>
        <v>522.47681812965493</v>
      </c>
      <c r="AG718" s="674">
        <f t="shared" si="622"/>
        <v>533.79306524069909</v>
      </c>
      <c r="AH718" s="674">
        <f t="shared" si="622"/>
        <v>545.3125501316897</v>
      </c>
      <c r="AI718" s="674">
        <f t="shared" si="622"/>
        <v>563.04437690960037</v>
      </c>
      <c r="AJ718" s="674">
        <f t="shared" si="622"/>
        <v>520.87013281239911</v>
      </c>
      <c r="AK718" s="674">
        <f t="shared" si="622"/>
        <v>303.9560272104207</v>
      </c>
      <c r="AL718" s="674">
        <f t="shared" si="622"/>
        <v>0</v>
      </c>
      <c r="AM718" s="674">
        <f t="shared" si="622"/>
        <v>0</v>
      </c>
      <c r="AN718" s="674">
        <f t="shared" si="622"/>
        <v>0</v>
      </c>
      <c r="AO718" s="674">
        <f t="shared" si="622"/>
        <v>0</v>
      </c>
      <c r="AP718" s="674">
        <f t="shared" si="622"/>
        <v>0</v>
      </c>
      <c r="AQ718" s="674">
        <f t="shared" si="622"/>
        <v>0</v>
      </c>
      <c r="AR718" s="674">
        <f t="shared" si="622"/>
        <v>0</v>
      </c>
      <c r="AS718" s="674">
        <f t="shared" si="622"/>
        <v>0</v>
      </c>
    </row>
    <row r="719" spans="1:45" ht="15" customHeight="1" x14ac:dyDescent="0.3">
      <c r="A719" s="705"/>
      <c r="B719" s="706"/>
      <c r="C719" s="707"/>
      <c r="D719" s="705"/>
      <c r="E719" s="674"/>
      <c r="F719" s="674"/>
      <c r="G719" s="674"/>
      <c r="H719" s="674"/>
      <c r="I719" s="674"/>
      <c r="J719" s="674"/>
      <c r="K719" s="674"/>
      <c r="L719" s="674"/>
      <c r="M719" s="674"/>
      <c r="N719" s="674"/>
      <c r="O719" s="674"/>
      <c r="P719" s="674"/>
      <c r="Q719" s="674"/>
      <c r="R719" s="674"/>
      <c r="S719" s="674"/>
      <c r="T719" s="674"/>
      <c r="U719" s="674"/>
      <c r="V719" s="674"/>
      <c r="W719" s="674"/>
      <c r="X719" s="674"/>
      <c r="Y719" s="674"/>
      <c r="Z719" s="674"/>
      <c r="AA719" s="674"/>
      <c r="AB719" s="674"/>
      <c r="AC719" s="674"/>
      <c r="AD719" s="674"/>
      <c r="AE719" s="674"/>
      <c r="AF719" s="674"/>
      <c r="AG719" s="674"/>
      <c r="AH719" s="674"/>
      <c r="AI719" s="674"/>
      <c r="AJ719" s="674"/>
      <c r="AK719" s="674"/>
      <c r="AL719" s="674"/>
      <c r="AM719" s="674"/>
      <c r="AN719" s="674"/>
      <c r="AO719" s="674"/>
      <c r="AP719" s="674"/>
      <c r="AQ719" s="674"/>
      <c r="AR719" s="674"/>
      <c r="AS719" s="674"/>
    </row>
    <row r="720" spans="1:45" ht="15" customHeight="1" x14ac:dyDescent="0.3">
      <c r="A720" s="807"/>
      <c r="B720" s="164"/>
      <c r="C720" s="799"/>
      <c r="D720" s="463"/>
      <c r="E720" s="463" t="s">
        <v>769</v>
      </c>
      <c r="F720" s="463"/>
      <c r="G720" s="463" t="s">
        <v>346</v>
      </c>
      <c r="H720" s="463"/>
      <c r="I720" s="463">
        <f>SUM(K720:AS720)</f>
        <v>5182.0118589810372</v>
      </c>
      <c r="J720" s="463"/>
      <c r="K720" s="463">
        <f t="shared" ref="K720:O720" si="623" xml:space="preserve"> K715 - K718</f>
        <v>0</v>
      </c>
      <c r="L720" s="463">
        <f t="shared" si="623"/>
        <v>0</v>
      </c>
      <c r="M720" s="463">
        <f t="shared" si="623"/>
        <v>0</v>
      </c>
      <c r="N720" s="463">
        <f t="shared" si="623"/>
        <v>0</v>
      </c>
      <c r="O720" s="463">
        <f t="shared" si="623"/>
        <v>0</v>
      </c>
      <c r="P720" s="463">
        <f xml:space="preserve"> P715 - P718</f>
        <v>0</v>
      </c>
      <c r="Q720" s="463">
        <f xml:space="preserve"> Q715 - Q718</f>
        <v>0</v>
      </c>
      <c r="R720" s="463">
        <f t="shared" ref="R720:AS720" si="624" xml:space="preserve"> R715 - R718</f>
        <v>0</v>
      </c>
      <c r="S720" s="463">
        <f t="shared" si="624"/>
        <v>0</v>
      </c>
      <c r="T720" s="463">
        <f t="shared" si="624"/>
        <v>0</v>
      </c>
      <c r="U720" s="463">
        <f t="shared" si="624"/>
        <v>0</v>
      </c>
      <c r="V720" s="463">
        <f t="shared" si="624"/>
        <v>10.039545000000018</v>
      </c>
      <c r="W720" s="463">
        <f t="shared" si="624"/>
        <v>156.34796799999992</v>
      </c>
      <c r="X720" s="463">
        <f t="shared" si="624"/>
        <v>195.03950950431999</v>
      </c>
      <c r="Y720" s="463">
        <f t="shared" si="624"/>
        <v>368.08900861079997</v>
      </c>
      <c r="Z720" s="463">
        <f t="shared" si="624"/>
        <v>838.83361427888019</v>
      </c>
      <c r="AA720" s="463">
        <f t="shared" si="624"/>
        <v>478.35830002523994</v>
      </c>
      <c r="AB720" s="463">
        <f t="shared" si="624"/>
        <v>525.57642559653891</v>
      </c>
      <c r="AC720" s="463">
        <f t="shared" si="624"/>
        <v>131.83093154186571</v>
      </c>
      <c r="AD720" s="463">
        <f t="shared" si="624"/>
        <v>414.46179000889776</v>
      </c>
      <c r="AE720" s="463">
        <f t="shared" si="624"/>
        <v>403.79124030293957</v>
      </c>
      <c r="AF720" s="463">
        <f t="shared" si="624"/>
        <v>392.06211577480042</v>
      </c>
      <c r="AG720" s="463">
        <f t="shared" si="624"/>
        <v>379.47656109559819</v>
      </c>
      <c r="AH720" s="463">
        <f t="shared" si="624"/>
        <v>369.3048976429609</v>
      </c>
      <c r="AI720" s="463">
        <f t="shared" si="624"/>
        <v>218.2031310750375</v>
      </c>
      <c r="AJ720" s="463">
        <f t="shared" si="624"/>
        <v>270.41988102086236</v>
      </c>
      <c r="AK720" s="463">
        <f t="shared" si="624"/>
        <v>30.176939502295909</v>
      </c>
      <c r="AL720" s="463">
        <f t="shared" si="624"/>
        <v>0</v>
      </c>
      <c r="AM720" s="463">
        <f t="shared" si="624"/>
        <v>0</v>
      </c>
      <c r="AN720" s="463">
        <f t="shared" si="624"/>
        <v>0</v>
      </c>
      <c r="AO720" s="463">
        <f t="shared" si="624"/>
        <v>0</v>
      </c>
      <c r="AP720" s="463">
        <f t="shared" si="624"/>
        <v>0</v>
      </c>
      <c r="AQ720" s="463">
        <f t="shared" si="624"/>
        <v>0</v>
      </c>
      <c r="AR720" s="463">
        <f t="shared" si="624"/>
        <v>0</v>
      </c>
      <c r="AS720" s="463">
        <f t="shared" si="624"/>
        <v>0</v>
      </c>
    </row>
    <row r="721" spans="1:45" ht="15" customHeight="1" x14ac:dyDescent="0.3">
      <c r="A721" s="807"/>
      <c r="B721" s="164"/>
      <c r="C721" s="799"/>
      <c r="D721" s="463"/>
      <c r="E721" s="463" t="s">
        <v>770</v>
      </c>
      <c r="F721" s="463"/>
      <c r="G721" s="463" t="s">
        <v>346</v>
      </c>
      <c r="H721" s="463"/>
      <c r="I721" s="463">
        <f>SUM(K721:AS721)</f>
        <v>4932.210873913672</v>
      </c>
      <c r="J721" s="463"/>
      <c r="K721" s="463">
        <f t="shared" ref="K721:O721" si="625" xml:space="preserve"> IFERROR(K720 * K713 / K715, 0)</f>
        <v>0</v>
      </c>
      <c r="L721" s="463">
        <f t="shared" si="625"/>
        <v>0</v>
      </c>
      <c r="M721" s="463">
        <f t="shared" si="625"/>
        <v>0</v>
      </c>
      <c r="N721" s="463">
        <f t="shared" si="625"/>
        <v>0</v>
      </c>
      <c r="O721" s="463">
        <f t="shared" si="625"/>
        <v>0</v>
      </c>
      <c r="P721" s="463">
        <f xml:space="preserve"> IFERROR(P720 * P713 / P715, 0)</f>
        <v>0</v>
      </c>
      <c r="Q721" s="463">
        <f xml:space="preserve"> IFERROR(Q720 * Q713 / Q715, 0)</f>
        <v>0</v>
      </c>
      <c r="R721" s="463">
        <f t="shared" ref="R721:AS721" si="626" xml:space="preserve"> IFERROR(R720 * R713 / R715, 0)</f>
        <v>0</v>
      </c>
      <c r="S721" s="463">
        <f t="shared" si="626"/>
        <v>0</v>
      </c>
      <c r="T721" s="463">
        <f t="shared" si="626"/>
        <v>0</v>
      </c>
      <c r="U721" s="463">
        <f t="shared" si="626"/>
        <v>0</v>
      </c>
      <c r="V721" s="463">
        <f t="shared" si="626"/>
        <v>10.039545000000018</v>
      </c>
      <c r="W721" s="463">
        <f t="shared" si="626"/>
        <v>156.34796799999992</v>
      </c>
      <c r="X721" s="463">
        <f t="shared" si="626"/>
        <v>187.69777550476047</v>
      </c>
      <c r="Y721" s="463">
        <f t="shared" si="626"/>
        <v>351.12130560757765</v>
      </c>
      <c r="Z721" s="463">
        <f t="shared" si="626"/>
        <v>797.06242477343369</v>
      </c>
      <c r="AA721" s="463">
        <f t="shared" si="626"/>
        <v>433.3822120344384</v>
      </c>
      <c r="AB721" s="463">
        <f t="shared" si="626"/>
        <v>501.24383651528552</v>
      </c>
      <c r="AC721" s="463">
        <f t="shared" si="626"/>
        <v>129.42253992167386</v>
      </c>
      <c r="AD721" s="463">
        <f t="shared" si="626"/>
        <v>396.10622475056209</v>
      </c>
      <c r="AE721" s="463">
        <f t="shared" si="626"/>
        <v>385.93905351228887</v>
      </c>
      <c r="AF721" s="463">
        <f t="shared" si="626"/>
        <v>374.71154178792938</v>
      </c>
      <c r="AG721" s="463">
        <f t="shared" si="626"/>
        <v>362.6596159118746</v>
      </c>
      <c r="AH721" s="463">
        <f t="shared" si="626"/>
        <v>352.96283948978964</v>
      </c>
      <c r="AI721" s="463">
        <f t="shared" si="626"/>
        <v>206.63561863475351</v>
      </c>
      <c r="AJ721" s="463">
        <f t="shared" si="626"/>
        <v>258.07934571509639</v>
      </c>
      <c r="AK721" s="463">
        <f t="shared" si="626"/>
        <v>28.799026754207048</v>
      </c>
      <c r="AL721" s="463">
        <f t="shared" si="626"/>
        <v>0</v>
      </c>
      <c r="AM721" s="463">
        <f t="shared" si="626"/>
        <v>0</v>
      </c>
      <c r="AN721" s="463">
        <f t="shared" si="626"/>
        <v>0</v>
      </c>
      <c r="AO721" s="463">
        <f t="shared" si="626"/>
        <v>0</v>
      </c>
      <c r="AP721" s="463">
        <f t="shared" si="626"/>
        <v>0</v>
      </c>
      <c r="AQ721" s="463">
        <f t="shared" si="626"/>
        <v>0</v>
      </c>
      <c r="AR721" s="463">
        <f t="shared" si="626"/>
        <v>0</v>
      </c>
      <c r="AS721" s="463">
        <f t="shared" si="626"/>
        <v>0</v>
      </c>
    </row>
    <row r="722" spans="1:45" ht="15" customHeight="1" x14ac:dyDescent="0.3">
      <c r="A722" s="807"/>
      <c r="B722" s="164"/>
      <c r="C722" s="481"/>
      <c r="D722" s="463"/>
      <c r="E722" s="463" t="s">
        <v>771</v>
      </c>
      <c r="F722" s="463"/>
      <c r="G722" s="463" t="s">
        <v>346</v>
      </c>
      <c r="H722" s="463"/>
      <c r="I722" s="463">
        <f>SUM(K722:AS722)</f>
        <v>249.8009850673659</v>
      </c>
      <c r="J722" s="463"/>
      <c r="K722" s="463">
        <f t="shared" ref="K722:O722" si="627" xml:space="preserve"> IFERROR(K720 * K714 / K715, 0)</f>
        <v>0</v>
      </c>
      <c r="L722" s="463">
        <f t="shared" si="627"/>
        <v>0</v>
      </c>
      <c r="M722" s="463">
        <f t="shared" si="627"/>
        <v>0</v>
      </c>
      <c r="N722" s="463">
        <f t="shared" si="627"/>
        <v>0</v>
      </c>
      <c r="O722" s="463">
        <f t="shared" si="627"/>
        <v>0</v>
      </c>
      <c r="P722" s="463">
        <f t="shared" ref="P722" si="628" xml:space="preserve"> IFERROR(P720 * P714 / P715, 0)</f>
        <v>0</v>
      </c>
      <c r="Q722" s="463">
        <f t="shared" ref="Q722:AS722" si="629" xml:space="preserve"> IFERROR(Q720 * Q714 / Q715, 0)</f>
        <v>0</v>
      </c>
      <c r="R722" s="463">
        <f t="shared" si="629"/>
        <v>0</v>
      </c>
      <c r="S722" s="463">
        <f t="shared" si="629"/>
        <v>0</v>
      </c>
      <c r="T722" s="463">
        <f t="shared" si="629"/>
        <v>0</v>
      </c>
      <c r="U722" s="463">
        <f t="shared" si="629"/>
        <v>0</v>
      </c>
      <c r="V722" s="463">
        <f t="shared" si="629"/>
        <v>0</v>
      </c>
      <c r="W722" s="463">
        <f t="shared" si="629"/>
        <v>0</v>
      </c>
      <c r="X722" s="463">
        <f t="shared" si="629"/>
        <v>7.341733999559521</v>
      </c>
      <c r="Y722" s="463">
        <f t="shared" si="629"/>
        <v>16.967703003222326</v>
      </c>
      <c r="Z722" s="463">
        <f t="shared" si="629"/>
        <v>41.771189505446458</v>
      </c>
      <c r="AA722" s="463">
        <f t="shared" si="629"/>
        <v>44.97608799080151</v>
      </c>
      <c r="AB722" s="463">
        <f t="shared" si="629"/>
        <v>24.332589081253328</v>
      </c>
      <c r="AC722" s="463">
        <f t="shared" si="629"/>
        <v>2.4083916201918432</v>
      </c>
      <c r="AD722" s="463">
        <f t="shared" si="629"/>
        <v>18.355565258335616</v>
      </c>
      <c r="AE722" s="463">
        <f t="shared" si="629"/>
        <v>17.852186790650677</v>
      </c>
      <c r="AF722" s="463">
        <f t="shared" si="629"/>
        <v>17.350573986870998</v>
      </c>
      <c r="AG722" s="463">
        <f t="shared" si="629"/>
        <v>16.816945183723572</v>
      </c>
      <c r="AH722" s="463">
        <f t="shared" si="629"/>
        <v>16.34205815317123</v>
      </c>
      <c r="AI722" s="463">
        <f t="shared" si="629"/>
        <v>11.567512440284029</v>
      </c>
      <c r="AJ722" s="463">
        <f t="shared" si="629"/>
        <v>12.340535305765941</v>
      </c>
      <c r="AK722" s="463">
        <f t="shared" si="629"/>
        <v>1.3779127480888584</v>
      </c>
      <c r="AL722" s="463">
        <f t="shared" si="629"/>
        <v>0</v>
      </c>
      <c r="AM722" s="463">
        <f t="shared" si="629"/>
        <v>0</v>
      </c>
      <c r="AN722" s="463">
        <f t="shared" si="629"/>
        <v>0</v>
      </c>
      <c r="AO722" s="463">
        <f t="shared" si="629"/>
        <v>0</v>
      </c>
      <c r="AP722" s="463">
        <f t="shared" si="629"/>
        <v>0</v>
      </c>
      <c r="AQ722" s="463">
        <f t="shared" si="629"/>
        <v>0</v>
      </c>
      <c r="AR722" s="463">
        <f t="shared" si="629"/>
        <v>0</v>
      </c>
      <c r="AS722" s="463">
        <f t="shared" si="629"/>
        <v>0</v>
      </c>
    </row>
    <row r="723" spans="1:45" ht="15" customHeight="1" x14ac:dyDescent="0.3">
      <c r="A723" s="705"/>
      <c r="B723" s="706"/>
      <c r="C723" s="707"/>
      <c r="D723" s="705"/>
      <c r="E723" s="674"/>
      <c r="F723" s="674"/>
      <c r="G723" s="674"/>
      <c r="H723" s="674"/>
      <c r="I723" s="674"/>
      <c r="J723" s="674"/>
      <c r="K723" s="674"/>
      <c r="L723" s="674"/>
      <c r="M723" s="674"/>
      <c r="N723" s="674"/>
      <c r="O723" s="674"/>
      <c r="P723" s="674"/>
      <c r="Q723" s="674"/>
      <c r="R723" s="674"/>
      <c r="S723" s="674"/>
      <c r="T723" s="674"/>
      <c r="U723" s="674"/>
      <c r="V723" s="674"/>
      <c r="W723" s="674"/>
      <c r="X723" s="674"/>
      <c r="Y723" s="674"/>
      <c r="Z723" s="674"/>
      <c r="AA723" s="674"/>
      <c r="AB723" s="674"/>
      <c r="AC723" s="674"/>
      <c r="AD723" s="674"/>
      <c r="AE723" s="674"/>
      <c r="AF723" s="674"/>
      <c r="AG723" s="674"/>
      <c r="AH723" s="674"/>
      <c r="AI723" s="674"/>
      <c r="AJ723" s="674"/>
      <c r="AK723" s="674"/>
      <c r="AL723" s="674"/>
      <c r="AM723" s="674"/>
      <c r="AN723" s="674"/>
      <c r="AO723" s="674"/>
      <c r="AP723" s="674"/>
      <c r="AQ723" s="674"/>
      <c r="AR723" s="674"/>
      <c r="AS723" s="674"/>
    </row>
    <row r="724" spans="1:45" ht="15" customHeight="1" x14ac:dyDescent="0.3">
      <c r="A724" s="705"/>
      <c r="B724" s="706" t="s">
        <v>772</v>
      </c>
      <c r="C724" s="707"/>
      <c r="D724" s="705"/>
      <c r="E724" s="674"/>
      <c r="F724" s="674"/>
      <c r="G724" s="674"/>
      <c r="H724" s="674"/>
      <c r="I724" s="674"/>
      <c r="J724" s="674"/>
      <c r="K724" s="674"/>
      <c r="L724" s="674"/>
      <c r="M724" s="674"/>
      <c r="N724" s="674"/>
      <c r="O724" s="674"/>
      <c r="P724" s="674"/>
      <c r="Q724" s="674"/>
      <c r="R724" s="674"/>
      <c r="S724" s="674"/>
      <c r="T724" s="674"/>
      <c r="U724" s="674"/>
      <c r="V724" s="1103"/>
      <c r="W724" s="1103"/>
      <c r="X724" s="1103"/>
      <c r="Y724" s="1103"/>
      <c r="Z724" s="1103"/>
      <c r="AA724" s="1103"/>
      <c r="AB724" s="1103"/>
      <c r="AC724" s="1103"/>
      <c r="AD724" s="1103"/>
      <c r="AE724" s="1103"/>
      <c r="AF724" s="1103"/>
      <c r="AG724" s="1103"/>
      <c r="AH724" s="1103"/>
      <c r="AI724" s="1103"/>
      <c r="AJ724" s="1103"/>
      <c r="AK724" s="1103"/>
      <c r="AL724" s="674"/>
      <c r="AM724" s="674"/>
      <c r="AN724" s="674"/>
      <c r="AO724" s="674"/>
      <c r="AP724" s="674"/>
      <c r="AQ724" s="674"/>
      <c r="AR724" s="674"/>
      <c r="AS724" s="674"/>
    </row>
    <row r="725" spans="1:45" ht="15" customHeight="1" x14ac:dyDescent="0.3">
      <c r="A725" s="705"/>
      <c r="B725" s="706"/>
      <c r="C725" s="799" t="s">
        <v>773</v>
      </c>
      <c r="D725" s="705"/>
      <c r="E725" s="674"/>
      <c r="F725" s="674"/>
      <c r="G725" s="674"/>
      <c r="H725" s="674"/>
      <c r="I725" s="674"/>
      <c r="J725" s="674"/>
      <c r="K725" s="674"/>
      <c r="L725" s="674"/>
      <c r="M725" s="674"/>
      <c r="N725" s="674"/>
      <c r="O725" s="674"/>
      <c r="P725" s="674"/>
      <c r="Q725" s="674"/>
      <c r="R725" s="674"/>
      <c r="S725" s="674"/>
      <c r="T725" s="674"/>
      <c r="U725" s="674"/>
      <c r="AL725" s="674"/>
      <c r="AM725" s="674"/>
      <c r="AN725" s="674"/>
      <c r="AO725" s="674"/>
      <c r="AP725" s="674"/>
      <c r="AQ725" s="674"/>
      <c r="AR725" s="674"/>
      <c r="AS725" s="674"/>
    </row>
    <row r="726" spans="1:45" ht="15" customHeight="1" x14ac:dyDescent="0.3">
      <c r="A726" s="807"/>
      <c r="B726" s="164"/>
      <c r="C726" s="799"/>
      <c r="D726" s="463"/>
      <c r="E726" s="463" t="s">
        <v>774</v>
      </c>
      <c r="F726" s="463"/>
      <c r="G726" s="463" t="s">
        <v>582</v>
      </c>
      <c r="H726" s="463"/>
      <c r="I726" s="463"/>
      <c r="J726" s="463"/>
      <c r="K726" s="816">
        <f xml:space="preserve"> IF( K692 &lt;&gt; 0, K709 / K692, 0)</f>
        <v>0</v>
      </c>
      <c r="L726" s="816">
        <f xml:space="preserve"> IF( L692 &lt;&gt; 0, L709 / L692, 0)</f>
        <v>0</v>
      </c>
      <c r="M726" s="816">
        <f t="shared" ref="M726:AS726" si="630" xml:space="preserve"> IF( M692 &lt;&gt; 0, M709 / M692, 0)</f>
        <v>0</v>
      </c>
      <c r="N726" s="816">
        <f t="shared" si="630"/>
        <v>0</v>
      </c>
      <c r="O726" s="816">
        <f t="shared" si="630"/>
        <v>0</v>
      </c>
      <c r="P726" s="816">
        <f t="shared" si="630"/>
        <v>0</v>
      </c>
      <c r="Q726" s="816">
        <f t="shared" si="630"/>
        <v>0</v>
      </c>
      <c r="R726" s="816">
        <f t="shared" si="630"/>
        <v>0</v>
      </c>
      <c r="S726" s="816">
        <f t="shared" si="630"/>
        <v>0</v>
      </c>
      <c r="T726" s="816">
        <f t="shared" si="630"/>
        <v>0</v>
      </c>
      <c r="U726" s="816">
        <f t="shared" si="630"/>
        <v>0</v>
      </c>
      <c r="V726" s="816">
        <f xml:space="preserve"> IF( V692 &lt;&gt; 0, V709 / V692, 0)</f>
        <v>1</v>
      </c>
      <c r="W726" s="816">
        <f t="shared" si="630"/>
        <v>0.94323136326175627</v>
      </c>
      <c r="X726" s="816">
        <f t="shared" si="630"/>
        <v>0.99083587064003775</v>
      </c>
      <c r="Y726" s="816">
        <f t="shared" si="630"/>
        <v>1.0079216063438214</v>
      </c>
      <c r="Z726" s="816">
        <f t="shared" si="630"/>
        <v>1</v>
      </c>
      <c r="AA726" s="816">
        <f t="shared" si="630"/>
        <v>1</v>
      </c>
      <c r="AB726" s="816">
        <f t="shared" si="630"/>
        <v>1</v>
      </c>
      <c r="AC726" s="816">
        <f t="shared" si="630"/>
        <v>1</v>
      </c>
      <c r="AD726" s="816">
        <f t="shared" si="630"/>
        <v>0.97132192185374111</v>
      </c>
      <c r="AE726" s="816">
        <f t="shared" si="630"/>
        <v>0.97301117658986258</v>
      </c>
      <c r="AF726" s="816">
        <f t="shared" si="630"/>
        <v>0.97205322571978692</v>
      </c>
      <c r="AG726" s="816">
        <f t="shared" si="630"/>
        <v>0.97069345584157718</v>
      </c>
      <c r="AH726" s="816">
        <f t="shared" si="630"/>
        <v>0.97213733519678958</v>
      </c>
      <c r="AI726" s="816">
        <f t="shared" si="630"/>
        <v>0.99328039982875915</v>
      </c>
      <c r="AJ726" s="816">
        <f t="shared" si="630"/>
        <v>1.0131460078253345</v>
      </c>
      <c r="AK726" s="816">
        <f t="shared" si="630"/>
        <v>1.033408927981841</v>
      </c>
      <c r="AL726" s="816">
        <f t="shared" si="630"/>
        <v>0</v>
      </c>
      <c r="AM726" s="816">
        <f t="shared" si="630"/>
        <v>0</v>
      </c>
      <c r="AN726" s="816">
        <f t="shared" si="630"/>
        <v>0</v>
      </c>
      <c r="AO726" s="816">
        <f t="shared" si="630"/>
        <v>0</v>
      </c>
      <c r="AP726" s="816">
        <f t="shared" si="630"/>
        <v>0</v>
      </c>
      <c r="AQ726" s="816">
        <f t="shared" si="630"/>
        <v>0</v>
      </c>
      <c r="AR726" s="816">
        <f t="shared" si="630"/>
        <v>0</v>
      </c>
      <c r="AS726" s="816">
        <f t="shared" si="630"/>
        <v>0</v>
      </c>
    </row>
    <row r="727" spans="1:45" ht="15" customHeight="1" x14ac:dyDescent="0.3">
      <c r="A727" s="807"/>
      <c r="B727" s="164"/>
      <c r="C727" s="799"/>
      <c r="D727" s="463"/>
      <c r="E727" s="463" t="s">
        <v>775</v>
      </c>
      <c r="F727" s="463"/>
      <c r="G727" s="463" t="s">
        <v>582</v>
      </c>
      <c r="H727" s="463"/>
      <c r="I727" s="463"/>
      <c r="J727" s="463"/>
      <c r="K727" s="816">
        <f xml:space="preserve"> IF( K680 &lt;&gt; 0, K710 / K680, 0)</f>
        <v>0</v>
      </c>
      <c r="L727" s="816">
        <f xml:space="preserve"> IF( L693 &lt;&gt; 0, L710 / L693, 0)</f>
        <v>0</v>
      </c>
      <c r="M727" s="816">
        <f t="shared" ref="M727:AS727" si="631" xml:space="preserve"> IF( M693 &lt;&gt; 0, M710 / M693, 0)</f>
        <v>0</v>
      </c>
      <c r="N727" s="816">
        <f t="shared" si="631"/>
        <v>0</v>
      </c>
      <c r="O727" s="816">
        <f t="shared" si="631"/>
        <v>0</v>
      </c>
      <c r="P727" s="816">
        <f t="shared" si="631"/>
        <v>0</v>
      </c>
      <c r="Q727" s="816">
        <f t="shared" si="631"/>
        <v>0</v>
      </c>
      <c r="R727" s="816">
        <f t="shared" si="631"/>
        <v>0</v>
      </c>
      <c r="S727" s="816">
        <f t="shared" si="631"/>
        <v>0</v>
      </c>
      <c r="T727" s="816">
        <f t="shared" si="631"/>
        <v>0</v>
      </c>
      <c r="U727" s="816">
        <f t="shared" si="631"/>
        <v>0</v>
      </c>
      <c r="V727" s="816">
        <f t="shared" si="631"/>
        <v>1</v>
      </c>
      <c r="W727" s="816">
        <f t="shared" si="631"/>
        <v>1</v>
      </c>
      <c r="X727" s="816">
        <f t="shared" si="631"/>
        <v>1</v>
      </c>
      <c r="Y727" s="816">
        <f t="shared" si="631"/>
        <v>1</v>
      </c>
      <c r="Z727" s="816">
        <f t="shared" si="631"/>
        <v>1</v>
      </c>
      <c r="AA727" s="816">
        <f t="shared" si="631"/>
        <v>1</v>
      </c>
      <c r="AB727" s="816">
        <f t="shared" si="631"/>
        <v>0.79055541339075031</v>
      </c>
      <c r="AC727" s="816">
        <f t="shared" si="631"/>
        <v>0.59170565435983824</v>
      </c>
      <c r="AD727" s="816">
        <f t="shared" si="631"/>
        <v>0.93378339206753624</v>
      </c>
      <c r="AE727" s="816">
        <f t="shared" si="631"/>
        <v>0.93378339206753624</v>
      </c>
      <c r="AF727" s="816">
        <f t="shared" si="631"/>
        <v>0.93378339206753624</v>
      </c>
      <c r="AG727" s="816">
        <f t="shared" si="631"/>
        <v>0.93378339206753624</v>
      </c>
      <c r="AH727" s="816">
        <f t="shared" si="631"/>
        <v>0.93378339206753624</v>
      </c>
      <c r="AI727" s="816">
        <f t="shared" si="631"/>
        <v>0.95554824948892503</v>
      </c>
      <c r="AJ727" s="816">
        <f t="shared" si="631"/>
        <v>0.97599808177013958</v>
      </c>
      <c r="AK727" s="816">
        <f t="shared" si="631"/>
        <v>0.99685691069697846</v>
      </c>
      <c r="AL727" s="816">
        <f t="shared" si="631"/>
        <v>0</v>
      </c>
      <c r="AM727" s="816">
        <f t="shared" si="631"/>
        <v>0</v>
      </c>
      <c r="AN727" s="816">
        <f t="shared" si="631"/>
        <v>0</v>
      </c>
      <c r="AO727" s="816">
        <f t="shared" si="631"/>
        <v>0</v>
      </c>
      <c r="AP727" s="816">
        <f t="shared" si="631"/>
        <v>0</v>
      </c>
      <c r="AQ727" s="816">
        <f t="shared" si="631"/>
        <v>0</v>
      </c>
      <c r="AR727" s="816">
        <f t="shared" si="631"/>
        <v>0</v>
      </c>
      <c r="AS727" s="816">
        <f t="shared" si="631"/>
        <v>0</v>
      </c>
    </row>
    <row r="728" spans="1:45" ht="15" customHeight="1" x14ac:dyDescent="0.3">
      <c r="A728" s="807"/>
      <c r="B728" s="164"/>
      <c r="C728" s="799"/>
      <c r="D728" s="463"/>
      <c r="E728" s="463"/>
      <c r="F728" s="463"/>
      <c r="G728" s="463"/>
      <c r="H728" s="463"/>
      <c r="I728" s="463"/>
      <c r="J728" s="463"/>
      <c r="K728" s="816"/>
      <c r="L728" s="816"/>
      <c r="M728" s="816"/>
      <c r="N728" s="816"/>
      <c r="O728" s="816"/>
      <c r="P728" s="816"/>
      <c r="Q728" s="816"/>
      <c r="R728" s="816"/>
      <c r="S728" s="816"/>
      <c r="T728" s="816"/>
      <c r="U728" s="816"/>
      <c r="V728" s="816"/>
      <c r="W728" s="816"/>
      <c r="X728" s="816"/>
      <c r="Y728" s="816"/>
      <c r="Z728" s="816"/>
      <c r="AA728" s="816"/>
      <c r="AB728" s="816"/>
      <c r="AC728" s="816"/>
      <c r="AD728" s="816"/>
      <c r="AE728" s="816"/>
      <c r="AF728" s="816"/>
      <c r="AG728" s="816"/>
      <c r="AH728" s="816"/>
      <c r="AI728" s="816"/>
      <c r="AJ728" s="816"/>
      <c r="AK728" s="816"/>
      <c r="AL728" s="816"/>
      <c r="AM728" s="816"/>
      <c r="AN728" s="816"/>
      <c r="AO728" s="816"/>
      <c r="AP728" s="816"/>
      <c r="AQ728" s="816"/>
      <c r="AR728" s="816"/>
      <c r="AS728" s="816"/>
    </row>
    <row r="729" spans="1:45" ht="15" customHeight="1" x14ac:dyDescent="0.3">
      <c r="A729" s="807"/>
      <c r="B729" s="164"/>
      <c r="C729" s="799"/>
      <c r="D729" s="463"/>
      <c r="E729" s="817" t="str">
        <f xml:space="preserve"> Inputs_Con!E$89</f>
        <v>EPT price and operating surplus trigger</v>
      </c>
      <c r="F729" s="818">
        <f xml:space="preserve"> Inputs_Con!F$89</f>
        <v>1.25</v>
      </c>
      <c r="G729" s="817" t="str">
        <f xml:space="preserve"> Inputs_Con!G$89</f>
        <v>ratio</v>
      </c>
      <c r="H729" s="463"/>
      <c r="I729" s="463"/>
      <c r="J729" s="463"/>
      <c r="K729" s="816"/>
      <c r="L729" s="816"/>
      <c r="M729" s="816"/>
      <c r="N729" s="816"/>
      <c r="O729" s="816"/>
      <c r="P729" s="816"/>
      <c r="Q729" s="816"/>
      <c r="R729" s="816"/>
      <c r="S729" s="816"/>
      <c r="T729" s="816"/>
      <c r="U729" s="816"/>
      <c r="V729" s="816"/>
      <c r="W729" s="816"/>
      <c r="X729" s="816"/>
      <c r="Y729" s="816"/>
      <c r="Z729" s="816"/>
      <c r="AA729" s="816"/>
      <c r="AB729" s="816"/>
      <c r="AC729" s="816"/>
      <c r="AD729" s="816"/>
      <c r="AE729" s="816"/>
      <c r="AF729" s="816"/>
      <c r="AG729" s="816"/>
      <c r="AH729" s="816"/>
      <c r="AI729" s="816"/>
      <c r="AJ729" s="816"/>
      <c r="AK729" s="816"/>
      <c r="AL729" s="816"/>
      <c r="AM729" s="816"/>
      <c r="AN729" s="816"/>
      <c r="AO729" s="816"/>
      <c r="AP729" s="816"/>
      <c r="AQ729" s="816"/>
      <c r="AR729" s="816"/>
      <c r="AS729" s="816"/>
    </row>
    <row r="730" spans="1:45" ht="15" customHeight="1" x14ac:dyDescent="0.3">
      <c r="A730" s="807"/>
      <c r="B730" s="164"/>
      <c r="C730" s="799"/>
      <c r="D730" s="463"/>
      <c r="E730" s="463"/>
      <c r="F730" s="463"/>
      <c r="G730" s="463"/>
      <c r="H730" s="463"/>
      <c r="I730" s="463"/>
      <c r="J730" s="463"/>
      <c r="K730" s="816"/>
      <c r="L730" s="816"/>
      <c r="M730" s="816"/>
      <c r="N730" s="816"/>
      <c r="O730" s="816"/>
      <c r="P730" s="816"/>
      <c r="Q730" s="816"/>
      <c r="R730" s="816"/>
      <c r="S730" s="816"/>
      <c r="T730" s="816"/>
      <c r="U730" s="816"/>
      <c r="V730" s="816"/>
      <c r="W730" s="816"/>
      <c r="X730" s="816"/>
      <c r="Y730" s="816"/>
      <c r="Z730" s="816"/>
      <c r="AA730" s="816"/>
      <c r="AB730" s="816"/>
      <c r="AC730" s="816"/>
      <c r="AD730" s="816"/>
      <c r="AE730" s="816"/>
      <c r="AF730" s="816"/>
      <c r="AG730" s="816"/>
      <c r="AH730" s="816"/>
      <c r="AI730" s="816"/>
      <c r="AJ730" s="816"/>
      <c r="AK730" s="816"/>
      <c r="AL730" s="816"/>
      <c r="AM730" s="816"/>
      <c r="AN730" s="816"/>
      <c r="AO730" s="816"/>
      <c r="AP730" s="816"/>
      <c r="AQ730" s="816"/>
      <c r="AR730" s="816"/>
      <c r="AS730" s="816"/>
    </row>
    <row r="731" spans="1:45" ht="15" customHeight="1" x14ac:dyDescent="0.3">
      <c r="A731" s="807"/>
      <c r="B731" s="164"/>
      <c r="C731" s="799"/>
      <c r="D731" s="463"/>
      <c r="E731" s="463" t="s">
        <v>780</v>
      </c>
      <c r="F731" s="463"/>
      <c r="G731" s="463" t="s">
        <v>160</v>
      </c>
      <c r="H731" s="463"/>
      <c r="I731" s="463"/>
      <c r="J731" s="463"/>
      <c r="K731" s="463">
        <f xml:space="preserve"> IF(K726 &gt; $F729, 1, 0)</f>
        <v>0</v>
      </c>
      <c r="L731" s="463">
        <f t="shared" ref="L731:O731" si="632" xml:space="preserve"> IF(L726 &gt; $F729, 1, 0)</f>
        <v>0</v>
      </c>
      <c r="M731" s="463">
        <f t="shared" si="632"/>
        <v>0</v>
      </c>
      <c r="N731" s="463">
        <f t="shared" si="632"/>
        <v>0</v>
      </c>
      <c r="O731" s="463">
        <f t="shared" si="632"/>
        <v>0</v>
      </c>
      <c r="P731" s="463">
        <f t="shared" ref="P731:AS731" si="633" xml:space="preserve"> IF(P726 &gt; $F729, 1, 0)</f>
        <v>0</v>
      </c>
      <c r="Q731" s="463">
        <f t="shared" si="633"/>
        <v>0</v>
      </c>
      <c r="R731" s="463">
        <f t="shared" si="633"/>
        <v>0</v>
      </c>
      <c r="S731" s="463">
        <f t="shared" si="633"/>
        <v>0</v>
      </c>
      <c r="T731" s="463">
        <f t="shared" si="633"/>
        <v>0</v>
      </c>
      <c r="U731" s="463">
        <f t="shared" si="633"/>
        <v>0</v>
      </c>
      <c r="V731" s="463">
        <f xml:space="preserve"> IF(V726 &gt; $F729, 1, 0)</f>
        <v>0</v>
      </c>
      <c r="W731" s="463">
        <f t="shared" si="633"/>
        <v>0</v>
      </c>
      <c r="X731" s="463">
        <f t="shared" si="633"/>
        <v>0</v>
      </c>
      <c r="Y731" s="463">
        <f t="shared" si="633"/>
        <v>0</v>
      </c>
      <c r="Z731" s="463">
        <f t="shared" si="633"/>
        <v>0</v>
      </c>
      <c r="AA731" s="463">
        <f t="shared" si="633"/>
        <v>0</v>
      </c>
      <c r="AB731" s="463">
        <f t="shared" si="633"/>
        <v>0</v>
      </c>
      <c r="AC731" s="463">
        <f t="shared" si="633"/>
        <v>0</v>
      </c>
      <c r="AD731" s="463">
        <f t="shared" si="633"/>
        <v>0</v>
      </c>
      <c r="AE731" s="463">
        <f t="shared" si="633"/>
        <v>0</v>
      </c>
      <c r="AF731" s="463">
        <f t="shared" si="633"/>
        <v>0</v>
      </c>
      <c r="AG731" s="463">
        <f t="shared" si="633"/>
        <v>0</v>
      </c>
      <c r="AH731" s="463">
        <f t="shared" si="633"/>
        <v>0</v>
      </c>
      <c r="AI731" s="463">
        <f t="shared" si="633"/>
        <v>0</v>
      </c>
      <c r="AJ731" s="463">
        <f t="shared" si="633"/>
        <v>0</v>
      </c>
      <c r="AK731" s="463">
        <f t="shared" si="633"/>
        <v>0</v>
      </c>
      <c r="AL731" s="463">
        <f t="shared" si="633"/>
        <v>0</v>
      </c>
      <c r="AM731" s="463">
        <f t="shared" si="633"/>
        <v>0</v>
      </c>
      <c r="AN731" s="463">
        <f t="shared" si="633"/>
        <v>0</v>
      </c>
      <c r="AO731" s="463">
        <f t="shared" si="633"/>
        <v>0</v>
      </c>
      <c r="AP731" s="463">
        <f t="shared" si="633"/>
        <v>0</v>
      </c>
      <c r="AQ731" s="463">
        <f t="shared" si="633"/>
        <v>0</v>
      </c>
      <c r="AR731" s="463">
        <f t="shared" si="633"/>
        <v>0</v>
      </c>
      <c r="AS731" s="463">
        <f t="shared" si="633"/>
        <v>0</v>
      </c>
    </row>
    <row r="732" spans="1:45" ht="15" customHeight="1" x14ac:dyDescent="0.3">
      <c r="A732" s="807"/>
      <c r="B732" s="164"/>
      <c r="C732" s="799"/>
      <c r="D732" s="463"/>
      <c r="E732" s="463" t="s">
        <v>781</v>
      </c>
      <c r="F732" s="463"/>
      <c r="G732" s="463" t="s">
        <v>160</v>
      </c>
      <c r="H732" s="463"/>
      <c r="I732" s="463"/>
      <c r="J732" s="463"/>
      <c r="K732" s="463">
        <f t="shared" ref="K732:O732" si="634" xml:space="preserve"> IF(K727 &gt; $F729, 1, 0)</f>
        <v>0</v>
      </c>
      <c r="L732" s="463">
        <f t="shared" si="634"/>
        <v>0</v>
      </c>
      <c r="M732" s="463">
        <f t="shared" si="634"/>
        <v>0</v>
      </c>
      <c r="N732" s="463">
        <f t="shared" si="634"/>
        <v>0</v>
      </c>
      <c r="O732" s="463">
        <f t="shared" si="634"/>
        <v>0</v>
      </c>
      <c r="P732" s="463">
        <f t="shared" ref="P732:AS732" si="635" xml:space="preserve"> IF(P727 &gt; $F729, 1, 0)</f>
        <v>0</v>
      </c>
      <c r="Q732" s="463">
        <f t="shared" si="635"/>
        <v>0</v>
      </c>
      <c r="R732" s="463">
        <f t="shared" si="635"/>
        <v>0</v>
      </c>
      <c r="S732" s="463">
        <f t="shared" si="635"/>
        <v>0</v>
      </c>
      <c r="T732" s="463">
        <f t="shared" si="635"/>
        <v>0</v>
      </c>
      <c r="U732" s="463">
        <f t="shared" si="635"/>
        <v>0</v>
      </c>
      <c r="V732" s="463">
        <f t="shared" si="635"/>
        <v>0</v>
      </c>
      <c r="W732" s="463">
        <f t="shared" si="635"/>
        <v>0</v>
      </c>
      <c r="X732" s="463">
        <f t="shared" si="635"/>
        <v>0</v>
      </c>
      <c r="Y732" s="463">
        <f t="shared" si="635"/>
        <v>0</v>
      </c>
      <c r="Z732" s="463">
        <f t="shared" si="635"/>
        <v>0</v>
      </c>
      <c r="AA732" s="463">
        <f t="shared" si="635"/>
        <v>0</v>
      </c>
      <c r="AB732" s="463">
        <f t="shared" si="635"/>
        <v>0</v>
      </c>
      <c r="AC732" s="463">
        <f t="shared" si="635"/>
        <v>0</v>
      </c>
      <c r="AD732" s="463">
        <f t="shared" si="635"/>
        <v>0</v>
      </c>
      <c r="AE732" s="463">
        <f t="shared" si="635"/>
        <v>0</v>
      </c>
      <c r="AF732" s="463">
        <f t="shared" si="635"/>
        <v>0</v>
      </c>
      <c r="AG732" s="463">
        <f t="shared" si="635"/>
        <v>0</v>
      </c>
      <c r="AH732" s="463">
        <f t="shared" si="635"/>
        <v>0</v>
      </c>
      <c r="AI732" s="463">
        <f t="shared" si="635"/>
        <v>0</v>
      </c>
      <c r="AJ732" s="463">
        <f t="shared" si="635"/>
        <v>0</v>
      </c>
      <c r="AK732" s="463">
        <f t="shared" si="635"/>
        <v>0</v>
      </c>
      <c r="AL732" s="463">
        <f t="shared" si="635"/>
        <v>0</v>
      </c>
      <c r="AM732" s="463">
        <f t="shared" si="635"/>
        <v>0</v>
      </c>
      <c r="AN732" s="463">
        <f t="shared" si="635"/>
        <v>0</v>
      </c>
      <c r="AO732" s="463">
        <f t="shared" si="635"/>
        <v>0</v>
      </c>
      <c r="AP732" s="463">
        <f t="shared" si="635"/>
        <v>0</v>
      </c>
      <c r="AQ732" s="463">
        <f t="shared" si="635"/>
        <v>0</v>
      </c>
      <c r="AR732" s="463">
        <f t="shared" si="635"/>
        <v>0</v>
      </c>
      <c r="AS732" s="463">
        <f t="shared" si="635"/>
        <v>0</v>
      </c>
    </row>
    <row r="733" spans="1:45" ht="15" customHeight="1" x14ac:dyDescent="0.3">
      <c r="A733" s="807"/>
      <c r="B733" s="164"/>
      <c r="C733" s="799"/>
      <c r="D733" s="463"/>
      <c r="E733" s="463"/>
      <c r="F733" s="463"/>
      <c r="G733" s="463"/>
      <c r="H733" s="463"/>
      <c r="I733" s="463"/>
      <c r="J733" s="463"/>
      <c r="K733" s="816"/>
      <c r="L733" s="816"/>
      <c r="M733" s="816"/>
      <c r="N733" s="816"/>
      <c r="O733" s="816"/>
      <c r="P733" s="816"/>
      <c r="Q733" s="816"/>
      <c r="R733" s="816"/>
      <c r="S733" s="816"/>
      <c r="T733" s="816"/>
      <c r="U733" s="816"/>
      <c r="V733" s="816"/>
      <c r="W733" s="816"/>
      <c r="X733" s="816"/>
      <c r="Y733" s="816"/>
      <c r="Z733" s="816"/>
      <c r="AA733" s="816"/>
      <c r="AB733" s="816"/>
      <c r="AC733" s="816"/>
      <c r="AD733" s="816"/>
      <c r="AE733" s="816"/>
      <c r="AF733" s="816"/>
      <c r="AG733" s="816"/>
      <c r="AH733" s="816"/>
      <c r="AI733" s="816"/>
      <c r="AJ733" s="816"/>
      <c r="AK733" s="816"/>
      <c r="AL733" s="816"/>
      <c r="AM733" s="816"/>
      <c r="AN733" s="816"/>
      <c r="AO733" s="816"/>
      <c r="AP733" s="816"/>
      <c r="AQ733" s="816"/>
      <c r="AR733" s="816"/>
      <c r="AS733" s="816"/>
    </row>
    <row r="734" spans="1:45" ht="15" customHeight="1" x14ac:dyDescent="0.3">
      <c r="A734" s="807"/>
      <c r="B734" s="164"/>
      <c r="C734" s="799" t="s">
        <v>782</v>
      </c>
      <c r="D734" s="463"/>
      <c r="E734" s="463"/>
      <c r="F734" s="463"/>
      <c r="G734" s="463"/>
      <c r="H734" s="463"/>
      <c r="I734" s="463"/>
      <c r="J734" s="463"/>
      <c r="K734" s="463"/>
      <c r="L734" s="463"/>
      <c r="M734" s="463"/>
      <c r="N734" s="463"/>
      <c r="O734" s="463"/>
      <c r="P734" s="463"/>
      <c r="Q734" s="463"/>
      <c r="R734" s="463"/>
      <c r="S734" s="463"/>
      <c r="T734" s="463"/>
      <c r="U734" s="463"/>
      <c r="V734" s="463"/>
      <c r="W734" s="463"/>
      <c r="X734" s="463"/>
      <c r="Y734" s="463"/>
      <c r="Z734" s="463"/>
      <c r="AA734" s="463"/>
      <c r="AB734" s="463"/>
      <c r="AC734" s="463"/>
      <c r="AD734" s="463"/>
      <c r="AE734" s="463"/>
      <c r="AF734" s="463"/>
      <c r="AG734" s="463"/>
      <c r="AH734" s="463"/>
      <c r="AI734" s="463"/>
      <c r="AJ734" s="463"/>
      <c r="AK734" s="463"/>
      <c r="AL734" s="463"/>
      <c r="AM734" s="463"/>
      <c r="AN734" s="463"/>
      <c r="AO734" s="463"/>
      <c r="AP734" s="463"/>
      <c r="AQ734" s="463"/>
      <c r="AR734" s="463"/>
      <c r="AS734" s="463"/>
    </row>
    <row r="735" spans="1:45" ht="15" customHeight="1" x14ac:dyDescent="0.3">
      <c r="A735" s="807"/>
      <c r="B735" s="164"/>
      <c r="C735" s="799"/>
      <c r="D735" s="463"/>
      <c r="E735" s="463" t="str">
        <f xml:space="preserve"> E704 &amp; ": scaled by " &amp; F729</f>
        <v>Gross operating surplus: copper (inflation adjustment = no): scaled by 1.25</v>
      </c>
      <c r="F735" s="463"/>
      <c r="G735" s="463" t="s">
        <v>346</v>
      </c>
      <c r="H735" s="463"/>
      <c r="I735" s="463">
        <f>SUM(K735:AS735)</f>
        <v>0</v>
      </c>
      <c r="J735" s="463">
        <f xml:space="preserve"> SUM(Q735:AV735)</f>
        <v>0</v>
      </c>
      <c r="K735" s="463">
        <f>K704 * $F729 * K731</f>
        <v>0</v>
      </c>
      <c r="L735" s="463">
        <f t="shared" ref="L735:AS735" si="636">L704 * $F729 * L731</f>
        <v>0</v>
      </c>
      <c r="M735" s="463">
        <f t="shared" si="636"/>
        <v>0</v>
      </c>
      <c r="N735" s="463">
        <f t="shared" si="636"/>
        <v>0</v>
      </c>
      <c r="O735" s="463">
        <f t="shared" si="636"/>
        <v>0</v>
      </c>
      <c r="P735" s="463">
        <f t="shared" si="636"/>
        <v>0</v>
      </c>
      <c r="Q735" s="463">
        <f t="shared" si="636"/>
        <v>0</v>
      </c>
      <c r="R735" s="463">
        <f t="shared" si="636"/>
        <v>0</v>
      </c>
      <c r="S735" s="463">
        <f t="shared" si="636"/>
        <v>0</v>
      </c>
      <c r="T735" s="463">
        <f t="shared" si="636"/>
        <v>0</v>
      </c>
      <c r="U735" s="463">
        <f t="shared" si="636"/>
        <v>0</v>
      </c>
      <c r="V735" s="463">
        <f t="shared" si="636"/>
        <v>0</v>
      </c>
      <c r="W735" s="463">
        <f t="shared" si="636"/>
        <v>0</v>
      </c>
      <c r="X735" s="463">
        <f t="shared" si="636"/>
        <v>0</v>
      </c>
      <c r="Y735" s="463">
        <f t="shared" si="636"/>
        <v>0</v>
      </c>
      <c r="Z735" s="463">
        <f t="shared" si="636"/>
        <v>0</v>
      </c>
      <c r="AA735" s="463">
        <f t="shared" si="636"/>
        <v>0</v>
      </c>
      <c r="AB735" s="463">
        <f t="shared" si="636"/>
        <v>0</v>
      </c>
      <c r="AC735" s="463">
        <f t="shared" si="636"/>
        <v>0</v>
      </c>
      <c r="AD735" s="463">
        <f t="shared" si="636"/>
        <v>0</v>
      </c>
      <c r="AE735" s="463">
        <f t="shared" si="636"/>
        <v>0</v>
      </c>
      <c r="AF735" s="463">
        <f t="shared" si="636"/>
        <v>0</v>
      </c>
      <c r="AG735" s="463">
        <f t="shared" si="636"/>
        <v>0</v>
      </c>
      <c r="AH735" s="463">
        <f t="shared" si="636"/>
        <v>0</v>
      </c>
      <c r="AI735" s="463">
        <f t="shared" si="636"/>
        <v>0</v>
      </c>
      <c r="AJ735" s="463">
        <f t="shared" si="636"/>
        <v>0</v>
      </c>
      <c r="AK735" s="463">
        <f t="shared" si="636"/>
        <v>0</v>
      </c>
      <c r="AL735" s="463">
        <f t="shared" si="636"/>
        <v>0</v>
      </c>
      <c r="AM735" s="463">
        <f t="shared" si="636"/>
        <v>0</v>
      </c>
      <c r="AN735" s="463">
        <f t="shared" si="636"/>
        <v>0</v>
      </c>
      <c r="AO735" s="463">
        <f t="shared" si="636"/>
        <v>0</v>
      </c>
      <c r="AP735" s="463">
        <f t="shared" si="636"/>
        <v>0</v>
      </c>
      <c r="AQ735" s="463">
        <f t="shared" si="636"/>
        <v>0</v>
      </c>
      <c r="AR735" s="463">
        <f t="shared" si="636"/>
        <v>0</v>
      </c>
      <c r="AS735" s="463">
        <f t="shared" si="636"/>
        <v>0</v>
      </c>
    </row>
    <row r="736" spans="1:45" ht="15" customHeight="1" x14ac:dyDescent="0.3">
      <c r="A736" s="807"/>
      <c r="B736" s="164"/>
      <c r="C736" s="799"/>
      <c r="D736" s="463"/>
      <c r="E736" s="463" t="str">
        <f xml:space="preserve"> E705 &amp; ": scaled by " &amp; F729</f>
        <v>Gross operating surplus: cobalt (inflation adjustment = no): scaled by 1.25</v>
      </c>
      <c r="F736" s="463"/>
      <c r="G736" s="463" t="s">
        <v>346</v>
      </c>
      <c r="H736" s="463"/>
      <c r="I736" s="463">
        <f>SUM(K736:AS736)</f>
        <v>0</v>
      </c>
      <c r="J736" s="463">
        <f xml:space="preserve"> SUM(Q736:AV736)</f>
        <v>0</v>
      </c>
      <c r="K736" s="463">
        <f t="shared" ref="K736:AS736" si="637" xml:space="preserve"> K705 * $F729 * K732</f>
        <v>0</v>
      </c>
      <c r="L736" s="463">
        <f t="shared" si="637"/>
        <v>0</v>
      </c>
      <c r="M736" s="463">
        <f t="shared" si="637"/>
        <v>0</v>
      </c>
      <c r="N736" s="463">
        <f t="shared" si="637"/>
        <v>0</v>
      </c>
      <c r="O736" s="463">
        <f t="shared" si="637"/>
        <v>0</v>
      </c>
      <c r="P736" s="463">
        <f t="shared" si="637"/>
        <v>0</v>
      </c>
      <c r="Q736" s="463">
        <f t="shared" si="637"/>
        <v>0</v>
      </c>
      <c r="R736" s="463">
        <f t="shared" si="637"/>
        <v>0</v>
      </c>
      <c r="S736" s="463">
        <f t="shared" si="637"/>
        <v>0</v>
      </c>
      <c r="T736" s="463">
        <f t="shared" si="637"/>
        <v>0</v>
      </c>
      <c r="U736" s="463">
        <f t="shared" si="637"/>
        <v>0</v>
      </c>
      <c r="V736" s="463">
        <f t="shared" si="637"/>
        <v>0</v>
      </c>
      <c r="W736" s="463">
        <f t="shared" si="637"/>
        <v>0</v>
      </c>
      <c r="X736" s="463">
        <f t="shared" si="637"/>
        <v>0</v>
      </c>
      <c r="Y736" s="463">
        <f t="shared" si="637"/>
        <v>0</v>
      </c>
      <c r="Z736" s="463">
        <f t="shared" si="637"/>
        <v>0</v>
      </c>
      <c r="AA736" s="463">
        <f t="shared" si="637"/>
        <v>0</v>
      </c>
      <c r="AB736" s="463">
        <f t="shared" si="637"/>
        <v>0</v>
      </c>
      <c r="AC736" s="463">
        <f t="shared" si="637"/>
        <v>0</v>
      </c>
      <c r="AD736" s="463">
        <f t="shared" si="637"/>
        <v>0</v>
      </c>
      <c r="AE736" s="463">
        <f t="shared" si="637"/>
        <v>0</v>
      </c>
      <c r="AF736" s="463">
        <f t="shared" si="637"/>
        <v>0</v>
      </c>
      <c r="AG736" s="463">
        <f t="shared" si="637"/>
        <v>0</v>
      </c>
      <c r="AH736" s="463">
        <f t="shared" si="637"/>
        <v>0</v>
      </c>
      <c r="AI736" s="463">
        <f t="shared" si="637"/>
        <v>0</v>
      </c>
      <c r="AJ736" s="463">
        <f t="shared" si="637"/>
        <v>0</v>
      </c>
      <c r="AK736" s="463">
        <f t="shared" si="637"/>
        <v>0</v>
      </c>
      <c r="AL736" s="463">
        <f t="shared" si="637"/>
        <v>0</v>
      </c>
      <c r="AM736" s="463">
        <f t="shared" si="637"/>
        <v>0</v>
      </c>
      <c r="AN736" s="463">
        <f t="shared" si="637"/>
        <v>0</v>
      </c>
      <c r="AO736" s="463">
        <f t="shared" si="637"/>
        <v>0</v>
      </c>
      <c r="AP736" s="463">
        <f t="shared" si="637"/>
        <v>0</v>
      </c>
      <c r="AQ736" s="463">
        <f t="shared" si="637"/>
        <v>0</v>
      </c>
      <c r="AR736" s="463">
        <f t="shared" si="637"/>
        <v>0</v>
      </c>
      <c r="AS736" s="463">
        <f t="shared" si="637"/>
        <v>0</v>
      </c>
    </row>
    <row r="737" spans="1:45" ht="15" customHeight="1" x14ac:dyDescent="0.3">
      <c r="A737" s="807"/>
      <c r="B737" s="164"/>
      <c r="C737" s="799"/>
      <c r="D737" s="463"/>
      <c r="E737" s="463"/>
      <c r="F737" s="463"/>
      <c r="G737" s="463"/>
      <c r="H737" s="463"/>
      <c r="I737" s="463"/>
      <c r="J737" s="463"/>
      <c r="K737" s="463"/>
      <c r="L737" s="463"/>
      <c r="M737" s="463"/>
      <c r="N737" s="463"/>
      <c r="O737" s="463"/>
      <c r="P737" s="463"/>
      <c r="Q737" s="463"/>
      <c r="R737" s="463"/>
      <c r="S737" s="463"/>
      <c r="T737" s="463"/>
      <c r="U737" s="463"/>
      <c r="V737" s="463"/>
      <c r="W737" s="463"/>
      <c r="X737" s="463"/>
      <c r="Y737" s="463"/>
      <c r="Z737" s="463"/>
      <c r="AA737" s="463"/>
      <c r="AB737" s="463"/>
      <c r="AC737" s="463"/>
      <c r="AD737" s="463"/>
      <c r="AE737" s="463"/>
      <c r="AF737" s="463"/>
      <c r="AG737" s="463"/>
      <c r="AH737" s="463"/>
      <c r="AI737" s="463"/>
      <c r="AJ737" s="463"/>
      <c r="AK737" s="463"/>
      <c r="AL737" s="463"/>
      <c r="AM737" s="463"/>
      <c r="AN737" s="463"/>
      <c r="AO737" s="463"/>
      <c r="AP737" s="463"/>
      <c r="AQ737" s="463"/>
      <c r="AR737" s="463"/>
      <c r="AS737" s="463"/>
    </row>
    <row r="738" spans="1:45" ht="15" customHeight="1" x14ac:dyDescent="0.3">
      <c r="A738" s="807"/>
      <c r="B738" s="164"/>
      <c r="C738" s="799" t="s">
        <v>783</v>
      </c>
      <c r="D738" s="463"/>
      <c r="E738" s="463"/>
      <c r="F738" s="463"/>
      <c r="G738" s="463"/>
      <c r="H738" s="463"/>
      <c r="I738" s="463"/>
      <c r="J738" s="463"/>
      <c r="K738" s="463"/>
      <c r="L738" s="463"/>
      <c r="M738" s="463"/>
      <c r="N738" s="463"/>
      <c r="O738" s="463"/>
      <c r="P738" s="463"/>
      <c r="Q738" s="463"/>
      <c r="R738" s="463"/>
      <c r="S738" s="463"/>
      <c r="T738" s="463"/>
      <c r="U738" s="463"/>
      <c r="V738" s="463"/>
      <c r="W738" s="463"/>
      <c r="X738" s="463"/>
      <c r="Y738" s="463"/>
      <c r="Z738" s="463"/>
      <c r="AA738" s="463"/>
      <c r="AB738" s="463"/>
      <c r="AC738" s="463"/>
      <c r="AD738" s="463"/>
      <c r="AE738" s="463"/>
      <c r="AF738" s="463"/>
      <c r="AG738" s="463"/>
      <c r="AH738" s="463"/>
      <c r="AI738" s="463"/>
      <c r="AJ738" s="463"/>
      <c r="AK738" s="463"/>
      <c r="AL738" s="463"/>
      <c r="AM738" s="463"/>
      <c r="AN738" s="463"/>
      <c r="AO738" s="463"/>
      <c r="AP738" s="463"/>
      <c r="AQ738" s="463"/>
      <c r="AR738" s="463"/>
      <c r="AS738" s="463"/>
    </row>
    <row r="739" spans="1:45" ht="15" customHeight="1" x14ac:dyDescent="0.3">
      <c r="A739" s="807"/>
      <c r="B739" s="164"/>
      <c r="C739" s="799"/>
      <c r="D739" s="463"/>
      <c r="E739" s="463" t="s">
        <v>784</v>
      </c>
      <c r="F739" s="463"/>
      <c r="G739" s="463" t="s">
        <v>346</v>
      </c>
      <c r="H739" s="463"/>
      <c r="I739" s="463"/>
      <c r="J739" s="463"/>
      <c r="K739" s="463">
        <f xml:space="preserve"> IF(K731 = 1, K721 - K735, 0)</f>
        <v>0</v>
      </c>
      <c r="L739" s="463">
        <f t="shared" ref="K739:O740" si="638" xml:space="preserve"> IF(L731 = 1, L721 - L735, 0)</f>
        <v>0</v>
      </c>
      <c r="M739" s="463">
        <f t="shared" si="638"/>
        <v>0</v>
      </c>
      <c r="N739" s="463">
        <f t="shared" si="638"/>
        <v>0</v>
      </c>
      <c r="O739" s="463">
        <f t="shared" si="638"/>
        <v>0</v>
      </c>
      <c r="P739" s="463">
        <f xml:space="preserve"> IF(P731 = 1, P721 - P735, 0)</f>
        <v>0</v>
      </c>
      <c r="Q739" s="463">
        <f xml:space="preserve"> IF(Q731 = 1, Q721 - Q735, 0)</f>
        <v>0</v>
      </c>
      <c r="R739" s="463">
        <f t="shared" ref="R739:AS739" si="639" xml:space="preserve"> IF(R731 = 1, R721 - R735, 0)</f>
        <v>0</v>
      </c>
      <c r="S739" s="463">
        <f t="shared" si="639"/>
        <v>0</v>
      </c>
      <c r="T739" s="463">
        <f t="shared" si="639"/>
        <v>0</v>
      </c>
      <c r="U739" s="463">
        <f t="shared" si="639"/>
        <v>0</v>
      </c>
      <c r="V739" s="463">
        <f t="shared" si="639"/>
        <v>0</v>
      </c>
      <c r="W739" s="463">
        <f t="shared" si="639"/>
        <v>0</v>
      </c>
      <c r="X739" s="463">
        <f t="shared" si="639"/>
        <v>0</v>
      </c>
      <c r="Y739" s="463">
        <f t="shared" si="639"/>
        <v>0</v>
      </c>
      <c r="Z739" s="463">
        <f t="shared" si="639"/>
        <v>0</v>
      </c>
      <c r="AA739" s="463">
        <f t="shared" si="639"/>
        <v>0</v>
      </c>
      <c r="AB739" s="463">
        <f t="shared" si="639"/>
        <v>0</v>
      </c>
      <c r="AC739" s="463">
        <f t="shared" si="639"/>
        <v>0</v>
      </c>
      <c r="AD739" s="463">
        <f t="shared" si="639"/>
        <v>0</v>
      </c>
      <c r="AE739" s="463">
        <f t="shared" si="639"/>
        <v>0</v>
      </c>
      <c r="AF739" s="463">
        <f t="shared" si="639"/>
        <v>0</v>
      </c>
      <c r="AG739" s="463">
        <f t="shared" si="639"/>
        <v>0</v>
      </c>
      <c r="AH739" s="463">
        <f t="shared" si="639"/>
        <v>0</v>
      </c>
      <c r="AI739" s="463">
        <f t="shared" si="639"/>
        <v>0</v>
      </c>
      <c r="AJ739" s="463">
        <f t="shared" si="639"/>
        <v>0</v>
      </c>
      <c r="AK739" s="463">
        <f t="shared" si="639"/>
        <v>0</v>
      </c>
      <c r="AL739" s="463">
        <f t="shared" si="639"/>
        <v>0</v>
      </c>
      <c r="AM739" s="463">
        <f t="shared" si="639"/>
        <v>0</v>
      </c>
      <c r="AN739" s="463">
        <f t="shared" si="639"/>
        <v>0</v>
      </c>
      <c r="AO739" s="463">
        <f t="shared" si="639"/>
        <v>0</v>
      </c>
      <c r="AP739" s="463">
        <f t="shared" si="639"/>
        <v>0</v>
      </c>
      <c r="AQ739" s="463">
        <f t="shared" si="639"/>
        <v>0</v>
      </c>
      <c r="AR739" s="463">
        <f t="shared" si="639"/>
        <v>0</v>
      </c>
      <c r="AS739" s="463">
        <f t="shared" si="639"/>
        <v>0</v>
      </c>
    </row>
    <row r="740" spans="1:45" ht="15" customHeight="1" x14ac:dyDescent="0.3">
      <c r="A740" s="807"/>
      <c r="B740" s="164"/>
      <c r="C740" s="799"/>
      <c r="D740" s="463"/>
      <c r="E740" s="463" t="s">
        <v>785</v>
      </c>
      <c r="F740" s="463"/>
      <c r="G740" s="463" t="s">
        <v>346</v>
      </c>
      <c r="H740" s="463"/>
      <c r="I740" s="463"/>
      <c r="J740" s="463"/>
      <c r="K740" s="463">
        <f t="shared" si="638"/>
        <v>0</v>
      </c>
      <c r="L740" s="463">
        <f t="shared" si="638"/>
        <v>0</v>
      </c>
      <c r="M740" s="463">
        <f t="shared" si="638"/>
        <v>0</v>
      </c>
      <c r="N740" s="463">
        <f t="shared" si="638"/>
        <v>0</v>
      </c>
      <c r="O740" s="463">
        <f t="shared" si="638"/>
        <v>0</v>
      </c>
      <c r="P740" s="463">
        <f t="shared" ref="P740" si="640" xml:space="preserve"> IF(P732 = 1, P722 - P736, 0)</f>
        <v>0</v>
      </c>
      <c r="Q740" s="463">
        <f t="shared" ref="Q740:AS740" si="641" xml:space="preserve"> IF(Q732 = 1, Q722 - Q736, 0)</f>
        <v>0</v>
      </c>
      <c r="R740" s="463">
        <f t="shared" si="641"/>
        <v>0</v>
      </c>
      <c r="S740" s="463">
        <f t="shared" si="641"/>
        <v>0</v>
      </c>
      <c r="T740" s="463">
        <f t="shared" si="641"/>
        <v>0</v>
      </c>
      <c r="U740" s="463">
        <f t="shared" si="641"/>
        <v>0</v>
      </c>
      <c r="V740" s="463">
        <f t="shared" si="641"/>
        <v>0</v>
      </c>
      <c r="W740" s="463">
        <f t="shared" si="641"/>
        <v>0</v>
      </c>
      <c r="X740" s="463">
        <f t="shared" si="641"/>
        <v>0</v>
      </c>
      <c r="Y740" s="463">
        <f t="shared" si="641"/>
        <v>0</v>
      </c>
      <c r="Z740" s="463">
        <f t="shared" si="641"/>
        <v>0</v>
      </c>
      <c r="AA740" s="463">
        <f t="shared" si="641"/>
        <v>0</v>
      </c>
      <c r="AB740" s="463">
        <f t="shared" si="641"/>
        <v>0</v>
      </c>
      <c r="AC740" s="463">
        <f t="shared" si="641"/>
        <v>0</v>
      </c>
      <c r="AD740" s="463">
        <f t="shared" si="641"/>
        <v>0</v>
      </c>
      <c r="AE740" s="463">
        <f t="shared" si="641"/>
        <v>0</v>
      </c>
      <c r="AF740" s="463">
        <f t="shared" si="641"/>
        <v>0</v>
      </c>
      <c r="AG740" s="463">
        <f t="shared" si="641"/>
        <v>0</v>
      </c>
      <c r="AH740" s="463">
        <f t="shared" si="641"/>
        <v>0</v>
      </c>
      <c r="AI740" s="463">
        <f t="shared" si="641"/>
        <v>0</v>
      </c>
      <c r="AJ740" s="463">
        <f t="shared" si="641"/>
        <v>0</v>
      </c>
      <c r="AK740" s="463">
        <f t="shared" si="641"/>
        <v>0</v>
      </c>
      <c r="AL740" s="463">
        <f t="shared" si="641"/>
        <v>0</v>
      </c>
      <c r="AM740" s="463">
        <f t="shared" si="641"/>
        <v>0</v>
      </c>
      <c r="AN740" s="463">
        <f t="shared" si="641"/>
        <v>0</v>
      </c>
      <c r="AO740" s="463">
        <f t="shared" si="641"/>
        <v>0</v>
      </c>
      <c r="AP740" s="463">
        <f t="shared" si="641"/>
        <v>0</v>
      </c>
      <c r="AQ740" s="463">
        <f t="shared" si="641"/>
        <v>0</v>
      </c>
      <c r="AR740" s="463">
        <f t="shared" si="641"/>
        <v>0</v>
      </c>
      <c r="AS740" s="463">
        <f t="shared" si="641"/>
        <v>0</v>
      </c>
    </row>
    <row r="741" spans="1:45" ht="15" customHeight="1" x14ac:dyDescent="0.3">
      <c r="A741" s="807"/>
      <c r="B741" s="164"/>
      <c r="C741" s="799"/>
      <c r="D741" s="463"/>
      <c r="E741" s="463"/>
      <c r="F741" s="463"/>
      <c r="G741" s="463"/>
      <c r="H741" s="463"/>
      <c r="I741" s="463"/>
      <c r="J741" s="463"/>
      <c r="K741" s="463"/>
      <c r="L741" s="463"/>
      <c r="M741" s="463"/>
      <c r="N741" s="463"/>
      <c r="O741" s="463"/>
      <c r="P741" s="463"/>
      <c r="Q741" s="463"/>
      <c r="R741" s="463"/>
      <c r="S741" s="463"/>
      <c r="T741" s="463"/>
      <c r="U741" s="463"/>
      <c r="V741" s="463"/>
      <c r="W741" s="463"/>
      <c r="X741" s="463"/>
      <c r="Y741" s="463"/>
      <c r="Z741" s="463"/>
      <c r="AA741" s="463"/>
      <c r="AB741" s="463"/>
      <c r="AC741" s="463"/>
      <c r="AD741" s="463"/>
      <c r="AE741" s="463"/>
      <c r="AF741" s="463"/>
      <c r="AG741" s="463"/>
      <c r="AH741" s="463"/>
      <c r="AI741" s="463"/>
      <c r="AJ741" s="463"/>
      <c r="AK741" s="463"/>
      <c r="AL741" s="463"/>
      <c r="AM741" s="463"/>
      <c r="AN741" s="463"/>
      <c r="AO741" s="463"/>
      <c r="AP741" s="463"/>
      <c r="AQ741" s="463"/>
      <c r="AR741" s="463"/>
      <c r="AS741" s="463"/>
    </row>
    <row r="742" spans="1:45" ht="15" customHeight="1" x14ac:dyDescent="0.3">
      <c r="A742" s="807"/>
      <c r="B742" s="164"/>
      <c r="C742" s="799" t="s">
        <v>786</v>
      </c>
      <c r="D742" s="463"/>
      <c r="E742" s="463"/>
      <c r="F742" s="463"/>
      <c r="G742" s="463"/>
      <c r="H742" s="463"/>
      <c r="I742" s="463"/>
      <c r="J742" s="463"/>
      <c r="K742" s="463"/>
      <c r="L742" s="463"/>
      <c r="M742" s="463"/>
      <c r="N742" s="463"/>
      <c r="O742" s="463"/>
      <c r="P742" s="463"/>
      <c r="Q742" s="463"/>
      <c r="R742" s="463"/>
      <c r="S742" s="463"/>
      <c r="T742" s="463"/>
      <c r="U742" s="463"/>
      <c r="V742" s="463"/>
      <c r="W742" s="463"/>
      <c r="X742" s="463"/>
      <c r="Y742" s="463"/>
      <c r="Z742" s="463"/>
      <c r="AA742" s="463"/>
      <c r="AB742" s="463"/>
      <c r="AC742" s="463"/>
      <c r="AD742" s="463"/>
      <c r="AE742" s="463"/>
      <c r="AF742" s="463"/>
      <c r="AG742" s="463"/>
      <c r="AH742" s="463"/>
      <c r="AI742" s="463"/>
      <c r="AJ742" s="463"/>
      <c r="AK742" s="463"/>
      <c r="AL742" s="463"/>
      <c r="AM742" s="463"/>
      <c r="AN742" s="463"/>
      <c r="AO742" s="463"/>
      <c r="AP742" s="463"/>
      <c r="AQ742" s="463"/>
      <c r="AR742" s="463"/>
      <c r="AS742" s="463"/>
    </row>
    <row r="743" spans="1:45" ht="15" customHeight="1" x14ac:dyDescent="0.3">
      <c r="A743" s="807"/>
      <c r="B743" s="164"/>
      <c r="C743" s="799"/>
      <c r="D743" s="463"/>
      <c r="E743" s="817" t="str">
        <f xml:space="preserve"> Inputs_Con!E$91</f>
        <v>Excess Profits Tax applied (1 = yes)</v>
      </c>
      <c r="F743" s="819">
        <f xml:space="preserve"> Inputs_Con!F$91</f>
        <v>1</v>
      </c>
      <c r="G743" s="817" t="str">
        <f xml:space="preserve"> Inputs_Con!G$91</f>
        <v>flag</v>
      </c>
      <c r="H743" s="463"/>
      <c r="I743" s="463"/>
      <c r="J743" s="463"/>
      <c r="K743" s="463"/>
      <c r="L743" s="463"/>
      <c r="M743" s="463"/>
      <c r="N743" s="463"/>
      <c r="O743" s="463"/>
      <c r="P743" s="463"/>
      <c r="Q743" s="463"/>
      <c r="R743" s="463"/>
      <c r="S743" s="463"/>
      <c r="T743" s="463"/>
      <c r="U743" s="463"/>
      <c r="V743" s="463"/>
      <c r="W743" s="463"/>
      <c r="X743" s="463"/>
      <c r="Y743" s="463"/>
      <c r="Z743" s="463"/>
      <c r="AA743" s="463"/>
      <c r="AB743" s="463"/>
      <c r="AC743" s="463"/>
      <c r="AD743" s="463"/>
      <c r="AE743" s="463"/>
      <c r="AF743" s="463"/>
      <c r="AG743" s="463"/>
      <c r="AH743" s="463"/>
      <c r="AI743" s="463"/>
      <c r="AJ743" s="463"/>
      <c r="AK743" s="463"/>
      <c r="AL743" s="463"/>
      <c r="AM743" s="463"/>
      <c r="AN743" s="463"/>
      <c r="AO743" s="463"/>
      <c r="AP743" s="463"/>
      <c r="AQ743" s="463"/>
      <c r="AR743" s="463"/>
      <c r="AS743" s="463"/>
    </row>
    <row r="744" spans="1:45" ht="15" customHeight="1" x14ac:dyDescent="0.3">
      <c r="A744" s="807"/>
      <c r="B744" s="164"/>
      <c r="C744" s="799"/>
      <c r="D744" s="463"/>
      <c r="E744" s="463" t="str">
        <f xml:space="preserve"> E739 &amp; ": base for EPT"</f>
        <v>Act minus scaled OS: Cu: base for EPT</v>
      </c>
      <c r="F744" s="463"/>
      <c r="G744" s="463" t="str">
        <f xml:space="preserve"> G739</f>
        <v>$ mn</v>
      </c>
      <c r="H744" s="463"/>
      <c r="I744" s="463"/>
      <c r="J744" s="463">
        <f xml:space="preserve"> SUM(Q744:AV744)</f>
        <v>0</v>
      </c>
      <c r="K744" s="463">
        <f>K739 * ( K739 &gt; 0) * $F743</f>
        <v>0</v>
      </c>
      <c r="L744" s="463">
        <f t="shared" ref="L744:O744" si="642">L739 * ( L739 &gt; 0) * $F743</f>
        <v>0</v>
      </c>
      <c r="M744" s="463">
        <f t="shared" si="642"/>
        <v>0</v>
      </c>
      <c r="N744" s="463">
        <f t="shared" si="642"/>
        <v>0</v>
      </c>
      <c r="O744" s="463">
        <f t="shared" si="642"/>
        <v>0</v>
      </c>
      <c r="P744" s="463">
        <f t="shared" ref="P744:AS744" si="643">P739 * ( P739 &gt; 0) * $F743</f>
        <v>0</v>
      </c>
      <c r="Q744" s="463">
        <f t="shared" si="643"/>
        <v>0</v>
      </c>
      <c r="R744" s="463">
        <f t="shared" si="643"/>
        <v>0</v>
      </c>
      <c r="S744" s="463">
        <f t="shared" si="643"/>
        <v>0</v>
      </c>
      <c r="T744" s="463">
        <f t="shared" si="643"/>
        <v>0</v>
      </c>
      <c r="U744" s="463">
        <f t="shared" si="643"/>
        <v>0</v>
      </c>
      <c r="V744" s="463">
        <f t="shared" si="643"/>
        <v>0</v>
      </c>
      <c r="W744" s="463">
        <f t="shared" si="643"/>
        <v>0</v>
      </c>
      <c r="X744" s="463">
        <f t="shared" si="643"/>
        <v>0</v>
      </c>
      <c r="Y744" s="463">
        <f t="shared" si="643"/>
        <v>0</v>
      </c>
      <c r="Z744" s="463">
        <f t="shared" si="643"/>
        <v>0</v>
      </c>
      <c r="AA744" s="463">
        <f t="shared" si="643"/>
        <v>0</v>
      </c>
      <c r="AB744" s="463">
        <f t="shared" si="643"/>
        <v>0</v>
      </c>
      <c r="AC744" s="463">
        <f t="shared" si="643"/>
        <v>0</v>
      </c>
      <c r="AD744" s="463">
        <f t="shared" si="643"/>
        <v>0</v>
      </c>
      <c r="AE744" s="463">
        <f t="shared" si="643"/>
        <v>0</v>
      </c>
      <c r="AF744" s="463">
        <f t="shared" si="643"/>
        <v>0</v>
      </c>
      <c r="AG744" s="463">
        <f t="shared" si="643"/>
        <v>0</v>
      </c>
      <c r="AH744" s="463">
        <f t="shared" si="643"/>
        <v>0</v>
      </c>
      <c r="AI744" s="463">
        <f t="shared" si="643"/>
        <v>0</v>
      </c>
      <c r="AJ744" s="463">
        <f t="shared" si="643"/>
        <v>0</v>
      </c>
      <c r="AK744" s="463">
        <f t="shared" si="643"/>
        <v>0</v>
      </c>
      <c r="AL744" s="463">
        <f t="shared" si="643"/>
        <v>0</v>
      </c>
      <c r="AM744" s="463">
        <f t="shared" si="643"/>
        <v>0</v>
      </c>
      <c r="AN744" s="463">
        <f t="shared" si="643"/>
        <v>0</v>
      </c>
      <c r="AO744" s="463">
        <f t="shared" si="643"/>
        <v>0</v>
      </c>
      <c r="AP744" s="463">
        <f t="shared" si="643"/>
        <v>0</v>
      </c>
      <c r="AQ744" s="463">
        <f t="shared" si="643"/>
        <v>0</v>
      </c>
      <c r="AR744" s="463">
        <f t="shared" si="643"/>
        <v>0</v>
      </c>
      <c r="AS744" s="463">
        <f t="shared" si="643"/>
        <v>0</v>
      </c>
    </row>
    <row r="745" spans="1:45" ht="15" customHeight="1" x14ac:dyDescent="0.3">
      <c r="A745" s="807"/>
      <c r="B745" s="164"/>
      <c r="C745" s="799"/>
      <c r="D745" s="463"/>
      <c r="E745" s="463" t="str">
        <f xml:space="preserve"> E740 &amp; ": base for EPT"</f>
        <v>Act minus scaled OS: Co: base for EPT</v>
      </c>
      <c r="F745" s="463"/>
      <c r="G745" s="463" t="str">
        <f xml:space="preserve"> G740</f>
        <v>$ mn</v>
      </c>
      <c r="H745" s="463"/>
      <c r="I745" s="463"/>
      <c r="J745" s="463">
        <f xml:space="preserve"> SUM(Q745:AV745)</f>
        <v>0</v>
      </c>
      <c r="K745" s="463">
        <f t="shared" ref="K745:O745" si="644">K740 * ( K740 &gt; 0) * $F743</f>
        <v>0</v>
      </c>
      <c r="L745" s="463">
        <f t="shared" si="644"/>
        <v>0</v>
      </c>
      <c r="M745" s="463">
        <f t="shared" si="644"/>
        <v>0</v>
      </c>
      <c r="N745" s="463">
        <f t="shared" si="644"/>
        <v>0</v>
      </c>
      <c r="O745" s="463">
        <f t="shared" si="644"/>
        <v>0</v>
      </c>
      <c r="P745" s="463">
        <f t="shared" ref="P745:AS745" si="645">P740 * ( P740 &gt; 0) * $F743</f>
        <v>0</v>
      </c>
      <c r="Q745" s="463">
        <f t="shared" si="645"/>
        <v>0</v>
      </c>
      <c r="R745" s="463">
        <f t="shared" si="645"/>
        <v>0</v>
      </c>
      <c r="S745" s="463">
        <f t="shared" si="645"/>
        <v>0</v>
      </c>
      <c r="T745" s="463">
        <f t="shared" si="645"/>
        <v>0</v>
      </c>
      <c r="U745" s="463">
        <f t="shared" si="645"/>
        <v>0</v>
      </c>
      <c r="V745" s="463">
        <f t="shared" si="645"/>
        <v>0</v>
      </c>
      <c r="W745" s="463">
        <f t="shared" si="645"/>
        <v>0</v>
      </c>
      <c r="X745" s="463">
        <f t="shared" si="645"/>
        <v>0</v>
      </c>
      <c r="Y745" s="463">
        <f t="shared" si="645"/>
        <v>0</v>
      </c>
      <c r="Z745" s="463">
        <f t="shared" si="645"/>
        <v>0</v>
      </c>
      <c r="AA745" s="463">
        <f t="shared" si="645"/>
        <v>0</v>
      </c>
      <c r="AB745" s="463">
        <f t="shared" si="645"/>
        <v>0</v>
      </c>
      <c r="AC745" s="463">
        <f t="shared" si="645"/>
        <v>0</v>
      </c>
      <c r="AD745" s="463">
        <f t="shared" si="645"/>
        <v>0</v>
      </c>
      <c r="AE745" s="463">
        <f t="shared" si="645"/>
        <v>0</v>
      </c>
      <c r="AF745" s="463">
        <f t="shared" si="645"/>
        <v>0</v>
      </c>
      <c r="AG745" s="463">
        <f t="shared" si="645"/>
        <v>0</v>
      </c>
      <c r="AH745" s="463">
        <f t="shared" si="645"/>
        <v>0</v>
      </c>
      <c r="AI745" s="463">
        <f t="shared" si="645"/>
        <v>0</v>
      </c>
      <c r="AJ745" s="463">
        <f t="shared" si="645"/>
        <v>0</v>
      </c>
      <c r="AK745" s="463">
        <f t="shared" si="645"/>
        <v>0</v>
      </c>
      <c r="AL745" s="463">
        <f t="shared" si="645"/>
        <v>0</v>
      </c>
      <c r="AM745" s="463">
        <f t="shared" si="645"/>
        <v>0</v>
      </c>
      <c r="AN745" s="463">
        <f t="shared" si="645"/>
        <v>0</v>
      </c>
      <c r="AO745" s="463">
        <f t="shared" si="645"/>
        <v>0</v>
      </c>
      <c r="AP745" s="463">
        <f t="shared" si="645"/>
        <v>0</v>
      </c>
      <c r="AQ745" s="463">
        <f t="shared" si="645"/>
        <v>0</v>
      </c>
      <c r="AR745" s="463">
        <f t="shared" si="645"/>
        <v>0</v>
      </c>
      <c r="AS745" s="463">
        <f t="shared" si="645"/>
        <v>0</v>
      </c>
    </row>
    <row r="746" spans="1:45" ht="15" customHeight="1" x14ac:dyDescent="0.3">
      <c r="A746" s="807"/>
      <c r="B746" s="164"/>
      <c r="C746" s="799"/>
      <c r="D746" s="463"/>
      <c r="E746" s="820" t="s">
        <v>787</v>
      </c>
      <c r="F746" s="820"/>
      <c r="G746" s="820" t="s">
        <v>346</v>
      </c>
      <c r="H746" s="820"/>
      <c r="I746" s="820"/>
      <c r="J746" s="820">
        <f xml:space="preserve"> SUM(Q746:AV746)</f>
        <v>0</v>
      </c>
      <c r="K746" s="820">
        <f t="shared" ref="K746:O746" si="646" xml:space="preserve"> SUM(K744:K745)</f>
        <v>0</v>
      </c>
      <c r="L746" s="820">
        <f t="shared" si="646"/>
        <v>0</v>
      </c>
      <c r="M746" s="820">
        <f t="shared" si="646"/>
        <v>0</v>
      </c>
      <c r="N746" s="820">
        <f t="shared" si="646"/>
        <v>0</v>
      </c>
      <c r="O746" s="820">
        <f t="shared" si="646"/>
        <v>0</v>
      </c>
      <c r="P746" s="820">
        <f t="shared" ref="P746" si="647" xml:space="preserve"> SUM(P744:P745)</f>
        <v>0</v>
      </c>
      <c r="Q746" s="820">
        <f t="shared" ref="Q746:AS746" si="648" xml:space="preserve"> SUM(Q744:Q745)</f>
        <v>0</v>
      </c>
      <c r="R746" s="820">
        <f t="shared" si="648"/>
        <v>0</v>
      </c>
      <c r="S746" s="820">
        <f t="shared" si="648"/>
        <v>0</v>
      </c>
      <c r="T746" s="820">
        <f t="shared" si="648"/>
        <v>0</v>
      </c>
      <c r="U746" s="820">
        <f t="shared" si="648"/>
        <v>0</v>
      </c>
      <c r="V746" s="820">
        <f t="shared" si="648"/>
        <v>0</v>
      </c>
      <c r="W746" s="820">
        <f t="shared" si="648"/>
        <v>0</v>
      </c>
      <c r="X746" s="820">
        <f t="shared" si="648"/>
        <v>0</v>
      </c>
      <c r="Y746" s="820">
        <f t="shared" si="648"/>
        <v>0</v>
      </c>
      <c r="Z746" s="820">
        <f t="shared" si="648"/>
        <v>0</v>
      </c>
      <c r="AA746" s="820">
        <f t="shared" si="648"/>
        <v>0</v>
      </c>
      <c r="AB746" s="820">
        <f t="shared" si="648"/>
        <v>0</v>
      </c>
      <c r="AC746" s="820">
        <f t="shared" si="648"/>
        <v>0</v>
      </c>
      <c r="AD746" s="820">
        <f t="shared" si="648"/>
        <v>0</v>
      </c>
      <c r="AE746" s="820">
        <f t="shared" si="648"/>
        <v>0</v>
      </c>
      <c r="AF746" s="820">
        <f t="shared" si="648"/>
        <v>0</v>
      </c>
      <c r="AG746" s="820">
        <f t="shared" si="648"/>
        <v>0</v>
      </c>
      <c r="AH746" s="820">
        <f t="shared" si="648"/>
        <v>0</v>
      </c>
      <c r="AI746" s="820">
        <f t="shared" si="648"/>
        <v>0</v>
      </c>
      <c r="AJ746" s="820">
        <f t="shared" si="648"/>
        <v>0</v>
      </c>
      <c r="AK746" s="820">
        <f t="shared" si="648"/>
        <v>0</v>
      </c>
      <c r="AL746" s="820">
        <f t="shared" si="648"/>
        <v>0</v>
      </c>
      <c r="AM746" s="820">
        <f t="shared" si="648"/>
        <v>0</v>
      </c>
      <c r="AN746" s="820">
        <f t="shared" si="648"/>
        <v>0</v>
      </c>
      <c r="AO746" s="820">
        <f t="shared" si="648"/>
        <v>0</v>
      </c>
      <c r="AP746" s="820">
        <f t="shared" si="648"/>
        <v>0</v>
      </c>
      <c r="AQ746" s="820">
        <f t="shared" si="648"/>
        <v>0</v>
      </c>
      <c r="AR746" s="820">
        <f t="shared" si="648"/>
        <v>0</v>
      </c>
      <c r="AS746" s="820">
        <f t="shared" si="648"/>
        <v>0</v>
      </c>
    </row>
    <row r="747" spans="1:45" ht="15" customHeight="1" x14ac:dyDescent="0.3">
      <c r="A747" s="807"/>
      <c r="B747" s="164"/>
      <c r="C747" s="799"/>
      <c r="D747" s="463"/>
      <c r="E747" s="463"/>
      <c r="F747" s="463"/>
      <c r="G747" s="463"/>
      <c r="H747" s="463"/>
      <c r="I747" s="463"/>
      <c r="J747" s="463"/>
      <c r="K747" s="463"/>
      <c r="L747" s="463"/>
      <c r="M747" s="463"/>
      <c r="N747" s="463"/>
      <c r="O747" s="463"/>
      <c r="P747" s="463"/>
      <c r="Q747" s="463"/>
      <c r="R747" s="463"/>
      <c r="S747" s="463"/>
      <c r="T747" s="463"/>
      <c r="U747" s="463"/>
      <c r="V747" s="463"/>
      <c r="W747" s="463"/>
      <c r="X747" s="463"/>
      <c r="Y747" s="463"/>
      <c r="Z747" s="463"/>
      <c r="AA747" s="463"/>
      <c r="AB747" s="463"/>
      <c r="AC747" s="463"/>
      <c r="AD747" s="463"/>
      <c r="AE747" s="463"/>
      <c r="AF747" s="463"/>
      <c r="AG747" s="463"/>
      <c r="AH747" s="463"/>
      <c r="AI747" s="463"/>
      <c r="AJ747" s="463"/>
      <c r="AK747" s="463"/>
      <c r="AL747" s="463"/>
      <c r="AM747" s="463"/>
      <c r="AN747" s="463"/>
      <c r="AO747" s="463"/>
      <c r="AP747" s="463"/>
      <c r="AQ747" s="463"/>
      <c r="AR747" s="463"/>
      <c r="AS747" s="463"/>
    </row>
    <row r="748" spans="1:45" ht="15" customHeight="1" x14ac:dyDescent="0.3">
      <c r="A748" s="807"/>
      <c r="B748" s="164"/>
      <c r="C748" s="799"/>
      <c r="D748" s="463"/>
      <c r="E748" s="817" t="str">
        <f xml:space="preserve"> Inputs_Con!E$90</f>
        <v>EPT rate</v>
      </c>
      <c r="F748" s="821">
        <f xml:space="preserve"> Inputs_Con!F$90</f>
        <v>0.5</v>
      </c>
      <c r="G748" s="817" t="str">
        <f xml:space="preserve"> Inputs_Con!G$90</f>
        <v>%</v>
      </c>
      <c r="H748" s="463"/>
      <c r="I748" s="463"/>
      <c r="J748" s="463"/>
      <c r="K748" s="463"/>
      <c r="L748" s="463"/>
      <c r="M748" s="463"/>
      <c r="N748" s="463"/>
      <c r="O748" s="463"/>
      <c r="P748" s="463"/>
      <c r="Q748" s="463"/>
      <c r="R748" s="463"/>
      <c r="S748" s="463"/>
      <c r="T748" s="463"/>
      <c r="U748" s="463"/>
      <c r="V748" s="463"/>
      <c r="W748" s="463"/>
      <c r="X748" s="463"/>
      <c r="Y748" s="463"/>
      <c r="Z748" s="463"/>
      <c r="AA748" s="463"/>
      <c r="AB748" s="463"/>
      <c r="AC748" s="463"/>
      <c r="AD748" s="463"/>
      <c r="AE748" s="463"/>
      <c r="AF748" s="463"/>
      <c r="AG748" s="463"/>
      <c r="AH748" s="463"/>
      <c r="AI748" s="463"/>
      <c r="AJ748" s="463"/>
      <c r="AK748" s="463"/>
      <c r="AL748" s="463"/>
      <c r="AM748" s="463"/>
      <c r="AN748" s="463"/>
      <c r="AO748" s="463"/>
      <c r="AP748" s="463"/>
      <c r="AQ748" s="463"/>
      <c r="AR748" s="463"/>
      <c r="AS748" s="463"/>
    </row>
    <row r="749" spans="1:45" ht="15" customHeight="1" x14ac:dyDescent="0.3">
      <c r="A749" s="807"/>
      <c r="B749" s="164"/>
      <c r="C749" s="799"/>
      <c r="D749" s="463"/>
      <c r="E749" s="463"/>
      <c r="F749" s="463"/>
      <c r="G749" s="463"/>
      <c r="H749" s="463"/>
      <c r="I749" s="463"/>
      <c r="J749" s="463"/>
      <c r="K749" s="463"/>
      <c r="L749" s="463"/>
      <c r="M749" s="463"/>
      <c r="N749" s="463"/>
      <c r="O749" s="463"/>
      <c r="P749" s="463"/>
      <c r="Q749" s="463"/>
      <c r="R749" s="463"/>
      <c r="S749" s="463"/>
      <c r="T749" s="463"/>
      <c r="U749" s="463"/>
      <c r="V749" s="463"/>
      <c r="W749" s="463"/>
      <c r="X749" s="463"/>
      <c r="Y749" s="463"/>
      <c r="Z749" s="463"/>
      <c r="AA749" s="463"/>
      <c r="AB749" s="463"/>
      <c r="AC749" s="463"/>
      <c r="AD749" s="463"/>
      <c r="AE749" s="463"/>
      <c r="AF749" s="463"/>
      <c r="AG749" s="463"/>
      <c r="AH749" s="463"/>
      <c r="AI749" s="463"/>
      <c r="AJ749" s="463"/>
      <c r="AK749" s="463"/>
      <c r="AL749" s="463"/>
      <c r="AM749" s="463"/>
      <c r="AN749" s="463"/>
      <c r="AO749" s="463"/>
      <c r="AP749" s="463"/>
      <c r="AQ749" s="463"/>
      <c r="AR749" s="463"/>
      <c r="AS749" s="463"/>
    </row>
    <row r="750" spans="1:45" ht="15" customHeight="1" x14ac:dyDescent="0.3">
      <c r="A750" s="807"/>
      <c r="B750" s="164"/>
      <c r="C750" s="799" t="s">
        <v>788</v>
      </c>
      <c r="D750" s="463"/>
      <c r="E750" s="463"/>
      <c r="F750" s="463"/>
      <c r="G750" s="463"/>
      <c r="H750" s="463"/>
      <c r="I750" s="463"/>
      <c r="J750" s="463"/>
      <c r="K750" s="463"/>
      <c r="L750" s="463"/>
      <c r="M750" s="463"/>
      <c r="N750" s="463"/>
      <c r="O750" s="463"/>
      <c r="P750" s="463"/>
      <c r="Q750" s="463"/>
      <c r="R750" s="463"/>
      <c r="S750" s="463"/>
      <c r="T750" s="463"/>
      <c r="U750" s="463"/>
      <c r="V750" s="463"/>
      <c r="W750" s="463"/>
      <c r="X750" s="463"/>
      <c r="Y750" s="463"/>
      <c r="Z750" s="463"/>
      <c r="AA750" s="463"/>
      <c r="AB750" s="463"/>
      <c r="AC750" s="463"/>
      <c r="AD750" s="463"/>
      <c r="AE750" s="463"/>
      <c r="AF750" s="463"/>
      <c r="AG750" s="463"/>
      <c r="AH750" s="463"/>
      <c r="AI750" s="463"/>
      <c r="AJ750" s="463"/>
      <c r="AK750" s="463"/>
      <c r="AL750" s="463"/>
      <c r="AM750" s="463"/>
      <c r="AN750" s="463"/>
      <c r="AO750" s="463"/>
      <c r="AP750" s="463"/>
      <c r="AQ750" s="463"/>
      <c r="AR750" s="463"/>
      <c r="AS750" s="463"/>
    </row>
    <row r="751" spans="1:45" ht="15" customHeight="1" x14ac:dyDescent="0.3">
      <c r="A751" s="807"/>
      <c r="B751" s="164"/>
      <c r="C751" s="799"/>
      <c r="D751" s="463"/>
      <c r="E751" s="463" t="s">
        <v>789</v>
      </c>
      <c r="F751" s="463"/>
      <c r="G751" s="463" t="s">
        <v>346</v>
      </c>
      <c r="H751" s="463"/>
      <c r="I751" s="463"/>
      <c r="J751" s="463">
        <f xml:space="preserve"> SUM(Q751:AV751)</f>
        <v>0</v>
      </c>
      <c r="K751" s="463"/>
      <c r="L751" s="463"/>
      <c r="M751" s="463"/>
      <c r="N751" s="463"/>
      <c r="O751" s="463"/>
      <c r="P751" s="463"/>
      <c r="Q751" s="463">
        <f t="shared" ref="Q751:AS751" si="649" xml:space="preserve"> Q744 * $F748</f>
        <v>0</v>
      </c>
      <c r="R751" s="463">
        <f t="shared" si="649"/>
        <v>0</v>
      </c>
      <c r="S751" s="463">
        <f t="shared" si="649"/>
        <v>0</v>
      </c>
      <c r="T751" s="463">
        <f t="shared" si="649"/>
        <v>0</v>
      </c>
      <c r="U751" s="463">
        <f t="shared" si="649"/>
        <v>0</v>
      </c>
      <c r="V751" s="463">
        <f t="shared" si="649"/>
        <v>0</v>
      </c>
      <c r="W751" s="463">
        <f t="shared" si="649"/>
        <v>0</v>
      </c>
      <c r="X751" s="463">
        <f t="shared" si="649"/>
        <v>0</v>
      </c>
      <c r="Y751" s="463">
        <f t="shared" si="649"/>
        <v>0</v>
      </c>
      <c r="Z751" s="463">
        <f t="shared" si="649"/>
        <v>0</v>
      </c>
      <c r="AA751" s="463">
        <f t="shared" si="649"/>
        <v>0</v>
      </c>
      <c r="AB751" s="463">
        <f t="shared" si="649"/>
        <v>0</v>
      </c>
      <c r="AC751" s="463">
        <f t="shared" si="649"/>
        <v>0</v>
      </c>
      <c r="AD751" s="463">
        <f t="shared" si="649"/>
        <v>0</v>
      </c>
      <c r="AE751" s="463">
        <f t="shared" si="649"/>
        <v>0</v>
      </c>
      <c r="AF751" s="463">
        <f t="shared" si="649"/>
        <v>0</v>
      </c>
      <c r="AG751" s="463">
        <f t="shared" si="649"/>
        <v>0</v>
      </c>
      <c r="AH751" s="463">
        <f t="shared" si="649"/>
        <v>0</v>
      </c>
      <c r="AI751" s="463">
        <f t="shared" si="649"/>
        <v>0</v>
      </c>
      <c r="AJ751" s="463">
        <f t="shared" si="649"/>
        <v>0</v>
      </c>
      <c r="AK751" s="463">
        <f t="shared" si="649"/>
        <v>0</v>
      </c>
      <c r="AL751" s="463">
        <f t="shared" si="649"/>
        <v>0</v>
      </c>
      <c r="AM751" s="463">
        <f t="shared" si="649"/>
        <v>0</v>
      </c>
      <c r="AN751" s="463">
        <f t="shared" si="649"/>
        <v>0</v>
      </c>
      <c r="AO751" s="463">
        <f t="shared" si="649"/>
        <v>0</v>
      </c>
      <c r="AP751" s="463">
        <f t="shared" si="649"/>
        <v>0</v>
      </c>
      <c r="AQ751" s="463">
        <f t="shared" si="649"/>
        <v>0</v>
      </c>
      <c r="AR751" s="463">
        <f t="shared" si="649"/>
        <v>0</v>
      </c>
      <c r="AS751" s="463">
        <f t="shared" si="649"/>
        <v>0</v>
      </c>
    </row>
    <row r="752" spans="1:45" ht="15" customHeight="1" x14ac:dyDescent="0.3">
      <c r="A752" s="807"/>
      <c r="B752" s="164"/>
      <c r="C752" s="799"/>
      <c r="D752" s="463"/>
      <c r="E752" s="463" t="s">
        <v>790</v>
      </c>
      <c r="F752" s="463"/>
      <c r="G752" s="463" t="s">
        <v>346</v>
      </c>
      <c r="H752" s="463"/>
      <c r="I752" s="463"/>
      <c r="J752" s="463">
        <f xml:space="preserve"> SUM(Q752:AV752)</f>
        <v>0</v>
      </c>
      <c r="K752" s="463"/>
      <c r="L752" s="463"/>
      <c r="M752" s="463"/>
      <c r="N752" s="463"/>
      <c r="O752" s="463"/>
      <c r="P752" s="463"/>
      <c r="Q752" s="463">
        <f t="shared" ref="Q752:AS752" si="650" xml:space="preserve"> Q745 * $F748</f>
        <v>0</v>
      </c>
      <c r="R752" s="463">
        <f t="shared" si="650"/>
        <v>0</v>
      </c>
      <c r="S752" s="463">
        <f t="shared" si="650"/>
        <v>0</v>
      </c>
      <c r="T752" s="463">
        <f t="shared" si="650"/>
        <v>0</v>
      </c>
      <c r="U752" s="463">
        <f t="shared" si="650"/>
        <v>0</v>
      </c>
      <c r="V752" s="463">
        <f t="shared" si="650"/>
        <v>0</v>
      </c>
      <c r="W752" s="463">
        <f t="shared" si="650"/>
        <v>0</v>
      </c>
      <c r="X752" s="463">
        <f t="shared" si="650"/>
        <v>0</v>
      </c>
      <c r="Y752" s="463">
        <f t="shared" si="650"/>
        <v>0</v>
      </c>
      <c r="Z752" s="463">
        <f t="shared" si="650"/>
        <v>0</v>
      </c>
      <c r="AA752" s="463">
        <f t="shared" si="650"/>
        <v>0</v>
      </c>
      <c r="AB752" s="463">
        <f t="shared" si="650"/>
        <v>0</v>
      </c>
      <c r="AC752" s="463">
        <f t="shared" si="650"/>
        <v>0</v>
      </c>
      <c r="AD752" s="463">
        <f t="shared" si="650"/>
        <v>0</v>
      </c>
      <c r="AE752" s="463">
        <f t="shared" si="650"/>
        <v>0</v>
      </c>
      <c r="AF752" s="463">
        <f t="shared" si="650"/>
        <v>0</v>
      </c>
      <c r="AG752" s="463">
        <f t="shared" si="650"/>
        <v>0</v>
      </c>
      <c r="AH752" s="463">
        <f t="shared" si="650"/>
        <v>0</v>
      </c>
      <c r="AI752" s="463">
        <f t="shared" si="650"/>
        <v>0</v>
      </c>
      <c r="AJ752" s="463">
        <f t="shared" si="650"/>
        <v>0</v>
      </c>
      <c r="AK752" s="463">
        <f t="shared" si="650"/>
        <v>0</v>
      </c>
      <c r="AL752" s="463">
        <f t="shared" si="650"/>
        <v>0</v>
      </c>
      <c r="AM752" s="463">
        <f t="shared" si="650"/>
        <v>0</v>
      </c>
      <c r="AN752" s="463">
        <f t="shared" si="650"/>
        <v>0</v>
      </c>
      <c r="AO752" s="463">
        <f t="shared" si="650"/>
        <v>0</v>
      </c>
      <c r="AP752" s="463">
        <f t="shared" si="650"/>
        <v>0</v>
      </c>
      <c r="AQ752" s="463">
        <f t="shared" si="650"/>
        <v>0</v>
      </c>
      <c r="AR752" s="463">
        <f t="shared" si="650"/>
        <v>0</v>
      </c>
      <c r="AS752" s="463">
        <f t="shared" si="650"/>
        <v>0</v>
      </c>
    </row>
    <row r="753" spans="1:45" ht="15" customHeight="1" x14ac:dyDescent="0.3">
      <c r="A753" s="822"/>
      <c r="B753" s="823"/>
      <c r="C753" s="824"/>
      <c r="D753" s="462"/>
      <c r="E753" s="825" t="s">
        <v>791</v>
      </c>
      <c r="F753" s="825"/>
      <c r="G753" s="825" t="s">
        <v>346</v>
      </c>
      <c r="H753" s="825"/>
      <c r="I753" s="825"/>
      <c r="J753" s="825">
        <f xml:space="preserve"> SUM(Q753:AV753)</f>
        <v>0</v>
      </c>
      <c r="K753" s="825"/>
      <c r="L753" s="825"/>
      <c r="M753" s="825"/>
      <c r="N753" s="825"/>
      <c r="O753" s="825"/>
      <c r="P753" s="825"/>
      <c r="Q753" s="825">
        <f t="shared" ref="Q753:AS753" si="651">SUM(Q751:Q752)</f>
        <v>0</v>
      </c>
      <c r="R753" s="825">
        <f t="shared" si="651"/>
        <v>0</v>
      </c>
      <c r="S753" s="825">
        <f t="shared" si="651"/>
        <v>0</v>
      </c>
      <c r="T753" s="825">
        <f t="shared" si="651"/>
        <v>0</v>
      </c>
      <c r="U753" s="825">
        <f t="shared" si="651"/>
        <v>0</v>
      </c>
      <c r="V753" s="825">
        <f t="shared" si="651"/>
        <v>0</v>
      </c>
      <c r="W753" s="825">
        <f t="shared" si="651"/>
        <v>0</v>
      </c>
      <c r="X753" s="825">
        <f t="shared" si="651"/>
        <v>0</v>
      </c>
      <c r="Y753" s="825">
        <f t="shared" si="651"/>
        <v>0</v>
      </c>
      <c r="Z753" s="825">
        <f t="shared" si="651"/>
        <v>0</v>
      </c>
      <c r="AA753" s="825">
        <f t="shared" si="651"/>
        <v>0</v>
      </c>
      <c r="AB753" s="825">
        <f t="shared" si="651"/>
        <v>0</v>
      </c>
      <c r="AC753" s="825">
        <f t="shared" si="651"/>
        <v>0</v>
      </c>
      <c r="AD753" s="825">
        <f t="shared" si="651"/>
        <v>0</v>
      </c>
      <c r="AE753" s="825">
        <f t="shared" si="651"/>
        <v>0</v>
      </c>
      <c r="AF753" s="825">
        <f t="shared" si="651"/>
        <v>0</v>
      </c>
      <c r="AG753" s="825">
        <f t="shared" si="651"/>
        <v>0</v>
      </c>
      <c r="AH753" s="825">
        <f t="shared" si="651"/>
        <v>0</v>
      </c>
      <c r="AI753" s="825">
        <f t="shared" si="651"/>
        <v>0</v>
      </c>
      <c r="AJ753" s="825">
        <f t="shared" si="651"/>
        <v>0</v>
      </c>
      <c r="AK753" s="825">
        <f t="shared" si="651"/>
        <v>0</v>
      </c>
      <c r="AL753" s="825">
        <f t="shared" si="651"/>
        <v>0</v>
      </c>
      <c r="AM753" s="825">
        <f t="shared" si="651"/>
        <v>0</v>
      </c>
      <c r="AN753" s="825">
        <f t="shared" si="651"/>
        <v>0</v>
      </c>
      <c r="AO753" s="825">
        <f t="shared" si="651"/>
        <v>0</v>
      </c>
      <c r="AP753" s="825">
        <f t="shared" si="651"/>
        <v>0</v>
      </c>
      <c r="AQ753" s="825">
        <f t="shared" si="651"/>
        <v>0</v>
      </c>
      <c r="AR753" s="825">
        <f t="shared" si="651"/>
        <v>0</v>
      </c>
      <c r="AS753" s="825">
        <f t="shared" si="651"/>
        <v>0</v>
      </c>
    </row>
    <row r="754" spans="1:45" ht="15" customHeight="1" x14ac:dyDescent="0.3">
      <c r="A754" s="822"/>
      <c r="B754" s="823"/>
      <c r="C754" s="824"/>
      <c r="D754" s="462"/>
      <c r="E754" s="826"/>
      <c r="F754" s="826"/>
      <c r="G754" s="826"/>
      <c r="H754" s="826"/>
      <c r="I754" s="826"/>
      <c r="J754" s="826"/>
      <c r="K754" s="826"/>
      <c r="L754" s="826"/>
      <c r="M754" s="826"/>
      <c r="N754" s="826"/>
      <c r="O754" s="826"/>
      <c r="P754" s="826"/>
      <c r="Q754" s="826"/>
      <c r="R754" s="826"/>
      <c r="S754" s="826"/>
      <c r="T754" s="826"/>
      <c r="U754" s="826"/>
      <c r="V754" s="826"/>
      <c r="W754" s="826"/>
      <c r="X754" s="826"/>
      <c r="Y754" s="826"/>
      <c r="Z754" s="826"/>
      <c r="AA754" s="826"/>
      <c r="AB754" s="826"/>
      <c r="AC754" s="826"/>
      <c r="AD754" s="826"/>
      <c r="AE754" s="826"/>
      <c r="AF754" s="826"/>
      <c r="AG754" s="826"/>
      <c r="AH754" s="826"/>
      <c r="AI754" s="826"/>
      <c r="AJ754" s="826"/>
      <c r="AK754" s="826"/>
      <c r="AL754" s="826"/>
      <c r="AM754" s="826"/>
      <c r="AN754" s="826"/>
      <c r="AO754" s="826"/>
      <c r="AP754" s="826"/>
      <c r="AQ754" s="826"/>
      <c r="AR754" s="826"/>
      <c r="AS754" s="826"/>
    </row>
    <row r="755" spans="1:45" ht="15" customHeight="1" x14ac:dyDescent="0.3">
      <c r="A755" s="822"/>
      <c r="B755" s="823"/>
      <c r="C755" s="824"/>
      <c r="D755" s="462"/>
      <c r="E755" s="826"/>
      <c r="F755" s="826"/>
      <c r="G755" s="826"/>
      <c r="H755" s="826"/>
      <c r="I755" s="826"/>
      <c r="J755" s="826"/>
      <c r="K755" s="826"/>
      <c r="L755" s="826"/>
      <c r="M755" s="826"/>
      <c r="N755" s="826"/>
      <c r="O755" s="826"/>
      <c r="P755" s="826"/>
      <c r="Q755" s="826"/>
      <c r="R755" s="826"/>
      <c r="S755" s="826"/>
      <c r="T755" s="826"/>
      <c r="U755" s="826"/>
      <c r="V755" s="826"/>
      <c r="W755" s="826"/>
      <c r="X755" s="826"/>
      <c r="Y755" s="826"/>
      <c r="Z755" s="826"/>
      <c r="AA755" s="826"/>
      <c r="AB755" s="826"/>
      <c r="AC755" s="826"/>
      <c r="AD755" s="826"/>
      <c r="AE755" s="826"/>
      <c r="AF755" s="826"/>
      <c r="AG755" s="826"/>
      <c r="AH755" s="826"/>
      <c r="AI755" s="826"/>
      <c r="AJ755" s="826"/>
      <c r="AK755" s="826"/>
      <c r="AL755" s="826"/>
      <c r="AM755" s="826"/>
      <c r="AN755" s="826"/>
      <c r="AO755" s="826"/>
      <c r="AP755" s="826"/>
      <c r="AQ755" s="826"/>
      <c r="AR755" s="826"/>
      <c r="AS755" s="826"/>
    </row>
    <row r="756" spans="1:45" ht="15" customHeight="1" collapsed="1" x14ac:dyDescent="0.3">
      <c r="A756" s="15" t="s">
        <v>293</v>
      </c>
      <c r="B756" s="119"/>
      <c r="C756" s="120"/>
      <c r="D756" s="121"/>
      <c r="E756" s="119"/>
      <c r="F756" s="119"/>
      <c r="G756" s="119"/>
      <c r="H756" s="119"/>
      <c r="I756" s="119"/>
      <c r="J756" s="16"/>
      <c r="K756" s="16"/>
      <c r="L756" s="16"/>
      <c r="M756" s="16"/>
      <c r="N756" s="16"/>
      <c r="O756" s="16"/>
      <c r="P756" s="16"/>
      <c r="Q756" s="16"/>
      <c r="R756" s="16"/>
      <c r="S756" s="16"/>
      <c r="T756" s="16"/>
      <c r="U756" s="16"/>
      <c r="V756" s="16"/>
      <c r="W756" s="16"/>
      <c r="X756" s="16"/>
      <c r="Y756" s="16"/>
      <c r="Z756" s="16"/>
      <c r="AA756" s="16"/>
      <c r="AB756" s="16"/>
      <c r="AC756" s="16"/>
      <c r="AD756" s="16"/>
      <c r="AE756" s="16"/>
      <c r="AF756" s="16"/>
      <c r="AG756" s="16"/>
      <c r="AH756" s="16"/>
      <c r="AI756" s="16"/>
      <c r="AJ756" s="16"/>
      <c r="AK756" s="16"/>
      <c r="AL756" s="16"/>
      <c r="AM756" s="16"/>
      <c r="AN756" s="16"/>
      <c r="AO756" s="16"/>
      <c r="AP756" s="16"/>
      <c r="AQ756" s="16"/>
      <c r="AR756" s="16"/>
      <c r="AS756" s="16"/>
    </row>
    <row r="757" spans="1:45" ht="15" customHeight="1" x14ac:dyDescent="0.3">
      <c r="I757" s="116"/>
      <c r="AL757" s="42"/>
      <c r="AM757" s="42"/>
      <c r="AN757" s="42"/>
      <c r="AO757" s="42"/>
      <c r="AP757" s="42"/>
      <c r="AQ757" s="42"/>
      <c r="AR757" s="42"/>
      <c r="AS757" s="42"/>
    </row>
    <row r="758" spans="1:45" ht="15" customHeight="1" x14ac:dyDescent="0.3">
      <c r="B758" s="112" t="s">
        <v>588</v>
      </c>
      <c r="I758" s="116"/>
      <c r="AL758" s="42"/>
      <c r="AM758" s="42"/>
      <c r="AN758" s="42"/>
      <c r="AO758" s="42"/>
      <c r="AP758" s="42"/>
      <c r="AQ758" s="42"/>
      <c r="AR758" s="42"/>
      <c r="AS758" s="42"/>
    </row>
    <row r="759" spans="1:45" ht="15" customHeight="1" x14ac:dyDescent="0.3">
      <c r="I759" s="116"/>
      <c r="AL759" s="42"/>
      <c r="AM759" s="42"/>
      <c r="AN759" s="42"/>
      <c r="AO759" s="42"/>
      <c r="AP759" s="42"/>
      <c r="AQ759" s="42"/>
      <c r="AR759" s="42"/>
      <c r="AS759" s="42"/>
    </row>
    <row r="760" spans="1:45" ht="15" customHeight="1" x14ac:dyDescent="0.3">
      <c r="C760" s="113" t="s">
        <v>347</v>
      </c>
      <c r="I760" s="116"/>
      <c r="AL760" s="42"/>
      <c r="AM760" s="42"/>
      <c r="AN760" s="42"/>
      <c r="AO760" s="42"/>
      <c r="AP760" s="42"/>
      <c r="AQ760" s="42"/>
      <c r="AR760" s="42"/>
      <c r="AS760" s="42"/>
    </row>
    <row r="761" spans="1:45" ht="15" customHeight="1" x14ac:dyDescent="0.3">
      <c r="E761" s="322" t="str">
        <f xml:space="preserve"> E$908</f>
        <v>Interest charge</v>
      </c>
      <c r="F761" s="322">
        <f xml:space="preserve"> F$908</f>
        <v>0</v>
      </c>
      <c r="G761" s="322" t="str">
        <f xml:space="preserve"> G$908</f>
        <v>$ mn</v>
      </c>
      <c r="H761" s="322">
        <f xml:space="preserve"> H$908</f>
        <v>0</v>
      </c>
      <c r="I761" s="322">
        <f xml:space="preserve"> I$908</f>
        <v>39.111939999999997</v>
      </c>
      <c r="J761" s="322"/>
      <c r="K761" s="322">
        <f t="shared" ref="K761:AS761" si="652" xml:space="preserve"> K$908</f>
        <v>0</v>
      </c>
      <c r="L761" s="322">
        <f t="shared" si="652"/>
        <v>0</v>
      </c>
      <c r="M761" s="322">
        <f t="shared" si="652"/>
        <v>0</v>
      </c>
      <c r="N761" s="322">
        <f t="shared" si="652"/>
        <v>0</v>
      </c>
      <c r="O761" s="322">
        <f t="shared" si="652"/>
        <v>0</v>
      </c>
      <c r="P761" s="322">
        <f t="shared" si="652"/>
        <v>0</v>
      </c>
      <c r="Q761" s="322">
        <f t="shared" si="652"/>
        <v>0</v>
      </c>
      <c r="R761" s="322">
        <f t="shared" si="652"/>
        <v>0</v>
      </c>
      <c r="S761" s="322">
        <f t="shared" si="652"/>
        <v>0</v>
      </c>
      <c r="T761" s="322">
        <f t="shared" si="652"/>
        <v>0</v>
      </c>
      <c r="U761" s="322">
        <f t="shared" si="652"/>
        <v>0</v>
      </c>
      <c r="V761" s="322">
        <f t="shared" si="652"/>
        <v>0</v>
      </c>
      <c r="W761" s="322">
        <f t="shared" si="652"/>
        <v>0</v>
      </c>
      <c r="X761" s="322">
        <f t="shared" si="652"/>
        <v>8.7219999999999995</v>
      </c>
      <c r="Y761" s="322">
        <f t="shared" si="652"/>
        <v>12.85872</v>
      </c>
      <c r="Z761" s="322">
        <f t="shared" si="652"/>
        <v>9.1207200000000004</v>
      </c>
      <c r="AA761" s="322">
        <f t="shared" si="652"/>
        <v>2.8035000000000001</v>
      </c>
      <c r="AB761" s="322">
        <f t="shared" si="652"/>
        <v>2.2427999999999999</v>
      </c>
      <c r="AC761" s="322">
        <f t="shared" si="652"/>
        <v>1.6820999999999999</v>
      </c>
      <c r="AD761" s="322">
        <f t="shared" si="652"/>
        <v>1.1214</v>
      </c>
      <c r="AE761" s="322">
        <f t="shared" si="652"/>
        <v>0.56069999999999998</v>
      </c>
      <c r="AF761" s="322">
        <f t="shared" si="652"/>
        <v>0</v>
      </c>
      <c r="AG761" s="322">
        <f t="shared" si="652"/>
        <v>0</v>
      </c>
      <c r="AH761" s="322">
        <f t="shared" si="652"/>
        <v>0</v>
      </c>
      <c r="AI761" s="322">
        <f t="shared" si="652"/>
        <v>0</v>
      </c>
      <c r="AJ761" s="322">
        <f t="shared" si="652"/>
        <v>0</v>
      </c>
      <c r="AK761" s="322">
        <f t="shared" si="652"/>
        <v>0</v>
      </c>
      <c r="AL761" s="322">
        <f t="shared" si="652"/>
        <v>0</v>
      </c>
      <c r="AM761" s="322">
        <f t="shared" si="652"/>
        <v>0</v>
      </c>
      <c r="AN761" s="322">
        <f t="shared" si="652"/>
        <v>0</v>
      </c>
      <c r="AO761" s="322">
        <f t="shared" si="652"/>
        <v>0</v>
      </c>
      <c r="AP761" s="322">
        <f t="shared" si="652"/>
        <v>0</v>
      </c>
      <c r="AQ761" s="322">
        <f t="shared" si="652"/>
        <v>0</v>
      </c>
      <c r="AR761" s="322">
        <f t="shared" si="652"/>
        <v>0</v>
      </c>
      <c r="AS761" s="322">
        <f t="shared" si="652"/>
        <v>0</v>
      </c>
    </row>
    <row r="762" spans="1:45" ht="15" customHeight="1" x14ac:dyDescent="0.3">
      <c r="E762" s="61" t="str">
        <f xml:space="preserve"> Inputs_Con!E$82</f>
        <v>Interest deductible for CIT</v>
      </c>
      <c r="F762" s="95">
        <f xml:space="preserve"> Inputs_Con!F$82</f>
        <v>1</v>
      </c>
      <c r="G762" s="61" t="str">
        <f xml:space="preserve"> Inputs_Con!G$82</f>
        <v>%</v>
      </c>
      <c r="I762" s="116"/>
      <c r="AL762" s="42"/>
      <c r="AM762" s="42"/>
      <c r="AN762" s="42"/>
      <c r="AO762" s="42"/>
      <c r="AP762" s="42"/>
      <c r="AQ762" s="42"/>
      <c r="AR762" s="42"/>
      <c r="AS762" s="42"/>
    </row>
    <row r="763" spans="1:45" ht="15" customHeight="1" x14ac:dyDescent="0.3">
      <c r="A763" s="620"/>
      <c r="B763" s="440"/>
      <c r="C763" s="621"/>
      <c r="D763" s="622"/>
      <c r="E763" s="440" t="str">
        <f xml:space="preserve"> E762</f>
        <v>Interest deductible for CIT</v>
      </c>
      <c r="F763" s="440"/>
      <c r="G763" s="440" t="str">
        <f xml:space="preserve"> G761</f>
        <v>$ mn</v>
      </c>
      <c r="H763" s="440"/>
      <c r="I763" s="440">
        <f>SUM(K763:AS763)</f>
        <v>39.111939999999997</v>
      </c>
      <c r="J763" s="439"/>
      <c r="K763" s="438">
        <f t="shared" ref="K763:M763" si="653" xml:space="preserve"> K761 * $F762</f>
        <v>0</v>
      </c>
      <c r="L763" s="438">
        <f t="shared" si="653"/>
        <v>0</v>
      </c>
      <c r="M763" s="438">
        <f t="shared" si="653"/>
        <v>0</v>
      </c>
      <c r="N763" s="438">
        <f xml:space="preserve"> N761 * $F762</f>
        <v>0</v>
      </c>
      <c r="O763" s="438">
        <f t="shared" ref="O763:AS763" si="654" xml:space="preserve"> O761 * $F762</f>
        <v>0</v>
      </c>
      <c r="P763" s="438">
        <f t="shared" si="654"/>
        <v>0</v>
      </c>
      <c r="Q763" s="438">
        <f t="shared" si="654"/>
        <v>0</v>
      </c>
      <c r="R763" s="438">
        <f t="shared" si="654"/>
        <v>0</v>
      </c>
      <c r="S763" s="438">
        <f t="shared" si="654"/>
        <v>0</v>
      </c>
      <c r="T763" s="438">
        <f t="shared" si="654"/>
        <v>0</v>
      </c>
      <c r="U763" s="438">
        <f t="shared" si="654"/>
        <v>0</v>
      </c>
      <c r="V763" s="438">
        <f t="shared" si="654"/>
        <v>0</v>
      </c>
      <c r="W763" s="438">
        <f t="shared" si="654"/>
        <v>0</v>
      </c>
      <c r="X763" s="438">
        <f t="shared" si="654"/>
        <v>8.7219999999999995</v>
      </c>
      <c r="Y763" s="438">
        <f t="shared" si="654"/>
        <v>12.85872</v>
      </c>
      <c r="Z763" s="438">
        <f t="shared" si="654"/>
        <v>9.1207200000000004</v>
      </c>
      <c r="AA763" s="438">
        <f t="shared" si="654"/>
        <v>2.8035000000000001</v>
      </c>
      <c r="AB763" s="438">
        <f t="shared" si="654"/>
        <v>2.2427999999999999</v>
      </c>
      <c r="AC763" s="438">
        <f t="shared" si="654"/>
        <v>1.6820999999999999</v>
      </c>
      <c r="AD763" s="438">
        <f t="shared" si="654"/>
        <v>1.1214</v>
      </c>
      <c r="AE763" s="438">
        <f t="shared" si="654"/>
        <v>0.56069999999999998</v>
      </c>
      <c r="AF763" s="438">
        <f t="shared" si="654"/>
        <v>0</v>
      </c>
      <c r="AG763" s="438">
        <f t="shared" si="654"/>
        <v>0</v>
      </c>
      <c r="AH763" s="438">
        <f t="shared" si="654"/>
        <v>0</v>
      </c>
      <c r="AI763" s="438">
        <f t="shared" si="654"/>
        <v>0</v>
      </c>
      <c r="AJ763" s="438">
        <f t="shared" si="654"/>
        <v>0</v>
      </c>
      <c r="AK763" s="438">
        <f t="shared" si="654"/>
        <v>0</v>
      </c>
      <c r="AL763" s="438">
        <f t="shared" si="654"/>
        <v>0</v>
      </c>
      <c r="AM763" s="438">
        <f t="shared" si="654"/>
        <v>0</v>
      </c>
      <c r="AN763" s="438">
        <f t="shared" si="654"/>
        <v>0</v>
      </c>
      <c r="AO763" s="438">
        <f t="shared" si="654"/>
        <v>0</v>
      </c>
      <c r="AP763" s="438">
        <f t="shared" si="654"/>
        <v>0</v>
      </c>
      <c r="AQ763" s="438">
        <f t="shared" si="654"/>
        <v>0</v>
      </c>
      <c r="AR763" s="438">
        <f t="shared" si="654"/>
        <v>0</v>
      </c>
      <c r="AS763" s="438">
        <f t="shared" si="654"/>
        <v>0</v>
      </c>
    </row>
    <row r="764" spans="1:45" ht="15" customHeight="1" x14ac:dyDescent="0.3">
      <c r="I764" s="116"/>
      <c r="AL764" s="42"/>
      <c r="AM764" s="42"/>
      <c r="AN764" s="42"/>
      <c r="AO764" s="42"/>
      <c r="AP764" s="42"/>
      <c r="AQ764" s="42"/>
      <c r="AR764" s="42"/>
      <c r="AS764" s="42"/>
    </row>
    <row r="765" spans="1:45" ht="15" customHeight="1" x14ac:dyDescent="0.3">
      <c r="B765" s="112" t="s">
        <v>587</v>
      </c>
      <c r="I765" s="116"/>
      <c r="AL765" s="42"/>
      <c r="AM765" s="42"/>
      <c r="AN765" s="42"/>
      <c r="AO765" s="42"/>
      <c r="AP765" s="42"/>
      <c r="AQ765" s="42"/>
      <c r="AR765" s="42"/>
      <c r="AS765" s="42"/>
    </row>
    <row r="766" spans="1:45" ht="15" customHeight="1" x14ac:dyDescent="0.3">
      <c r="E766" s="538" t="str">
        <f xml:space="preserve"> E$385</f>
        <v>Total gross revenue</v>
      </c>
      <c r="F766" s="538">
        <f t="shared" ref="F766:I766" si="655" xml:space="preserve"> F$385</f>
        <v>0</v>
      </c>
      <c r="G766" s="538" t="str">
        <f t="shared" si="655"/>
        <v>$ mn</v>
      </c>
      <c r="H766" s="538">
        <f t="shared" si="655"/>
        <v>0</v>
      </c>
      <c r="I766" s="538">
        <f t="shared" si="655"/>
        <v>12057.227358098444</v>
      </c>
      <c r="J766" s="538"/>
      <c r="K766" s="538">
        <f t="shared" ref="K766:O766" si="656" xml:space="preserve"> K$385</f>
        <v>0</v>
      </c>
      <c r="L766" s="538">
        <f t="shared" si="656"/>
        <v>0</v>
      </c>
      <c r="M766" s="538">
        <f t="shared" si="656"/>
        <v>0</v>
      </c>
      <c r="N766" s="538">
        <f t="shared" si="656"/>
        <v>0</v>
      </c>
      <c r="O766" s="538">
        <f t="shared" si="656"/>
        <v>0</v>
      </c>
      <c r="P766" s="538">
        <f t="shared" ref="P766:AS766" si="657" xml:space="preserve"> P$385</f>
        <v>0</v>
      </c>
      <c r="Q766" s="538">
        <f t="shared" si="657"/>
        <v>0</v>
      </c>
      <c r="R766" s="538">
        <f t="shared" si="657"/>
        <v>0</v>
      </c>
      <c r="S766" s="538">
        <f t="shared" si="657"/>
        <v>0</v>
      </c>
      <c r="T766" s="538">
        <f t="shared" si="657"/>
        <v>0</v>
      </c>
      <c r="U766" s="538">
        <f t="shared" si="657"/>
        <v>0</v>
      </c>
      <c r="V766" s="538">
        <f t="shared" si="657"/>
        <v>104.68060500000001</v>
      </c>
      <c r="W766" s="538">
        <f t="shared" si="657"/>
        <v>275.12210799999997</v>
      </c>
      <c r="X766" s="538">
        <f t="shared" si="657"/>
        <v>434.33181950432004</v>
      </c>
      <c r="Y766" s="538">
        <f t="shared" si="657"/>
        <v>668.71459861080007</v>
      </c>
      <c r="Z766" s="538">
        <f t="shared" si="657"/>
        <v>1118.6990542788801</v>
      </c>
      <c r="AA766" s="538">
        <f t="shared" si="657"/>
        <v>1042.87854002524</v>
      </c>
      <c r="AB766" s="538">
        <f t="shared" si="657"/>
        <v>1023.5483763295063</v>
      </c>
      <c r="AC766" s="538">
        <f t="shared" si="657"/>
        <v>653.80972292592492</v>
      </c>
      <c r="AD766" s="538">
        <f t="shared" si="657"/>
        <v>950.03036632116414</v>
      </c>
      <c r="AE766" s="538">
        <f t="shared" si="657"/>
        <v>951.6644311595096</v>
      </c>
      <c r="AF766" s="538">
        <f t="shared" si="657"/>
        <v>950.73777764764964</v>
      </c>
      <c r="AG766" s="538">
        <f t="shared" si="657"/>
        <v>949.42243301743406</v>
      </c>
      <c r="AH766" s="538">
        <f t="shared" si="657"/>
        <v>950.81913917116799</v>
      </c>
      <c r="AI766" s="538">
        <f t="shared" si="657"/>
        <v>812.68254925258475</v>
      </c>
      <c r="AJ766" s="538">
        <f t="shared" si="657"/>
        <v>822.69220700892402</v>
      </c>
      <c r="AK766" s="538">
        <f t="shared" si="657"/>
        <v>347.39362984533904</v>
      </c>
      <c r="AL766" s="538">
        <f t="shared" si="657"/>
        <v>0</v>
      </c>
      <c r="AM766" s="538">
        <f t="shared" si="657"/>
        <v>0</v>
      </c>
      <c r="AN766" s="538">
        <f t="shared" si="657"/>
        <v>0</v>
      </c>
      <c r="AO766" s="538">
        <f t="shared" si="657"/>
        <v>0</v>
      </c>
      <c r="AP766" s="538">
        <f t="shared" si="657"/>
        <v>0</v>
      </c>
      <c r="AQ766" s="538">
        <f t="shared" si="657"/>
        <v>0</v>
      </c>
      <c r="AR766" s="538">
        <f t="shared" si="657"/>
        <v>0</v>
      </c>
      <c r="AS766" s="538">
        <f t="shared" si="657"/>
        <v>0</v>
      </c>
    </row>
    <row r="767" spans="1:45" ht="15" customHeight="1" x14ac:dyDescent="0.3">
      <c r="A767" s="170"/>
      <c r="B767" s="170"/>
      <c r="C767" s="171"/>
      <c r="D767" s="172"/>
      <c r="E767" s="300" t="str">
        <f xml:space="preserve"> E$394</f>
        <v>Selling costs</v>
      </c>
      <c r="F767" s="300">
        <f t="shared" ref="F767:AS767" si="658" xml:space="preserve"> F$394</f>
        <v>0</v>
      </c>
      <c r="G767" s="300" t="str">
        <f t="shared" si="658"/>
        <v>$ mn</v>
      </c>
      <c r="H767" s="300">
        <f t="shared" si="658"/>
        <v>0</v>
      </c>
      <c r="I767" s="300">
        <f t="shared" si="658"/>
        <v>0</v>
      </c>
      <c r="J767" s="300">
        <f t="shared" si="658"/>
        <v>0</v>
      </c>
      <c r="K767" s="300">
        <f t="shared" si="658"/>
        <v>0</v>
      </c>
      <c r="L767" s="300">
        <f t="shared" si="658"/>
        <v>0</v>
      </c>
      <c r="M767" s="300">
        <f t="shared" si="658"/>
        <v>0</v>
      </c>
      <c r="N767" s="300">
        <f t="shared" si="658"/>
        <v>0</v>
      </c>
      <c r="O767" s="300">
        <f t="shared" si="658"/>
        <v>0</v>
      </c>
      <c r="P767" s="300">
        <f t="shared" si="658"/>
        <v>0</v>
      </c>
      <c r="Q767" s="300">
        <f t="shared" si="658"/>
        <v>0</v>
      </c>
      <c r="R767" s="300">
        <f t="shared" si="658"/>
        <v>0</v>
      </c>
      <c r="S767" s="300">
        <f t="shared" si="658"/>
        <v>0</v>
      </c>
      <c r="T767" s="300">
        <f t="shared" si="658"/>
        <v>0</v>
      </c>
      <c r="U767" s="300">
        <f t="shared" si="658"/>
        <v>0</v>
      </c>
      <c r="V767" s="300">
        <f t="shared" si="658"/>
        <v>0</v>
      </c>
      <c r="W767" s="300">
        <f t="shared" si="658"/>
        <v>0</v>
      </c>
      <c r="X767" s="300">
        <f t="shared" si="658"/>
        <v>0</v>
      </c>
      <c r="Y767" s="300">
        <f t="shared" si="658"/>
        <v>0</v>
      </c>
      <c r="Z767" s="300">
        <f t="shared" si="658"/>
        <v>0</v>
      </c>
      <c r="AA767" s="300">
        <f t="shared" si="658"/>
        <v>0</v>
      </c>
      <c r="AB767" s="300">
        <f t="shared" si="658"/>
        <v>0</v>
      </c>
      <c r="AC767" s="300">
        <f t="shared" si="658"/>
        <v>0</v>
      </c>
      <c r="AD767" s="300">
        <f t="shared" si="658"/>
        <v>0</v>
      </c>
      <c r="AE767" s="300">
        <f t="shared" si="658"/>
        <v>0</v>
      </c>
      <c r="AF767" s="300">
        <f t="shared" si="658"/>
        <v>0</v>
      </c>
      <c r="AG767" s="300">
        <f t="shared" si="658"/>
        <v>0</v>
      </c>
      <c r="AH767" s="300">
        <f t="shared" si="658"/>
        <v>0</v>
      </c>
      <c r="AI767" s="300">
        <f t="shared" si="658"/>
        <v>0</v>
      </c>
      <c r="AJ767" s="300">
        <f t="shared" si="658"/>
        <v>0</v>
      </c>
      <c r="AK767" s="300">
        <f t="shared" si="658"/>
        <v>0</v>
      </c>
      <c r="AL767" s="300">
        <f t="shared" si="658"/>
        <v>0</v>
      </c>
      <c r="AM767" s="300">
        <f t="shared" si="658"/>
        <v>0</v>
      </c>
      <c r="AN767" s="300">
        <f t="shared" si="658"/>
        <v>0</v>
      </c>
      <c r="AO767" s="300">
        <f t="shared" si="658"/>
        <v>0</v>
      </c>
      <c r="AP767" s="300">
        <f t="shared" si="658"/>
        <v>0</v>
      </c>
      <c r="AQ767" s="300">
        <f t="shared" si="658"/>
        <v>0</v>
      </c>
      <c r="AR767" s="300">
        <f t="shared" si="658"/>
        <v>0</v>
      </c>
      <c r="AS767" s="300">
        <f t="shared" si="658"/>
        <v>0</v>
      </c>
    </row>
    <row r="768" spans="1:45" ht="15" customHeight="1" x14ac:dyDescent="0.3">
      <c r="A768" s="123"/>
      <c r="B768" s="123"/>
      <c r="C768" s="124"/>
      <c r="D768" s="109"/>
      <c r="E768" s="829" t="str">
        <f xml:space="preserve"> E$409</f>
        <v>Total net revenue</v>
      </c>
      <c r="F768" s="829">
        <f t="shared" ref="F768:O768" si="659" xml:space="preserve"> F$409</f>
        <v>0</v>
      </c>
      <c r="G768" s="829" t="str">
        <f t="shared" si="659"/>
        <v>$ mn</v>
      </c>
      <c r="H768" s="829">
        <f t="shared" si="659"/>
        <v>0</v>
      </c>
      <c r="I768" s="829">
        <f t="shared" si="659"/>
        <v>12057.227358098444</v>
      </c>
      <c r="J768" s="829">
        <f t="shared" si="659"/>
        <v>0</v>
      </c>
      <c r="K768" s="829">
        <f t="shared" si="659"/>
        <v>0</v>
      </c>
      <c r="L768" s="829">
        <f t="shared" si="659"/>
        <v>0</v>
      </c>
      <c r="M768" s="829">
        <f t="shared" si="659"/>
        <v>0</v>
      </c>
      <c r="N768" s="829">
        <f t="shared" si="659"/>
        <v>0</v>
      </c>
      <c r="O768" s="829">
        <f t="shared" si="659"/>
        <v>0</v>
      </c>
      <c r="P768" s="829">
        <f t="shared" ref="P768:AS768" si="660" xml:space="preserve"> P$409</f>
        <v>0</v>
      </c>
      <c r="Q768" s="829">
        <f t="shared" si="660"/>
        <v>0</v>
      </c>
      <c r="R768" s="829">
        <f t="shared" si="660"/>
        <v>0</v>
      </c>
      <c r="S768" s="829">
        <f t="shared" si="660"/>
        <v>0</v>
      </c>
      <c r="T768" s="829">
        <f t="shared" si="660"/>
        <v>0</v>
      </c>
      <c r="U768" s="829">
        <f t="shared" si="660"/>
        <v>0</v>
      </c>
      <c r="V768" s="829">
        <f t="shared" si="660"/>
        <v>104.68060500000001</v>
      </c>
      <c r="W768" s="829">
        <f t="shared" si="660"/>
        <v>275.12210799999997</v>
      </c>
      <c r="X768" s="829">
        <f t="shared" si="660"/>
        <v>434.33181950432004</v>
      </c>
      <c r="Y768" s="829">
        <f t="shared" si="660"/>
        <v>668.71459861080007</v>
      </c>
      <c r="Z768" s="829">
        <f t="shared" si="660"/>
        <v>1118.6990542788801</v>
      </c>
      <c r="AA768" s="829">
        <f t="shared" si="660"/>
        <v>1042.87854002524</v>
      </c>
      <c r="AB768" s="829">
        <f t="shared" si="660"/>
        <v>1023.5483763295063</v>
      </c>
      <c r="AC768" s="829">
        <f t="shared" si="660"/>
        <v>653.80972292592492</v>
      </c>
      <c r="AD768" s="829">
        <f t="shared" si="660"/>
        <v>950.03036632116414</v>
      </c>
      <c r="AE768" s="829">
        <f t="shared" si="660"/>
        <v>951.6644311595096</v>
      </c>
      <c r="AF768" s="829">
        <f t="shared" si="660"/>
        <v>950.73777764764964</v>
      </c>
      <c r="AG768" s="829">
        <f t="shared" si="660"/>
        <v>949.42243301743406</v>
      </c>
      <c r="AH768" s="829">
        <f t="shared" si="660"/>
        <v>950.81913917116799</v>
      </c>
      <c r="AI768" s="829">
        <f t="shared" si="660"/>
        <v>812.68254925258475</v>
      </c>
      <c r="AJ768" s="829">
        <f t="shared" si="660"/>
        <v>822.69220700892402</v>
      </c>
      <c r="AK768" s="829">
        <f t="shared" si="660"/>
        <v>347.39362984533904</v>
      </c>
      <c r="AL768" s="829">
        <f t="shared" si="660"/>
        <v>0</v>
      </c>
      <c r="AM768" s="829">
        <f t="shared" si="660"/>
        <v>0</v>
      </c>
      <c r="AN768" s="829">
        <f t="shared" si="660"/>
        <v>0</v>
      </c>
      <c r="AO768" s="829">
        <f t="shared" si="660"/>
        <v>0</v>
      </c>
      <c r="AP768" s="829">
        <f t="shared" si="660"/>
        <v>0</v>
      </c>
      <c r="AQ768" s="829">
        <f t="shared" si="660"/>
        <v>0</v>
      </c>
      <c r="AR768" s="829">
        <f t="shared" si="660"/>
        <v>0</v>
      </c>
      <c r="AS768" s="829">
        <f t="shared" si="660"/>
        <v>0</v>
      </c>
    </row>
    <row r="769" spans="1:45" ht="15" customHeight="1" x14ac:dyDescent="0.3">
      <c r="E769" s="42" t="s">
        <v>815</v>
      </c>
      <c r="I769" s="116"/>
      <c r="K769" s="42">
        <f t="shared" ref="K769:O769" si="661">K766 - K767 - K768</f>
        <v>0</v>
      </c>
      <c r="L769" s="42">
        <f t="shared" si="661"/>
        <v>0</v>
      </c>
      <c r="M769" s="42">
        <f t="shared" si="661"/>
        <v>0</v>
      </c>
      <c r="N769" s="42">
        <f t="shared" si="661"/>
        <v>0</v>
      </c>
      <c r="O769" s="42">
        <f t="shared" si="661"/>
        <v>0</v>
      </c>
      <c r="P769" s="42">
        <f>P766 - P767 - P768</f>
        <v>0</v>
      </c>
      <c r="Q769" s="42">
        <f t="shared" ref="Q769:AS769" si="662">Q766 - Q767 - Q768</f>
        <v>0</v>
      </c>
      <c r="R769" s="42">
        <f t="shared" si="662"/>
        <v>0</v>
      </c>
      <c r="S769" s="42">
        <f t="shared" si="662"/>
        <v>0</v>
      </c>
      <c r="T769" s="42">
        <f t="shared" si="662"/>
        <v>0</v>
      </c>
      <c r="U769" s="42">
        <f t="shared" si="662"/>
        <v>0</v>
      </c>
      <c r="V769" s="42">
        <f t="shared" si="662"/>
        <v>0</v>
      </c>
      <c r="W769" s="42">
        <f t="shared" si="662"/>
        <v>0</v>
      </c>
      <c r="X769" s="42">
        <f t="shared" si="662"/>
        <v>0</v>
      </c>
      <c r="Y769" s="42">
        <f t="shared" si="662"/>
        <v>0</v>
      </c>
      <c r="Z769" s="42">
        <f t="shared" si="662"/>
        <v>0</v>
      </c>
      <c r="AA769" s="42">
        <f t="shared" si="662"/>
        <v>0</v>
      </c>
      <c r="AB769" s="42">
        <f t="shared" si="662"/>
        <v>0</v>
      </c>
      <c r="AC769" s="42">
        <f t="shared" si="662"/>
        <v>0</v>
      </c>
      <c r="AD769" s="42">
        <f t="shared" si="662"/>
        <v>0</v>
      </c>
      <c r="AE769" s="42">
        <f>AE766 - AE767 - AE768</f>
        <v>0</v>
      </c>
      <c r="AF769" s="42">
        <f t="shared" si="662"/>
        <v>0</v>
      </c>
      <c r="AG769" s="42">
        <f t="shared" si="662"/>
        <v>0</v>
      </c>
      <c r="AH769" s="42">
        <f t="shared" si="662"/>
        <v>0</v>
      </c>
      <c r="AI769" s="42">
        <f t="shared" si="662"/>
        <v>0</v>
      </c>
      <c r="AJ769" s="42">
        <f t="shared" si="662"/>
        <v>0</v>
      </c>
      <c r="AK769" s="42">
        <f t="shared" si="662"/>
        <v>0</v>
      </c>
      <c r="AL769" s="42">
        <f t="shared" si="662"/>
        <v>0</v>
      </c>
      <c r="AM769" s="42">
        <f t="shared" si="662"/>
        <v>0</v>
      </c>
      <c r="AN769" s="42">
        <f t="shared" si="662"/>
        <v>0</v>
      </c>
      <c r="AO769" s="42">
        <f t="shared" si="662"/>
        <v>0</v>
      </c>
      <c r="AP769" s="42">
        <f t="shared" si="662"/>
        <v>0</v>
      </c>
      <c r="AQ769" s="42">
        <f t="shared" si="662"/>
        <v>0</v>
      </c>
      <c r="AR769" s="42">
        <f t="shared" si="662"/>
        <v>0</v>
      </c>
      <c r="AS769" s="42">
        <f t="shared" si="662"/>
        <v>0</v>
      </c>
    </row>
    <row r="770" spans="1:45" ht="15" customHeight="1" x14ac:dyDescent="0.3">
      <c r="A770" s="479"/>
      <c r="B770" s="480"/>
      <c r="C770" s="481"/>
      <c r="D770" s="482"/>
      <c r="E770" s="339" t="str">
        <f xml:space="preserve"> E769</f>
        <v>Check: net revenue</v>
      </c>
      <c r="F770" s="442">
        <f xml:space="preserve"> SUM(Q770:AV770)</f>
        <v>0</v>
      </c>
      <c r="G770" s="482" t="s">
        <v>509</v>
      </c>
      <c r="H770" s="482"/>
      <c r="I770" s="482"/>
      <c r="J770" s="482"/>
      <c r="K770" s="442">
        <f xml:space="preserve"> IF( ABS(K769) &gt; CHK_TOL, 1, 0)</f>
        <v>0</v>
      </c>
      <c r="L770" s="442">
        <f t="shared" ref="L770:P770" si="663" xml:space="preserve"> IF( ABS(L769) &gt; CHK_TOL, 1, 0)</f>
        <v>0</v>
      </c>
      <c r="M770" s="442">
        <f t="shared" si="663"/>
        <v>0</v>
      </c>
      <c r="N770" s="442">
        <f t="shared" si="663"/>
        <v>0</v>
      </c>
      <c r="O770" s="442">
        <f t="shared" si="663"/>
        <v>0</v>
      </c>
      <c r="P770" s="442">
        <f t="shared" si="663"/>
        <v>0</v>
      </c>
      <c r="Q770" s="442">
        <f t="shared" ref="Q770:AS770" si="664" xml:space="preserve"> IF( ABS(Q769) &gt; CHK_TOL, 1, 0)</f>
        <v>0</v>
      </c>
      <c r="R770" s="442">
        <f t="shared" si="664"/>
        <v>0</v>
      </c>
      <c r="S770" s="442">
        <f t="shared" si="664"/>
        <v>0</v>
      </c>
      <c r="T770" s="442">
        <f t="shared" si="664"/>
        <v>0</v>
      </c>
      <c r="U770" s="442">
        <f t="shared" si="664"/>
        <v>0</v>
      </c>
      <c r="V770" s="442">
        <f t="shared" si="664"/>
        <v>0</v>
      </c>
      <c r="W770" s="442">
        <f t="shared" si="664"/>
        <v>0</v>
      </c>
      <c r="X770" s="442">
        <f t="shared" si="664"/>
        <v>0</v>
      </c>
      <c r="Y770" s="442">
        <f t="shared" si="664"/>
        <v>0</v>
      </c>
      <c r="Z770" s="442">
        <f t="shared" si="664"/>
        <v>0</v>
      </c>
      <c r="AA770" s="442">
        <f t="shared" si="664"/>
        <v>0</v>
      </c>
      <c r="AB770" s="442">
        <f t="shared" si="664"/>
        <v>0</v>
      </c>
      <c r="AC770" s="442">
        <f t="shared" si="664"/>
        <v>0</v>
      </c>
      <c r="AD770" s="442">
        <f t="shared" si="664"/>
        <v>0</v>
      </c>
      <c r="AE770" s="442">
        <f t="shared" si="664"/>
        <v>0</v>
      </c>
      <c r="AF770" s="442">
        <f t="shared" si="664"/>
        <v>0</v>
      </c>
      <c r="AG770" s="442">
        <f t="shared" si="664"/>
        <v>0</v>
      </c>
      <c r="AH770" s="442">
        <f t="shared" si="664"/>
        <v>0</v>
      </c>
      <c r="AI770" s="442">
        <f t="shared" si="664"/>
        <v>0</v>
      </c>
      <c r="AJ770" s="442">
        <f t="shared" si="664"/>
        <v>0</v>
      </c>
      <c r="AK770" s="442">
        <f t="shared" si="664"/>
        <v>0</v>
      </c>
      <c r="AL770" s="442">
        <f t="shared" si="664"/>
        <v>0</v>
      </c>
      <c r="AM770" s="442">
        <f t="shared" si="664"/>
        <v>0</v>
      </c>
      <c r="AN770" s="442">
        <f t="shared" si="664"/>
        <v>0</v>
      </c>
      <c r="AO770" s="442">
        <f t="shared" si="664"/>
        <v>0</v>
      </c>
      <c r="AP770" s="442">
        <f t="shared" si="664"/>
        <v>0</v>
      </c>
      <c r="AQ770" s="442">
        <f t="shared" si="664"/>
        <v>0</v>
      </c>
      <c r="AR770" s="442">
        <f t="shared" si="664"/>
        <v>0</v>
      </c>
      <c r="AS770" s="442">
        <f t="shared" si="664"/>
        <v>0</v>
      </c>
    </row>
    <row r="771" spans="1:45" ht="15" customHeight="1" x14ac:dyDescent="0.3">
      <c r="I771" s="116"/>
      <c r="AL771" s="42"/>
      <c r="AM771" s="42"/>
      <c r="AN771" s="42"/>
      <c r="AO771" s="42"/>
      <c r="AP771" s="42"/>
      <c r="AQ771" s="42"/>
      <c r="AR771" s="42"/>
      <c r="AS771" s="42"/>
    </row>
    <row r="772" spans="1:45" ht="15" customHeight="1" x14ac:dyDescent="0.3">
      <c r="C772" s="113" t="s">
        <v>224</v>
      </c>
      <c r="E772" s="40"/>
      <c r="F772" s="40"/>
      <c r="G772" s="40"/>
      <c r="H772" s="40"/>
      <c r="I772" s="40"/>
      <c r="J772" s="40"/>
      <c r="K772" s="40"/>
      <c r="L772" s="40"/>
      <c r="M772" s="40"/>
      <c r="N772" s="40"/>
      <c r="O772" s="40"/>
      <c r="P772" s="40"/>
      <c r="Q772" s="40"/>
      <c r="R772" s="40"/>
      <c r="S772" s="40"/>
      <c r="T772" s="40"/>
      <c r="U772" s="40"/>
      <c r="V772" s="40"/>
      <c r="W772" s="40"/>
      <c r="X772" s="40"/>
      <c r="Y772" s="40"/>
      <c r="Z772" s="40"/>
      <c r="AA772" s="40"/>
      <c r="AB772" s="40"/>
      <c r="AC772" s="40"/>
      <c r="AD772" s="40"/>
      <c r="AE772" s="40"/>
      <c r="AF772" s="40"/>
      <c r="AG772" s="40"/>
      <c r="AH772" s="40"/>
      <c r="AI772" s="40"/>
      <c r="AJ772" s="40"/>
      <c r="AK772" s="40"/>
      <c r="AL772" s="40"/>
      <c r="AM772" s="40"/>
      <c r="AN772" s="40"/>
      <c r="AO772" s="40"/>
      <c r="AP772" s="40"/>
      <c r="AQ772" s="40"/>
      <c r="AR772" s="40"/>
      <c r="AS772" s="40"/>
    </row>
    <row r="773" spans="1:45" ht="15" customHeight="1" x14ac:dyDescent="0.3">
      <c r="A773" s="244"/>
      <c r="B773" s="244"/>
      <c r="C773" s="245"/>
      <c r="D773" s="246"/>
      <c r="E773" s="127" t="str">
        <f xml:space="preserve"> E$450</f>
        <v>Total royalty</v>
      </c>
      <c r="F773" s="127">
        <f t="shared" ref="F773:O773" si="665" xml:space="preserve"> F$450</f>
        <v>0</v>
      </c>
      <c r="G773" s="127" t="str">
        <f t="shared" si="665"/>
        <v>$ mn</v>
      </c>
      <c r="H773" s="127">
        <f t="shared" si="665"/>
        <v>0</v>
      </c>
      <c r="I773" s="127">
        <f t="shared" si="665"/>
        <v>457.74229303356492</v>
      </c>
      <c r="J773" s="127">
        <f t="shared" si="665"/>
        <v>0</v>
      </c>
      <c r="K773" s="127">
        <f t="shared" si="665"/>
        <v>0</v>
      </c>
      <c r="L773" s="127">
        <f t="shared" si="665"/>
        <v>0</v>
      </c>
      <c r="M773" s="127">
        <f t="shared" si="665"/>
        <v>0</v>
      </c>
      <c r="N773" s="127">
        <f t="shared" si="665"/>
        <v>0</v>
      </c>
      <c r="O773" s="127">
        <f t="shared" si="665"/>
        <v>0</v>
      </c>
      <c r="P773" s="127">
        <f t="shared" ref="P773:AS773" si="666" xml:space="preserve"> P$450</f>
        <v>0</v>
      </c>
      <c r="Q773" s="127">
        <f t="shared" si="666"/>
        <v>0</v>
      </c>
      <c r="R773" s="127">
        <f t="shared" si="666"/>
        <v>0</v>
      </c>
      <c r="S773" s="127">
        <f t="shared" si="666"/>
        <v>0</v>
      </c>
      <c r="T773" s="127">
        <f t="shared" si="666"/>
        <v>0</v>
      </c>
      <c r="U773" s="127">
        <f t="shared" si="666"/>
        <v>0</v>
      </c>
      <c r="V773" s="127">
        <f t="shared" si="666"/>
        <v>2.0936121000000005</v>
      </c>
      <c r="W773" s="127">
        <f t="shared" si="666"/>
        <v>7.5658579699999997</v>
      </c>
      <c r="X773" s="127">
        <f t="shared" si="666"/>
        <v>16.337975890432002</v>
      </c>
      <c r="Y773" s="127">
        <f t="shared" si="666"/>
        <v>25.546252756080001</v>
      </c>
      <c r="Z773" s="127">
        <f t="shared" si="666"/>
        <v>43.023062557888011</v>
      </c>
      <c r="AA773" s="127">
        <f t="shared" si="666"/>
        <v>43.288425837524002</v>
      </c>
      <c r="AB773" s="127">
        <f t="shared" si="666"/>
        <v>39.115809928424305</v>
      </c>
      <c r="AC773" s="127">
        <f t="shared" si="666"/>
        <v>23.714695633259289</v>
      </c>
      <c r="AD773" s="127">
        <f t="shared" si="666"/>
        <v>36.174084346767344</v>
      </c>
      <c r="AE773" s="127">
        <f t="shared" si="666"/>
        <v>36.23127661610944</v>
      </c>
      <c r="AF773" s="127">
        <f t="shared" si="666"/>
        <v>36.198843743194338</v>
      </c>
      <c r="AG773" s="127">
        <f t="shared" si="666"/>
        <v>36.152806681136795</v>
      </c>
      <c r="AH773" s="127">
        <f t="shared" si="666"/>
        <v>36.201691396517489</v>
      </c>
      <c r="AI773" s="127">
        <f t="shared" si="666"/>
        <v>31.43504126794684</v>
      </c>
      <c r="AJ773" s="127">
        <f t="shared" si="666"/>
        <v>31.402193175662639</v>
      </c>
      <c r="AK773" s="127">
        <f t="shared" si="666"/>
        <v>13.260663132622414</v>
      </c>
      <c r="AL773" s="127">
        <f t="shared" si="666"/>
        <v>0</v>
      </c>
      <c r="AM773" s="127">
        <f t="shared" si="666"/>
        <v>0</v>
      </c>
      <c r="AN773" s="127">
        <f t="shared" si="666"/>
        <v>0</v>
      </c>
      <c r="AO773" s="127">
        <f t="shared" si="666"/>
        <v>0</v>
      </c>
      <c r="AP773" s="127">
        <f t="shared" si="666"/>
        <v>0</v>
      </c>
      <c r="AQ773" s="127">
        <f t="shared" si="666"/>
        <v>0</v>
      </c>
      <c r="AR773" s="127">
        <f t="shared" si="666"/>
        <v>0</v>
      </c>
      <c r="AS773" s="127">
        <f t="shared" si="666"/>
        <v>0</v>
      </c>
    </row>
    <row r="774" spans="1:45" ht="15" customHeight="1" x14ac:dyDescent="0.3">
      <c r="E774" s="538" t="str">
        <f xml:space="preserve"> E$520</f>
        <v>Operating costs, including Sens.</v>
      </c>
      <c r="F774" s="538" t="str">
        <f t="shared" ref="F774:I774" si="667" xml:space="preserve"> F$520</f>
        <v>FS</v>
      </c>
      <c r="G774" s="538" t="str">
        <f t="shared" si="667"/>
        <v>$ mn</v>
      </c>
      <c r="H774" s="538">
        <f t="shared" si="667"/>
        <v>0</v>
      </c>
      <c r="I774" s="538">
        <f t="shared" si="667"/>
        <v>6417.4732060838423</v>
      </c>
      <c r="J774" s="538"/>
      <c r="K774" s="538">
        <f t="shared" ref="K774:O774" si="668" xml:space="preserve"> K$520</f>
        <v>0</v>
      </c>
      <c r="L774" s="538">
        <f t="shared" si="668"/>
        <v>0</v>
      </c>
      <c r="M774" s="538">
        <f t="shared" si="668"/>
        <v>0</v>
      </c>
      <c r="N774" s="538">
        <f t="shared" si="668"/>
        <v>0</v>
      </c>
      <c r="O774" s="538">
        <f t="shared" si="668"/>
        <v>0</v>
      </c>
      <c r="P774" s="538">
        <f t="shared" ref="P774:AS774" si="669" xml:space="preserve"> P$520</f>
        <v>0</v>
      </c>
      <c r="Q774" s="538">
        <f t="shared" si="669"/>
        <v>0</v>
      </c>
      <c r="R774" s="538">
        <f t="shared" si="669"/>
        <v>0</v>
      </c>
      <c r="S774" s="538">
        <f t="shared" si="669"/>
        <v>0</v>
      </c>
      <c r="T774" s="538">
        <f t="shared" si="669"/>
        <v>0</v>
      </c>
      <c r="U774" s="538">
        <f t="shared" si="669"/>
        <v>0</v>
      </c>
      <c r="V774" s="538">
        <f t="shared" si="669"/>
        <v>92.547447899999995</v>
      </c>
      <c r="W774" s="538">
        <f t="shared" si="669"/>
        <v>111.20828203000001</v>
      </c>
      <c r="X774" s="538">
        <f t="shared" si="669"/>
        <v>222.95433410956798</v>
      </c>
      <c r="Y774" s="538">
        <f t="shared" si="669"/>
        <v>275.07933724392001</v>
      </c>
      <c r="Z774" s="538">
        <f t="shared" si="669"/>
        <v>236.842377442112</v>
      </c>
      <c r="AA774" s="538">
        <f t="shared" si="669"/>
        <v>521.23181416247598</v>
      </c>
      <c r="AB774" s="538">
        <f t="shared" si="669"/>
        <v>458.85614080454303</v>
      </c>
      <c r="AC774" s="538">
        <f t="shared" si="669"/>
        <v>498.26409575079998</v>
      </c>
      <c r="AD774" s="538">
        <f t="shared" si="669"/>
        <v>499.39449196549901</v>
      </c>
      <c r="AE774" s="538">
        <f t="shared" si="669"/>
        <v>511.64191424046072</v>
      </c>
      <c r="AF774" s="538">
        <f t="shared" si="669"/>
        <v>522.47681812965493</v>
      </c>
      <c r="AG774" s="538">
        <f t="shared" si="669"/>
        <v>533.79306524069909</v>
      </c>
      <c r="AH774" s="538">
        <f t="shared" si="669"/>
        <v>545.3125501316897</v>
      </c>
      <c r="AI774" s="538">
        <f t="shared" si="669"/>
        <v>563.04437690960037</v>
      </c>
      <c r="AJ774" s="538">
        <f t="shared" si="669"/>
        <v>520.87013281239911</v>
      </c>
      <c r="AK774" s="538">
        <f t="shared" si="669"/>
        <v>303.9560272104207</v>
      </c>
      <c r="AL774" s="538">
        <f t="shared" si="669"/>
        <v>0</v>
      </c>
      <c r="AM774" s="538">
        <f t="shared" si="669"/>
        <v>0</v>
      </c>
      <c r="AN774" s="538">
        <f t="shared" si="669"/>
        <v>0</v>
      </c>
      <c r="AO774" s="538">
        <f t="shared" si="669"/>
        <v>0</v>
      </c>
      <c r="AP774" s="538">
        <f t="shared" si="669"/>
        <v>0</v>
      </c>
      <c r="AQ774" s="538">
        <f t="shared" si="669"/>
        <v>0</v>
      </c>
      <c r="AR774" s="538">
        <f t="shared" si="669"/>
        <v>0</v>
      </c>
      <c r="AS774" s="538">
        <f t="shared" si="669"/>
        <v>0</v>
      </c>
    </row>
    <row r="775" spans="1:45" ht="15" customHeight="1" x14ac:dyDescent="0.3">
      <c r="E775" s="538" t="str">
        <f xml:space="preserve"> E$644</f>
        <v>Depreciation incl Sens.</v>
      </c>
      <c r="F775" s="538" t="str">
        <f t="shared" ref="F775:I775" si="670" xml:space="preserve"> F$644</f>
        <v>Calculated</v>
      </c>
      <c r="G775" s="538" t="str">
        <f t="shared" si="670"/>
        <v>$ mn</v>
      </c>
      <c r="H775" s="538">
        <f t="shared" si="670"/>
        <v>0</v>
      </c>
      <c r="I775" s="538">
        <f t="shared" si="670"/>
        <v>831.24520052188802</v>
      </c>
      <c r="J775" s="538"/>
      <c r="K775" s="538">
        <f t="shared" ref="K775:O775" si="671" xml:space="preserve"> K$644</f>
        <v>0</v>
      </c>
      <c r="L775" s="538">
        <f t="shared" si="671"/>
        <v>0</v>
      </c>
      <c r="M775" s="538">
        <f t="shared" si="671"/>
        <v>0</v>
      </c>
      <c r="N775" s="538">
        <f t="shared" si="671"/>
        <v>0</v>
      </c>
      <c r="O775" s="538">
        <f t="shared" si="671"/>
        <v>0</v>
      </c>
      <c r="P775" s="538">
        <f t="shared" ref="P775:AS775" si="672" xml:space="preserve"> P$644</f>
        <v>0</v>
      </c>
      <c r="Q775" s="538">
        <f t="shared" si="672"/>
        <v>0</v>
      </c>
      <c r="R775" s="538">
        <f t="shared" si="672"/>
        <v>0</v>
      </c>
      <c r="S775" s="538">
        <f t="shared" si="672"/>
        <v>0</v>
      </c>
      <c r="T775" s="538">
        <f t="shared" si="672"/>
        <v>0</v>
      </c>
      <c r="U775" s="538">
        <f t="shared" si="672"/>
        <v>0</v>
      </c>
      <c r="V775" s="538">
        <f t="shared" si="672"/>
        <v>161.01852705857141</v>
      </c>
      <c r="W775" s="538">
        <f t="shared" si="672"/>
        <v>29.906429295714286</v>
      </c>
      <c r="X775" s="538">
        <f t="shared" si="672"/>
        <v>51.09067342714286</v>
      </c>
      <c r="Y775" s="538">
        <f t="shared" si="672"/>
        <v>51.77463952714286</v>
      </c>
      <c r="Z775" s="538">
        <f t="shared" si="672"/>
        <v>63.462109584285713</v>
      </c>
      <c r="AA775" s="538">
        <f t="shared" si="672"/>
        <v>77.791557561428576</v>
      </c>
      <c r="AB775" s="538">
        <f t="shared" si="672"/>
        <v>92.632090853623609</v>
      </c>
      <c r="AC775" s="538">
        <f t="shared" si="672"/>
        <v>83.745286738841159</v>
      </c>
      <c r="AD775" s="538">
        <f t="shared" si="672"/>
        <v>67.840468491698303</v>
      </c>
      <c r="AE775" s="538">
        <f t="shared" si="672"/>
        <v>46.656224360269725</v>
      </c>
      <c r="AF775" s="538">
        <f t="shared" si="672"/>
        <v>45.972258260269726</v>
      </c>
      <c r="AG775" s="538">
        <f t="shared" si="672"/>
        <v>34.284788203126872</v>
      </c>
      <c r="AH775" s="538">
        <f t="shared" si="672"/>
        <v>19.955340225984013</v>
      </c>
      <c r="AI775" s="538">
        <f t="shared" si="672"/>
        <v>5.1148069337889819</v>
      </c>
      <c r="AJ775" s="538">
        <f t="shared" si="672"/>
        <v>0</v>
      </c>
      <c r="AK775" s="538">
        <f t="shared" si="672"/>
        <v>-1.7763568394002505E-15</v>
      </c>
      <c r="AL775" s="538">
        <f t="shared" si="672"/>
        <v>0</v>
      </c>
      <c r="AM775" s="538">
        <f t="shared" si="672"/>
        <v>0</v>
      </c>
      <c r="AN775" s="538">
        <f t="shared" si="672"/>
        <v>0</v>
      </c>
      <c r="AO775" s="538">
        <f t="shared" si="672"/>
        <v>0</v>
      </c>
      <c r="AP775" s="538">
        <f t="shared" si="672"/>
        <v>0</v>
      </c>
      <c r="AQ775" s="538">
        <f t="shared" si="672"/>
        <v>0</v>
      </c>
      <c r="AR775" s="538">
        <f t="shared" si="672"/>
        <v>0</v>
      </c>
      <c r="AS775" s="538">
        <f t="shared" si="672"/>
        <v>0</v>
      </c>
    </row>
    <row r="776" spans="1:45" ht="15" customHeight="1" x14ac:dyDescent="0.3">
      <c r="E776" s="538" t="str">
        <f t="shared" ref="E776:O776" si="673" xml:space="preserve"> E$763</f>
        <v>Interest deductible for CIT</v>
      </c>
      <c r="F776" s="538">
        <f t="shared" si="673"/>
        <v>0</v>
      </c>
      <c r="G776" s="538" t="str">
        <f t="shared" si="673"/>
        <v>$ mn</v>
      </c>
      <c r="H776" s="538">
        <f t="shared" si="673"/>
        <v>0</v>
      </c>
      <c r="I776" s="538">
        <f t="shared" si="673"/>
        <v>39.111939999999997</v>
      </c>
      <c r="J776" s="538">
        <f t="shared" si="673"/>
        <v>0</v>
      </c>
      <c r="K776" s="538">
        <f t="shared" si="673"/>
        <v>0</v>
      </c>
      <c r="L776" s="538">
        <f t="shared" si="673"/>
        <v>0</v>
      </c>
      <c r="M776" s="538">
        <f t="shared" si="673"/>
        <v>0</v>
      </c>
      <c r="N776" s="538">
        <f t="shared" si="673"/>
        <v>0</v>
      </c>
      <c r="O776" s="538">
        <f t="shared" si="673"/>
        <v>0</v>
      </c>
      <c r="P776" s="538">
        <f t="shared" ref="P776:AS776" si="674" xml:space="preserve"> P$763</f>
        <v>0</v>
      </c>
      <c r="Q776" s="538">
        <f t="shared" si="674"/>
        <v>0</v>
      </c>
      <c r="R776" s="538">
        <f t="shared" si="674"/>
        <v>0</v>
      </c>
      <c r="S776" s="538">
        <f t="shared" si="674"/>
        <v>0</v>
      </c>
      <c r="T776" s="538">
        <f t="shared" si="674"/>
        <v>0</v>
      </c>
      <c r="U776" s="538">
        <f t="shared" si="674"/>
        <v>0</v>
      </c>
      <c r="V776" s="538">
        <f t="shared" si="674"/>
        <v>0</v>
      </c>
      <c r="W776" s="538">
        <f t="shared" si="674"/>
        <v>0</v>
      </c>
      <c r="X776" s="538">
        <f t="shared" si="674"/>
        <v>8.7219999999999995</v>
      </c>
      <c r="Y776" s="538">
        <f t="shared" si="674"/>
        <v>12.85872</v>
      </c>
      <c r="Z776" s="538">
        <f t="shared" si="674"/>
        <v>9.1207200000000004</v>
      </c>
      <c r="AA776" s="538">
        <f t="shared" si="674"/>
        <v>2.8035000000000001</v>
      </c>
      <c r="AB776" s="538">
        <f t="shared" si="674"/>
        <v>2.2427999999999999</v>
      </c>
      <c r="AC776" s="538">
        <f t="shared" si="674"/>
        <v>1.6820999999999999</v>
      </c>
      <c r="AD776" s="538">
        <f t="shared" si="674"/>
        <v>1.1214</v>
      </c>
      <c r="AE776" s="538">
        <f t="shared" si="674"/>
        <v>0.56069999999999998</v>
      </c>
      <c r="AF776" s="538">
        <f t="shared" si="674"/>
        <v>0</v>
      </c>
      <c r="AG776" s="538">
        <f t="shared" si="674"/>
        <v>0</v>
      </c>
      <c r="AH776" s="538">
        <f t="shared" si="674"/>
        <v>0</v>
      </c>
      <c r="AI776" s="538">
        <f t="shared" si="674"/>
        <v>0</v>
      </c>
      <c r="AJ776" s="538">
        <f t="shared" si="674"/>
        <v>0</v>
      </c>
      <c r="AK776" s="538">
        <f t="shared" si="674"/>
        <v>0</v>
      </c>
      <c r="AL776" s="538">
        <f t="shared" si="674"/>
        <v>0</v>
      </c>
      <c r="AM776" s="538">
        <f t="shared" si="674"/>
        <v>0</v>
      </c>
      <c r="AN776" s="538">
        <f t="shared" si="674"/>
        <v>0</v>
      </c>
      <c r="AO776" s="538">
        <f t="shared" si="674"/>
        <v>0</v>
      </c>
      <c r="AP776" s="538">
        <f t="shared" si="674"/>
        <v>0</v>
      </c>
      <c r="AQ776" s="538">
        <f t="shared" si="674"/>
        <v>0</v>
      </c>
      <c r="AR776" s="538">
        <f t="shared" si="674"/>
        <v>0</v>
      </c>
      <c r="AS776" s="538">
        <f t="shared" si="674"/>
        <v>0</v>
      </c>
    </row>
    <row r="777" spans="1:45" ht="15" customHeight="1" x14ac:dyDescent="0.3">
      <c r="E777" s="40" t="str">
        <f xml:space="preserve"> E$746</f>
        <v>Base for EPT deducted from CIT base</v>
      </c>
      <c r="F777" s="40">
        <f t="shared" ref="F777:O777" si="675" xml:space="preserve"> F$746</f>
        <v>0</v>
      </c>
      <c r="G777" s="40" t="str">
        <f t="shared" si="675"/>
        <v>$ mn</v>
      </c>
      <c r="H777" s="40">
        <f t="shared" si="675"/>
        <v>0</v>
      </c>
      <c r="I777" s="40">
        <f t="shared" si="675"/>
        <v>0</v>
      </c>
      <c r="J777" s="40">
        <f t="shared" si="675"/>
        <v>0</v>
      </c>
      <c r="K777" s="40">
        <f t="shared" si="675"/>
        <v>0</v>
      </c>
      <c r="L777" s="40">
        <f t="shared" si="675"/>
        <v>0</v>
      </c>
      <c r="M777" s="40">
        <f t="shared" si="675"/>
        <v>0</v>
      </c>
      <c r="N777" s="40">
        <f t="shared" si="675"/>
        <v>0</v>
      </c>
      <c r="O777" s="40">
        <f t="shared" si="675"/>
        <v>0</v>
      </c>
      <c r="P777" s="40">
        <f t="shared" ref="P777:AS777" si="676" xml:space="preserve"> P$746</f>
        <v>0</v>
      </c>
      <c r="Q777" s="40">
        <f t="shared" si="676"/>
        <v>0</v>
      </c>
      <c r="R777" s="40">
        <f t="shared" si="676"/>
        <v>0</v>
      </c>
      <c r="S777" s="40">
        <f t="shared" si="676"/>
        <v>0</v>
      </c>
      <c r="T777" s="40">
        <f t="shared" si="676"/>
        <v>0</v>
      </c>
      <c r="U777" s="40">
        <f t="shared" si="676"/>
        <v>0</v>
      </c>
      <c r="V777" s="40">
        <f t="shared" si="676"/>
        <v>0</v>
      </c>
      <c r="W777" s="40">
        <f t="shared" si="676"/>
        <v>0</v>
      </c>
      <c r="X777" s="40">
        <f t="shared" si="676"/>
        <v>0</v>
      </c>
      <c r="Y777" s="40">
        <f t="shared" si="676"/>
        <v>0</v>
      </c>
      <c r="Z777" s="40">
        <f t="shared" si="676"/>
        <v>0</v>
      </c>
      <c r="AA777" s="40">
        <f t="shared" si="676"/>
        <v>0</v>
      </c>
      <c r="AB777" s="40">
        <f t="shared" si="676"/>
        <v>0</v>
      </c>
      <c r="AC777" s="40">
        <f t="shared" si="676"/>
        <v>0</v>
      </c>
      <c r="AD777" s="40">
        <f t="shared" si="676"/>
        <v>0</v>
      </c>
      <c r="AE777" s="40">
        <f t="shared" si="676"/>
        <v>0</v>
      </c>
      <c r="AF777" s="40">
        <f t="shared" si="676"/>
        <v>0</v>
      </c>
      <c r="AG777" s="40">
        <f t="shared" si="676"/>
        <v>0</v>
      </c>
      <c r="AH777" s="40">
        <f t="shared" si="676"/>
        <v>0</v>
      </c>
      <c r="AI777" s="40">
        <f t="shared" si="676"/>
        <v>0</v>
      </c>
      <c r="AJ777" s="40">
        <f t="shared" si="676"/>
        <v>0</v>
      </c>
      <c r="AK777" s="40">
        <f t="shared" si="676"/>
        <v>0</v>
      </c>
      <c r="AL777" s="40">
        <f t="shared" si="676"/>
        <v>0</v>
      </c>
      <c r="AM777" s="40">
        <f t="shared" si="676"/>
        <v>0</v>
      </c>
      <c r="AN777" s="40">
        <f t="shared" si="676"/>
        <v>0</v>
      </c>
      <c r="AO777" s="40">
        <f t="shared" si="676"/>
        <v>0</v>
      </c>
      <c r="AP777" s="40">
        <f t="shared" si="676"/>
        <v>0</v>
      </c>
      <c r="AQ777" s="40">
        <f t="shared" si="676"/>
        <v>0</v>
      </c>
      <c r="AR777" s="40">
        <f t="shared" si="676"/>
        <v>0</v>
      </c>
      <c r="AS777" s="40">
        <f t="shared" si="676"/>
        <v>0</v>
      </c>
    </row>
    <row r="778" spans="1:45" ht="15" customHeight="1" x14ac:dyDescent="0.3">
      <c r="A778" s="173"/>
      <c r="B778" s="173"/>
      <c r="C778" s="174"/>
      <c r="D778" s="175"/>
      <c r="E778" s="175" t="s">
        <v>224</v>
      </c>
      <c r="F778" s="175"/>
      <c r="G778" s="175"/>
      <c r="H778" s="125"/>
      <c r="I778" s="125">
        <f>SUM(K778:AS778)</f>
        <v>7745.5726396392956</v>
      </c>
      <c r="J778" s="138"/>
      <c r="K778" s="175">
        <f t="shared" ref="K778:O778" si="677">SUM(K773:K777)</f>
        <v>0</v>
      </c>
      <c r="L778" s="175">
        <f t="shared" si="677"/>
        <v>0</v>
      </c>
      <c r="M778" s="175">
        <f t="shared" si="677"/>
        <v>0</v>
      </c>
      <c r="N778" s="175">
        <f t="shared" si="677"/>
        <v>0</v>
      </c>
      <c r="O778" s="175">
        <f t="shared" si="677"/>
        <v>0</v>
      </c>
      <c r="P778" s="175">
        <f>SUM(P773:P777)</f>
        <v>0</v>
      </c>
      <c r="Q778" s="175">
        <f t="shared" ref="Q778:AS778" si="678">SUM(Q773:Q777)</f>
        <v>0</v>
      </c>
      <c r="R778" s="175">
        <f t="shared" si="678"/>
        <v>0</v>
      </c>
      <c r="S778" s="175">
        <f t="shared" si="678"/>
        <v>0</v>
      </c>
      <c r="T778" s="175">
        <f t="shared" si="678"/>
        <v>0</v>
      </c>
      <c r="U778" s="175">
        <f t="shared" si="678"/>
        <v>0</v>
      </c>
      <c r="V778" s="175">
        <f t="shared" si="678"/>
        <v>255.65958705857139</v>
      </c>
      <c r="W778" s="175">
        <f t="shared" si="678"/>
        <v>148.68056929571429</v>
      </c>
      <c r="X778" s="175">
        <f t="shared" si="678"/>
        <v>299.10498342714283</v>
      </c>
      <c r="Y778" s="175">
        <f t="shared" si="678"/>
        <v>365.25894952714287</v>
      </c>
      <c r="Z778" s="175">
        <f t="shared" si="678"/>
        <v>352.44826958428575</v>
      </c>
      <c r="AA778" s="175">
        <f t="shared" si="678"/>
        <v>645.11529756142852</v>
      </c>
      <c r="AB778" s="175">
        <f t="shared" si="678"/>
        <v>592.84684158659093</v>
      </c>
      <c r="AC778" s="175">
        <f t="shared" si="678"/>
        <v>607.40617812290043</v>
      </c>
      <c r="AD778" s="175">
        <f t="shared" si="678"/>
        <v>604.53044480396466</v>
      </c>
      <c r="AE778" s="175">
        <f t="shared" si="678"/>
        <v>595.09011521683988</v>
      </c>
      <c r="AF778" s="175">
        <f t="shared" si="678"/>
        <v>604.64792013311899</v>
      </c>
      <c r="AG778" s="175">
        <f t="shared" si="678"/>
        <v>604.2306601249627</v>
      </c>
      <c r="AH778" s="175">
        <f t="shared" si="678"/>
        <v>601.46958175419127</v>
      </c>
      <c r="AI778" s="175">
        <f t="shared" si="678"/>
        <v>599.59422511133619</v>
      </c>
      <c r="AJ778" s="175">
        <f t="shared" si="678"/>
        <v>552.27232598806177</v>
      </c>
      <c r="AK778" s="175">
        <f t="shared" si="678"/>
        <v>317.21669034304313</v>
      </c>
      <c r="AL778" s="175">
        <f t="shared" si="678"/>
        <v>0</v>
      </c>
      <c r="AM778" s="175">
        <f t="shared" si="678"/>
        <v>0</v>
      </c>
      <c r="AN778" s="175">
        <f t="shared" si="678"/>
        <v>0</v>
      </c>
      <c r="AO778" s="175">
        <f t="shared" si="678"/>
        <v>0</v>
      </c>
      <c r="AP778" s="175">
        <f t="shared" si="678"/>
        <v>0</v>
      </c>
      <c r="AQ778" s="175">
        <f t="shared" si="678"/>
        <v>0</v>
      </c>
      <c r="AR778" s="175">
        <f t="shared" si="678"/>
        <v>0</v>
      </c>
      <c r="AS778" s="175">
        <f t="shared" si="678"/>
        <v>0</v>
      </c>
    </row>
    <row r="779" spans="1:45" ht="15" customHeight="1" x14ac:dyDescent="0.3">
      <c r="A779" s="129"/>
      <c r="B779" s="129"/>
      <c r="C779" s="130"/>
      <c r="D779" s="106"/>
      <c r="E779" s="110"/>
      <c r="F779" s="110"/>
      <c r="G779" s="110"/>
      <c r="H779" s="110"/>
      <c r="I779" s="110"/>
      <c r="J779" s="110"/>
      <c r="K779" s="110"/>
      <c r="L779" s="110"/>
      <c r="M779" s="110"/>
      <c r="N779" s="110"/>
      <c r="O779" s="110"/>
      <c r="P779" s="110"/>
      <c r="Q779" s="110"/>
      <c r="R779" s="110"/>
      <c r="S779" s="110"/>
      <c r="T779" s="110"/>
      <c r="U779" s="110"/>
      <c r="V779" s="110"/>
      <c r="W779" s="110"/>
      <c r="X779" s="110"/>
      <c r="Y779" s="110"/>
      <c r="Z779" s="110"/>
      <c r="AA779" s="110"/>
      <c r="AB779" s="110"/>
      <c r="AC779" s="110"/>
      <c r="AD779" s="110"/>
      <c r="AE779" s="110"/>
      <c r="AF779" s="110"/>
      <c r="AG779" s="110"/>
      <c r="AH779" s="110"/>
      <c r="AI779" s="110"/>
      <c r="AJ779" s="110"/>
      <c r="AK779" s="110"/>
      <c r="AL779" s="110"/>
      <c r="AM779" s="110"/>
      <c r="AN779" s="110"/>
      <c r="AO779" s="110"/>
      <c r="AP779" s="110"/>
      <c r="AQ779" s="110"/>
      <c r="AR779" s="110"/>
      <c r="AS779" s="110"/>
    </row>
    <row r="780" spans="1:45" ht="15" customHeight="1" x14ac:dyDescent="0.3">
      <c r="A780" s="170"/>
      <c r="B780" s="170"/>
      <c r="C780" s="171"/>
      <c r="D780" s="172"/>
      <c r="E780" s="172" t="s">
        <v>226</v>
      </c>
      <c r="F780" s="172"/>
      <c r="G780" s="172" t="s">
        <v>346</v>
      </c>
      <c r="H780" s="131"/>
      <c r="I780" s="131">
        <f>SUM(K780:AS780)</f>
        <v>4311.6547184591482</v>
      </c>
      <c r="J780" s="128"/>
      <c r="K780" s="172">
        <f t="shared" ref="K780:O780" si="679">K768 - K778</f>
        <v>0</v>
      </c>
      <c r="L780" s="172">
        <f t="shared" si="679"/>
        <v>0</v>
      </c>
      <c r="M780" s="172">
        <f t="shared" si="679"/>
        <v>0</v>
      </c>
      <c r="N780" s="172">
        <f t="shared" si="679"/>
        <v>0</v>
      </c>
      <c r="O780" s="172">
        <f t="shared" si="679"/>
        <v>0</v>
      </c>
      <c r="P780" s="172">
        <f t="shared" ref="P780:AS780" si="680">P768 - P778</f>
        <v>0</v>
      </c>
      <c r="Q780" s="172">
        <f t="shared" si="680"/>
        <v>0</v>
      </c>
      <c r="R780" s="172">
        <f t="shared" si="680"/>
        <v>0</v>
      </c>
      <c r="S780" s="172">
        <f t="shared" si="680"/>
        <v>0</v>
      </c>
      <c r="T780" s="172">
        <f t="shared" si="680"/>
        <v>0</v>
      </c>
      <c r="U780" s="172">
        <f t="shared" si="680"/>
        <v>0</v>
      </c>
      <c r="V780" s="172">
        <f t="shared" si="680"/>
        <v>-150.97898205857138</v>
      </c>
      <c r="W780" s="172">
        <f t="shared" si="680"/>
        <v>126.44153870428568</v>
      </c>
      <c r="X780" s="172">
        <f t="shared" si="680"/>
        <v>135.22683607717721</v>
      </c>
      <c r="Y780" s="172">
        <f t="shared" si="680"/>
        <v>303.45564908365719</v>
      </c>
      <c r="Z780" s="172">
        <f t="shared" si="680"/>
        <v>766.25078469459436</v>
      </c>
      <c r="AA780" s="172">
        <f t="shared" si="680"/>
        <v>397.76324246381148</v>
      </c>
      <c r="AB780" s="172">
        <f t="shared" si="680"/>
        <v>430.70153474291533</v>
      </c>
      <c r="AC780" s="172">
        <f t="shared" si="680"/>
        <v>46.403544803024488</v>
      </c>
      <c r="AD780" s="172">
        <f t="shared" si="680"/>
        <v>345.49992151719948</v>
      </c>
      <c r="AE780" s="172">
        <f t="shared" si="680"/>
        <v>356.57431594266973</v>
      </c>
      <c r="AF780" s="172">
        <f t="shared" si="680"/>
        <v>346.08985751453065</v>
      </c>
      <c r="AG780" s="172">
        <f t="shared" si="680"/>
        <v>345.19177289247136</v>
      </c>
      <c r="AH780" s="172">
        <f t="shared" si="680"/>
        <v>349.34955741697672</v>
      </c>
      <c r="AI780" s="172">
        <f t="shared" si="680"/>
        <v>213.08832414124856</v>
      </c>
      <c r="AJ780" s="172">
        <f t="shared" si="680"/>
        <v>270.41988102086225</v>
      </c>
      <c r="AK780" s="172">
        <f t="shared" si="680"/>
        <v>30.176939502295909</v>
      </c>
      <c r="AL780" s="172">
        <f t="shared" si="680"/>
        <v>0</v>
      </c>
      <c r="AM780" s="172">
        <f t="shared" si="680"/>
        <v>0</v>
      </c>
      <c r="AN780" s="172">
        <f t="shared" si="680"/>
        <v>0</v>
      </c>
      <c r="AO780" s="172">
        <f t="shared" si="680"/>
        <v>0</v>
      </c>
      <c r="AP780" s="172">
        <f t="shared" si="680"/>
        <v>0</v>
      </c>
      <c r="AQ780" s="172">
        <f t="shared" si="680"/>
        <v>0</v>
      </c>
      <c r="AR780" s="172">
        <f t="shared" si="680"/>
        <v>0</v>
      </c>
      <c r="AS780" s="172">
        <f t="shared" si="680"/>
        <v>0</v>
      </c>
    </row>
    <row r="781" spans="1:45" ht="15" customHeight="1" x14ac:dyDescent="0.3">
      <c r="A781" s="170"/>
      <c r="B781" s="170"/>
      <c r="C781" s="171"/>
      <c r="D781" s="172"/>
      <c r="E781" s="172" t="s">
        <v>227</v>
      </c>
      <c r="F781" s="172"/>
      <c r="G781" s="172" t="s">
        <v>346</v>
      </c>
      <c r="H781" s="131"/>
      <c r="I781" s="131"/>
      <c r="J781" s="128"/>
      <c r="K781" s="172">
        <f>J782 * (J782 &lt; 0)</f>
        <v>0</v>
      </c>
      <c r="L781" s="172">
        <f t="shared" ref="L781:AS781" si="681">K782 * (K782 &lt; 0)</f>
        <v>0</v>
      </c>
      <c r="M781" s="172">
        <f t="shared" si="681"/>
        <v>0</v>
      </c>
      <c r="N781" s="172">
        <f t="shared" si="681"/>
        <v>0</v>
      </c>
      <c r="O781" s="172">
        <f t="shared" si="681"/>
        <v>0</v>
      </c>
      <c r="P781" s="172">
        <f t="shared" si="681"/>
        <v>0</v>
      </c>
      <c r="Q781" s="172">
        <f t="shared" si="681"/>
        <v>0</v>
      </c>
      <c r="R781" s="172">
        <f t="shared" si="681"/>
        <v>0</v>
      </c>
      <c r="S781" s="172">
        <f t="shared" si="681"/>
        <v>0</v>
      </c>
      <c r="T781" s="172">
        <f t="shared" si="681"/>
        <v>0</v>
      </c>
      <c r="U781" s="172">
        <f t="shared" si="681"/>
        <v>0</v>
      </c>
      <c r="V781" s="172">
        <f t="shared" si="681"/>
        <v>0</v>
      </c>
      <c r="W781" s="172">
        <f t="shared" si="681"/>
        <v>-150.97898205857138</v>
      </c>
      <c r="X781" s="172">
        <f t="shared" si="681"/>
        <v>-24.537443354285699</v>
      </c>
      <c r="Y781" s="172">
        <f t="shared" si="681"/>
        <v>0</v>
      </c>
      <c r="Z781" s="172">
        <f t="shared" si="681"/>
        <v>0</v>
      </c>
      <c r="AA781" s="172">
        <f t="shared" si="681"/>
        <v>0</v>
      </c>
      <c r="AB781" s="172">
        <f t="shared" si="681"/>
        <v>0</v>
      </c>
      <c r="AC781" s="172">
        <f t="shared" si="681"/>
        <v>0</v>
      </c>
      <c r="AD781" s="172">
        <f t="shared" si="681"/>
        <v>0</v>
      </c>
      <c r="AE781" s="172">
        <f t="shared" si="681"/>
        <v>0</v>
      </c>
      <c r="AF781" s="172">
        <f t="shared" si="681"/>
        <v>0</v>
      </c>
      <c r="AG781" s="172">
        <f t="shared" si="681"/>
        <v>0</v>
      </c>
      <c r="AH781" s="172">
        <f t="shared" si="681"/>
        <v>0</v>
      </c>
      <c r="AI781" s="172">
        <f t="shared" si="681"/>
        <v>0</v>
      </c>
      <c r="AJ781" s="172">
        <f t="shared" si="681"/>
        <v>0</v>
      </c>
      <c r="AK781" s="172">
        <f t="shared" si="681"/>
        <v>0</v>
      </c>
      <c r="AL781" s="172">
        <f t="shared" si="681"/>
        <v>0</v>
      </c>
      <c r="AM781" s="172">
        <f t="shared" si="681"/>
        <v>0</v>
      </c>
      <c r="AN781" s="172">
        <f t="shared" si="681"/>
        <v>0</v>
      </c>
      <c r="AO781" s="172">
        <f t="shared" si="681"/>
        <v>0</v>
      </c>
      <c r="AP781" s="172">
        <f t="shared" si="681"/>
        <v>0</v>
      </c>
      <c r="AQ781" s="172">
        <f t="shared" si="681"/>
        <v>0</v>
      </c>
      <c r="AR781" s="172">
        <f t="shared" si="681"/>
        <v>0</v>
      </c>
      <c r="AS781" s="172">
        <f t="shared" si="681"/>
        <v>0</v>
      </c>
    </row>
    <row r="782" spans="1:45" ht="15" customHeight="1" x14ac:dyDescent="0.3">
      <c r="A782" s="170"/>
      <c r="B782" s="170"/>
      <c r="C782" s="171"/>
      <c r="D782" s="172"/>
      <c r="E782" s="172" t="s">
        <v>228</v>
      </c>
      <c r="F782" s="172"/>
      <c r="G782" s="172" t="s">
        <v>346</v>
      </c>
      <c r="H782" s="131"/>
      <c r="I782" s="131"/>
      <c r="J782" s="128"/>
      <c r="K782" s="172">
        <f t="shared" ref="K782:O782" si="682">K780 + K781</f>
        <v>0</v>
      </c>
      <c r="L782" s="172">
        <f t="shared" si="682"/>
        <v>0</v>
      </c>
      <c r="M782" s="172">
        <f t="shared" si="682"/>
        <v>0</v>
      </c>
      <c r="N782" s="172">
        <f t="shared" si="682"/>
        <v>0</v>
      </c>
      <c r="O782" s="172">
        <f t="shared" si="682"/>
        <v>0</v>
      </c>
      <c r="P782" s="172">
        <f t="shared" ref="P782:R782" si="683">P780 + P781</f>
        <v>0</v>
      </c>
      <c r="Q782" s="172">
        <f t="shared" si="683"/>
        <v>0</v>
      </c>
      <c r="R782" s="172">
        <f t="shared" si="683"/>
        <v>0</v>
      </c>
      <c r="S782" s="172">
        <f t="shared" ref="S782:AS782" si="684">S780 + S781</f>
        <v>0</v>
      </c>
      <c r="T782" s="172">
        <f t="shared" si="684"/>
        <v>0</v>
      </c>
      <c r="U782" s="172">
        <f t="shared" si="684"/>
        <v>0</v>
      </c>
      <c r="V782" s="172">
        <f t="shared" si="684"/>
        <v>-150.97898205857138</v>
      </c>
      <c r="W782" s="172">
        <f t="shared" si="684"/>
        <v>-24.537443354285699</v>
      </c>
      <c r="X782" s="172">
        <f t="shared" si="684"/>
        <v>110.68939272289151</v>
      </c>
      <c r="Y782" s="172">
        <f t="shared" si="684"/>
        <v>303.45564908365719</v>
      </c>
      <c r="Z782" s="172">
        <f t="shared" si="684"/>
        <v>766.25078469459436</v>
      </c>
      <c r="AA782" s="172">
        <f t="shared" si="684"/>
        <v>397.76324246381148</v>
      </c>
      <c r="AB782" s="172">
        <f t="shared" si="684"/>
        <v>430.70153474291533</v>
      </c>
      <c r="AC782" s="172">
        <f t="shared" si="684"/>
        <v>46.403544803024488</v>
      </c>
      <c r="AD782" s="172">
        <f t="shared" si="684"/>
        <v>345.49992151719948</v>
      </c>
      <c r="AE782" s="172">
        <f t="shared" si="684"/>
        <v>356.57431594266973</v>
      </c>
      <c r="AF782" s="172">
        <f t="shared" si="684"/>
        <v>346.08985751453065</v>
      </c>
      <c r="AG782" s="172">
        <f t="shared" si="684"/>
        <v>345.19177289247136</v>
      </c>
      <c r="AH782" s="172">
        <f t="shared" si="684"/>
        <v>349.34955741697672</v>
      </c>
      <c r="AI782" s="172">
        <f t="shared" si="684"/>
        <v>213.08832414124856</v>
      </c>
      <c r="AJ782" s="172">
        <f t="shared" si="684"/>
        <v>270.41988102086225</v>
      </c>
      <c r="AK782" s="172">
        <f t="shared" si="684"/>
        <v>30.176939502295909</v>
      </c>
      <c r="AL782" s="172">
        <f t="shared" si="684"/>
        <v>0</v>
      </c>
      <c r="AM782" s="172">
        <f t="shared" si="684"/>
        <v>0</v>
      </c>
      <c r="AN782" s="172">
        <f t="shared" si="684"/>
        <v>0</v>
      </c>
      <c r="AO782" s="172">
        <f t="shared" si="684"/>
        <v>0</v>
      </c>
      <c r="AP782" s="172">
        <f t="shared" si="684"/>
        <v>0</v>
      </c>
      <c r="AQ782" s="172">
        <f t="shared" si="684"/>
        <v>0</v>
      </c>
      <c r="AR782" s="172">
        <f t="shared" si="684"/>
        <v>0</v>
      </c>
      <c r="AS782" s="172">
        <f t="shared" si="684"/>
        <v>0</v>
      </c>
    </row>
    <row r="783" spans="1:45" ht="15" customHeight="1" x14ac:dyDescent="0.3">
      <c r="A783" s="170"/>
      <c r="B783" s="170"/>
      <c r="C783" s="171"/>
      <c r="D783" s="172"/>
      <c r="E783" s="172"/>
      <c r="F783" s="172"/>
      <c r="G783" s="172"/>
      <c r="H783" s="131"/>
      <c r="I783" s="131"/>
      <c r="J783" s="128"/>
      <c r="K783" s="172"/>
      <c r="L783" s="172"/>
      <c r="M783" s="172"/>
      <c r="N783" s="172"/>
      <c r="O783" s="172"/>
      <c r="P783" s="172"/>
      <c r="Q783" s="172"/>
      <c r="R783" s="172"/>
      <c r="S783" s="172"/>
      <c r="T783" s="172"/>
      <c r="U783" s="172"/>
      <c r="V783" s="172"/>
      <c r="W783" s="172"/>
      <c r="X783" s="172"/>
      <c r="Y783" s="172"/>
      <c r="Z783" s="172"/>
      <c r="AA783" s="172"/>
      <c r="AB783" s="172"/>
      <c r="AC783" s="172"/>
      <c r="AD783" s="172"/>
      <c r="AE783" s="172"/>
      <c r="AF783" s="172"/>
      <c r="AG783" s="172"/>
      <c r="AH783" s="172"/>
      <c r="AI783" s="172"/>
      <c r="AJ783" s="172"/>
      <c r="AK783" s="172"/>
      <c r="AL783" s="172"/>
      <c r="AM783" s="172"/>
      <c r="AN783" s="172"/>
      <c r="AO783" s="172"/>
      <c r="AP783" s="172"/>
      <c r="AQ783" s="172"/>
      <c r="AR783" s="172"/>
      <c r="AS783" s="172"/>
    </row>
    <row r="784" spans="1:45" ht="15" customHeight="1" x14ac:dyDescent="0.3">
      <c r="A784" s="170"/>
      <c r="B784" s="170"/>
      <c r="C784" s="171"/>
      <c r="D784" s="172"/>
      <c r="E784" s="148" t="str">
        <f xml:space="preserve"> Inputs_Con!E$84</f>
        <v>CIT rate</v>
      </c>
      <c r="F784" s="616">
        <f xml:space="preserve"> Inputs_Con!F$84</f>
        <v>0.3</v>
      </c>
      <c r="G784" s="148" t="str">
        <f xml:space="preserve"> Inputs_Con!G$84</f>
        <v>%</v>
      </c>
      <c r="H784" s="131"/>
      <c r="I784" s="131"/>
      <c r="J784" s="128"/>
      <c r="K784" s="172"/>
      <c r="L784" s="172"/>
      <c r="M784" s="172"/>
      <c r="N784" s="172"/>
      <c r="O784" s="172"/>
      <c r="P784" s="172"/>
      <c r="Q784" s="172"/>
      <c r="R784" s="172"/>
      <c r="S784" s="172"/>
      <c r="T784" s="172"/>
      <c r="U784" s="172"/>
      <c r="V784" s="172"/>
      <c r="W784" s="172"/>
      <c r="X784" s="172"/>
      <c r="Y784" s="172"/>
      <c r="Z784" s="172"/>
      <c r="AA784" s="172"/>
      <c r="AB784" s="172"/>
      <c r="AC784" s="172"/>
      <c r="AD784" s="172"/>
      <c r="AE784" s="172"/>
      <c r="AF784" s="172"/>
      <c r="AG784" s="172"/>
      <c r="AH784" s="172"/>
      <c r="AI784" s="172"/>
      <c r="AJ784" s="172"/>
      <c r="AK784" s="172"/>
      <c r="AL784" s="172"/>
      <c r="AM784" s="172"/>
      <c r="AN784" s="172"/>
      <c r="AO784" s="172"/>
      <c r="AP784" s="172"/>
      <c r="AQ784" s="172"/>
      <c r="AR784" s="172"/>
      <c r="AS784" s="172"/>
    </row>
    <row r="785" spans="1:45" ht="15" customHeight="1" x14ac:dyDescent="0.3">
      <c r="A785" s="180"/>
      <c r="B785" s="180"/>
      <c r="C785" s="181"/>
      <c r="D785" s="36"/>
      <c r="E785" s="36" t="s">
        <v>816</v>
      </c>
      <c r="F785" s="36"/>
      <c r="G785" s="36" t="s">
        <v>346</v>
      </c>
      <c r="H785" s="183"/>
      <c r="I785" s="183">
        <f>SUM(K785:AS785)</f>
        <v>1293.4964155377447</v>
      </c>
      <c r="J785" s="243"/>
      <c r="K785" s="467">
        <f t="shared" ref="K785:O785" si="685" xml:space="preserve"> K782 * $F784 * (K782 &gt; 0)</f>
        <v>0</v>
      </c>
      <c r="L785" s="467">
        <f t="shared" si="685"/>
        <v>0</v>
      </c>
      <c r="M785" s="467">
        <f t="shared" si="685"/>
        <v>0</v>
      </c>
      <c r="N785" s="467">
        <f t="shared" si="685"/>
        <v>0</v>
      </c>
      <c r="O785" s="467">
        <f t="shared" si="685"/>
        <v>0</v>
      </c>
      <c r="P785" s="467">
        <f t="shared" ref="P785:AS785" si="686" xml:space="preserve"> P782 * $F784 * (P782 &gt; 0)</f>
        <v>0</v>
      </c>
      <c r="Q785" s="467">
        <f t="shared" si="686"/>
        <v>0</v>
      </c>
      <c r="R785" s="467">
        <f t="shared" si="686"/>
        <v>0</v>
      </c>
      <c r="S785" s="467">
        <f t="shared" si="686"/>
        <v>0</v>
      </c>
      <c r="T785" s="467">
        <f t="shared" si="686"/>
        <v>0</v>
      </c>
      <c r="U785" s="467">
        <f t="shared" si="686"/>
        <v>0</v>
      </c>
      <c r="V785" s="467">
        <f t="shared" si="686"/>
        <v>0</v>
      </c>
      <c r="W785" s="467">
        <f t="shared" si="686"/>
        <v>0</v>
      </c>
      <c r="X785" s="467">
        <f t="shared" si="686"/>
        <v>33.206817816867449</v>
      </c>
      <c r="Y785" s="467">
        <f t="shared" si="686"/>
        <v>91.036694725097149</v>
      </c>
      <c r="Z785" s="467">
        <f t="shared" si="686"/>
        <v>229.8752354083783</v>
      </c>
      <c r="AA785" s="467">
        <f t="shared" si="686"/>
        <v>119.32897273914344</v>
      </c>
      <c r="AB785" s="467">
        <f t="shared" si="686"/>
        <v>129.2104604228746</v>
      </c>
      <c r="AC785" s="467">
        <f t="shared" si="686"/>
        <v>13.921063440907346</v>
      </c>
      <c r="AD785" s="467">
        <f t="shared" si="686"/>
        <v>103.64997645515984</v>
      </c>
      <c r="AE785" s="467">
        <f t="shared" si="686"/>
        <v>106.97229478280092</v>
      </c>
      <c r="AF785" s="467">
        <f t="shared" si="686"/>
        <v>103.82695725435919</v>
      </c>
      <c r="AG785" s="467">
        <f t="shared" si="686"/>
        <v>103.5575318677414</v>
      </c>
      <c r="AH785" s="467">
        <f t="shared" si="686"/>
        <v>104.80486722509302</v>
      </c>
      <c r="AI785" s="467">
        <f t="shared" si="686"/>
        <v>63.926497242374566</v>
      </c>
      <c r="AJ785" s="467">
        <f t="shared" si="686"/>
        <v>81.125964306258666</v>
      </c>
      <c r="AK785" s="467">
        <f t="shared" si="686"/>
        <v>9.0530818506887716</v>
      </c>
      <c r="AL785" s="467">
        <f t="shared" si="686"/>
        <v>0</v>
      </c>
      <c r="AM785" s="467">
        <f t="shared" si="686"/>
        <v>0</v>
      </c>
      <c r="AN785" s="467">
        <f t="shared" si="686"/>
        <v>0</v>
      </c>
      <c r="AO785" s="467">
        <f t="shared" si="686"/>
        <v>0</v>
      </c>
      <c r="AP785" s="467">
        <f t="shared" si="686"/>
        <v>0</v>
      </c>
      <c r="AQ785" s="467">
        <f t="shared" si="686"/>
        <v>0</v>
      </c>
      <c r="AR785" s="467">
        <f t="shared" si="686"/>
        <v>0</v>
      </c>
      <c r="AS785" s="467">
        <f t="shared" si="686"/>
        <v>0</v>
      </c>
    </row>
    <row r="786" spans="1:45" ht="15" customHeight="1" x14ac:dyDescent="0.3">
      <c r="I786" s="116"/>
      <c r="AL786" s="42"/>
      <c r="AM786" s="42"/>
      <c r="AN786" s="42"/>
      <c r="AO786" s="42"/>
      <c r="AP786" s="42"/>
      <c r="AQ786" s="88"/>
      <c r="AR786" s="88"/>
      <c r="AS786" s="88"/>
    </row>
    <row r="787" spans="1:45" ht="15" customHeight="1" x14ac:dyDescent="0.3">
      <c r="A787" s="180"/>
      <c r="B787" s="180"/>
      <c r="C787" s="181" t="s">
        <v>792</v>
      </c>
      <c r="D787" s="36"/>
      <c r="E787" s="36"/>
      <c r="F787" s="36"/>
      <c r="G787" s="36"/>
      <c r="H787" s="183"/>
      <c r="I787" s="183"/>
      <c r="J787" s="243"/>
      <c r="K787" s="467"/>
      <c r="L787" s="467"/>
      <c r="M787" s="467"/>
      <c r="N787" s="467"/>
      <c r="O787" s="467"/>
      <c r="P787" s="467"/>
      <c r="Q787" s="467"/>
      <c r="R787" s="467"/>
      <c r="S787" s="467"/>
      <c r="T787" s="467"/>
      <c r="U787" s="467"/>
      <c r="V787" s="467"/>
      <c r="W787" s="467"/>
      <c r="X787" s="467"/>
      <c r="Y787" s="467"/>
      <c r="Z787" s="467"/>
      <c r="AA787" s="467"/>
      <c r="AB787" s="467"/>
      <c r="AC787" s="467"/>
      <c r="AD787" s="467"/>
      <c r="AE787" s="467"/>
      <c r="AF787" s="467"/>
      <c r="AG787" s="467"/>
      <c r="AH787" s="467"/>
      <c r="AI787" s="467"/>
      <c r="AJ787" s="467"/>
      <c r="AK787" s="467"/>
      <c r="AL787" s="467"/>
      <c r="AM787" s="467"/>
      <c r="AN787" s="467"/>
      <c r="AO787" s="467"/>
      <c r="AP787" s="467"/>
      <c r="AQ787" s="467"/>
      <c r="AR787" s="467"/>
      <c r="AS787" s="467"/>
    </row>
    <row r="788" spans="1:45" ht="15" customHeight="1" x14ac:dyDescent="0.3">
      <c r="A788" s="123"/>
      <c r="B788" s="123"/>
      <c r="C788" s="124"/>
      <c r="D788" s="109"/>
      <c r="E788" s="829" t="str">
        <f xml:space="preserve"> E$409</f>
        <v>Total net revenue</v>
      </c>
      <c r="F788" s="829">
        <f t="shared" ref="F788:O788" si="687" xml:space="preserve"> F$409</f>
        <v>0</v>
      </c>
      <c r="G788" s="829" t="str">
        <f t="shared" si="687"/>
        <v>$ mn</v>
      </c>
      <c r="H788" s="829">
        <f t="shared" si="687"/>
        <v>0</v>
      </c>
      <c r="I788" s="829">
        <f t="shared" si="687"/>
        <v>12057.227358098444</v>
      </c>
      <c r="J788" s="829">
        <f t="shared" si="687"/>
        <v>0</v>
      </c>
      <c r="K788" s="829">
        <f t="shared" si="687"/>
        <v>0</v>
      </c>
      <c r="L788" s="829">
        <f t="shared" si="687"/>
        <v>0</v>
      </c>
      <c r="M788" s="829">
        <f t="shared" si="687"/>
        <v>0</v>
      </c>
      <c r="N788" s="829">
        <f t="shared" si="687"/>
        <v>0</v>
      </c>
      <c r="O788" s="829">
        <f t="shared" si="687"/>
        <v>0</v>
      </c>
      <c r="P788" s="829">
        <f t="shared" ref="P788:AS788" si="688" xml:space="preserve"> P$409</f>
        <v>0</v>
      </c>
      <c r="Q788" s="829">
        <f t="shared" si="688"/>
        <v>0</v>
      </c>
      <c r="R788" s="829">
        <f t="shared" si="688"/>
        <v>0</v>
      </c>
      <c r="S788" s="829">
        <f t="shared" si="688"/>
        <v>0</v>
      </c>
      <c r="T788" s="829">
        <f t="shared" si="688"/>
        <v>0</v>
      </c>
      <c r="U788" s="829">
        <f t="shared" si="688"/>
        <v>0</v>
      </c>
      <c r="V788" s="829">
        <f t="shared" si="688"/>
        <v>104.68060500000001</v>
      </c>
      <c r="W788" s="829">
        <f t="shared" si="688"/>
        <v>275.12210799999997</v>
      </c>
      <c r="X788" s="829">
        <f t="shared" si="688"/>
        <v>434.33181950432004</v>
      </c>
      <c r="Y788" s="829">
        <f t="shared" si="688"/>
        <v>668.71459861080007</v>
      </c>
      <c r="Z788" s="829">
        <f t="shared" si="688"/>
        <v>1118.6990542788801</v>
      </c>
      <c r="AA788" s="829">
        <f t="shared" si="688"/>
        <v>1042.87854002524</v>
      </c>
      <c r="AB788" s="829">
        <f t="shared" si="688"/>
        <v>1023.5483763295063</v>
      </c>
      <c r="AC788" s="829">
        <f t="shared" si="688"/>
        <v>653.80972292592492</v>
      </c>
      <c r="AD788" s="829">
        <f t="shared" si="688"/>
        <v>950.03036632116414</v>
      </c>
      <c r="AE788" s="829">
        <f t="shared" si="688"/>
        <v>951.6644311595096</v>
      </c>
      <c r="AF788" s="829">
        <f t="shared" si="688"/>
        <v>950.73777764764964</v>
      </c>
      <c r="AG788" s="829">
        <f t="shared" si="688"/>
        <v>949.42243301743406</v>
      </c>
      <c r="AH788" s="829">
        <f t="shared" si="688"/>
        <v>950.81913917116799</v>
      </c>
      <c r="AI788" s="829">
        <f t="shared" si="688"/>
        <v>812.68254925258475</v>
      </c>
      <c r="AJ788" s="829">
        <f t="shared" si="688"/>
        <v>822.69220700892402</v>
      </c>
      <c r="AK788" s="829">
        <f t="shared" si="688"/>
        <v>347.39362984533904</v>
      </c>
      <c r="AL788" s="829">
        <f t="shared" si="688"/>
        <v>0</v>
      </c>
      <c r="AM788" s="829">
        <f t="shared" si="688"/>
        <v>0</v>
      </c>
      <c r="AN788" s="829">
        <f t="shared" si="688"/>
        <v>0</v>
      </c>
      <c r="AO788" s="829">
        <f t="shared" si="688"/>
        <v>0</v>
      </c>
      <c r="AP788" s="829">
        <f t="shared" si="688"/>
        <v>0</v>
      </c>
      <c r="AQ788" s="829">
        <f t="shared" si="688"/>
        <v>0</v>
      </c>
      <c r="AR788" s="829">
        <f t="shared" si="688"/>
        <v>0</v>
      </c>
      <c r="AS788" s="829">
        <f t="shared" si="688"/>
        <v>0</v>
      </c>
    </row>
    <row r="789" spans="1:45" ht="15" customHeight="1" x14ac:dyDescent="0.3">
      <c r="A789" s="180"/>
      <c r="B789" s="180"/>
      <c r="C789" s="181"/>
      <c r="D789" s="36"/>
      <c r="E789" s="104" t="str">
        <f xml:space="preserve"> Inputs_Con!E$86</f>
        <v>Minimum income tax</v>
      </c>
      <c r="F789" s="96">
        <f xml:space="preserve"> Inputs_Con!F$86</f>
        <v>0.01</v>
      </c>
      <c r="G789" s="104" t="str">
        <f xml:space="preserve"> Inputs_Con!G$86</f>
        <v>% of turnover</v>
      </c>
      <c r="H789" s="183"/>
      <c r="I789" s="183"/>
      <c r="J789" s="243"/>
      <c r="K789" s="467"/>
      <c r="L789" s="467"/>
      <c r="M789" s="467"/>
      <c r="N789" s="467"/>
      <c r="O789" s="467"/>
      <c r="P789" s="467"/>
      <c r="Q789" s="467"/>
      <c r="R789" s="467"/>
      <c r="S789" s="467"/>
      <c r="T789" s="467"/>
      <c r="U789" s="467"/>
      <c r="V789" s="467"/>
      <c r="W789" s="467"/>
      <c r="X789" s="467"/>
      <c r="Y789" s="467"/>
      <c r="Z789" s="467"/>
      <c r="AA789" s="467"/>
      <c r="AB789" s="467"/>
      <c r="AC789" s="467"/>
      <c r="AD789" s="467"/>
      <c r="AE789" s="467"/>
      <c r="AF789" s="467"/>
      <c r="AG789" s="467"/>
      <c r="AH789" s="467"/>
      <c r="AI789" s="467"/>
      <c r="AJ789" s="467"/>
      <c r="AK789" s="467"/>
      <c r="AL789" s="467"/>
      <c r="AM789" s="467"/>
      <c r="AN789" s="467"/>
      <c r="AO789" s="467"/>
      <c r="AP789" s="467"/>
      <c r="AQ789" s="467"/>
      <c r="AR789" s="467"/>
      <c r="AS789" s="467"/>
    </row>
    <row r="790" spans="1:45" ht="15" customHeight="1" x14ac:dyDescent="0.3">
      <c r="A790" s="180"/>
      <c r="B790" s="180"/>
      <c r="C790" s="181"/>
      <c r="D790" s="36"/>
      <c r="E790" s="104" t="s">
        <v>792</v>
      </c>
      <c r="F790" s="96"/>
      <c r="G790" s="104"/>
      <c r="H790" s="183"/>
      <c r="I790" s="183">
        <f>SUM(K790:AS790)</f>
        <v>120.57227358098447</v>
      </c>
      <c r="J790" s="243"/>
      <c r="K790" s="467">
        <f t="shared" ref="K790:O790" si="689">K788 * $F789</f>
        <v>0</v>
      </c>
      <c r="L790" s="467">
        <f t="shared" si="689"/>
        <v>0</v>
      </c>
      <c r="M790" s="467">
        <f t="shared" si="689"/>
        <v>0</v>
      </c>
      <c r="N790" s="467">
        <f t="shared" si="689"/>
        <v>0</v>
      </c>
      <c r="O790" s="467">
        <f t="shared" si="689"/>
        <v>0</v>
      </c>
      <c r="P790" s="467">
        <f t="shared" ref="P790:AS790" si="690">P788 * $F789</f>
        <v>0</v>
      </c>
      <c r="Q790" s="467">
        <f t="shared" si="690"/>
        <v>0</v>
      </c>
      <c r="R790" s="467">
        <f t="shared" si="690"/>
        <v>0</v>
      </c>
      <c r="S790" s="467">
        <f t="shared" si="690"/>
        <v>0</v>
      </c>
      <c r="T790" s="467">
        <f t="shared" si="690"/>
        <v>0</v>
      </c>
      <c r="U790" s="467">
        <f t="shared" si="690"/>
        <v>0</v>
      </c>
      <c r="V790" s="467">
        <f t="shared" si="690"/>
        <v>1.0468060500000003</v>
      </c>
      <c r="W790" s="467">
        <f t="shared" si="690"/>
        <v>2.7512210799999997</v>
      </c>
      <c r="X790" s="467">
        <f t="shared" si="690"/>
        <v>4.3433181950432003</v>
      </c>
      <c r="Y790" s="467">
        <f t="shared" si="690"/>
        <v>6.6871459861080007</v>
      </c>
      <c r="Z790" s="467">
        <f t="shared" si="690"/>
        <v>11.186990542788802</v>
      </c>
      <c r="AA790" s="467">
        <f t="shared" si="690"/>
        <v>10.4287854002524</v>
      </c>
      <c r="AB790" s="467">
        <f t="shared" si="690"/>
        <v>10.235483763295063</v>
      </c>
      <c r="AC790" s="467">
        <f t="shared" si="690"/>
        <v>6.5380972292592494</v>
      </c>
      <c r="AD790" s="467">
        <f t="shared" si="690"/>
        <v>9.5003036632116409</v>
      </c>
      <c r="AE790" s="467">
        <f t="shared" si="690"/>
        <v>9.5166443115950958</v>
      </c>
      <c r="AF790" s="467">
        <f t="shared" si="690"/>
        <v>9.5073777764764973</v>
      </c>
      <c r="AG790" s="467">
        <f t="shared" si="690"/>
        <v>9.4942243301743403</v>
      </c>
      <c r="AH790" s="467">
        <f t="shared" si="690"/>
        <v>9.50819139171168</v>
      </c>
      <c r="AI790" s="467">
        <f t="shared" si="690"/>
        <v>8.1268254925258478</v>
      </c>
      <c r="AJ790" s="467">
        <f t="shared" si="690"/>
        <v>8.2269220700892411</v>
      </c>
      <c r="AK790" s="467">
        <f t="shared" si="690"/>
        <v>3.4739362984533906</v>
      </c>
      <c r="AL790" s="467">
        <f t="shared" si="690"/>
        <v>0</v>
      </c>
      <c r="AM790" s="467">
        <f t="shared" si="690"/>
        <v>0</v>
      </c>
      <c r="AN790" s="467">
        <f t="shared" si="690"/>
        <v>0</v>
      </c>
      <c r="AO790" s="467">
        <f t="shared" si="690"/>
        <v>0</v>
      </c>
      <c r="AP790" s="467">
        <f t="shared" si="690"/>
        <v>0</v>
      </c>
      <c r="AQ790" s="467">
        <f t="shared" si="690"/>
        <v>0</v>
      </c>
      <c r="AR790" s="467">
        <f t="shared" si="690"/>
        <v>0</v>
      </c>
      <c r="AS790" s="467">
        <f t="shared" si="690"/>
        <v>0</v>
      </c>
    </row>
    <row r="791" spans="1:45" ht="15" customHeight="1" x14ac:dyDescent="0.3">
      <c r="A791" s="180"/>
      <c r="B791" s="180"/>
      <c r="C791" s="181"/>
      <c r="D791" s="36"/>
      <c r="E791" s="104"/>
      <c r="F791" s="96"/>
      <c r="G791" s="104"/>
      <c r="H791" s="183"/>
      <c r="I791" s="183"/>
      <c r="J791" s="243"/>
      <c r="K791" s="467"/>
      <c r="L791" s="467"/>
      <c r="M791" s="467"/>
      <c r="N791" s="467"/>
      <c r="O791" s="467"/>
      <c r="P791" s="467"/>
      <c r="Q791" s="467"/>
      <c r="R791" s="467"/>
      <c r="S791" s="467"/>
      <c r="T791" s="467"/>
      <c r="U791" s="467"/>
      <c r="V791" s="467"/>
      <c r="W791" s="467"/>
      <c r="X791" s="467"/>
      <c r="Y791" s="467"/>
      <c r="Z791" s="467"/>
      <c r="AA791" s="467"/>
      <c r="AB791" s="467"/>
      <c r="AC791" s="467"/>
      <c r="AD791" s="467"/>
      <c r="AE791" s="467"/>
      <c r="AF791" s="467"/>
      <c r="AG791" s="467"/>
      <c r="AH791" s="467"/>
      <c r="AI791" s="467"/>
      <c r="AJ791" s="467"/>
      <c r="AK791" s="467"/>
      <c r="AL791" s="467"/>
      <c r="AM791" s="467"/>
      <c r="AN791" s="467"/>
      <c r="AO791" s="467"/>
      <c r="AP791" s="467"/>
      <c r="AQ791" s="467"/>
      <c r="AR791" s="467"/>
      <c r="AS791" s="467"/>
    </row>
    <row r="792" spans="1:45" ht="15" customHeight="1" x14ac:dyDescent="0.3">
      <c r="A792" s="180"/>
      <c r="B792" s="180"/>
      <c r="C792" s="181" t="s">
        <v>818</v>
      </c>
      <c r="D792" s="36"/>
      <c r="E792" s="104"/>
      <c r="F792" s="96"/>
      <c r="G792" s="104"/>
      <c r="H792" s="183"/>
      <c r="I792" s="183"/>
      <c r="J792" s="243"/>
      <c r="K792" s="467"/>
      <c r="L792" s="467"/>
      <c r="M792" s="467"/>
      <c r="N792" s="467"/>
      <c r="O792" s="467"/>
      <c r="P792" s="467"/>
      <c r="Q792" s="467"/>
      <c r="R792" s="467"/>
      <c r="S792" s="467"/>
      <c r="T792" s="467"/>
      <c r="U792" s="467"/>
      <c r="V792" s="467"/>
      <c r="W792" s="467"/>
      <c r="X792" s="467"/>
      <c r="Y792" s="467"/>
      <c r="Z792" s="467"/>
      <c r="AA792" s="467"/>
      <c r="AB792" s="467"/>
      <c r="AC792" s="467"/>
      <c r="AD792" s="467"/>
      <c r="AE792" s="467"/>
      <c r="AF792" s="467"/>
      <c r="AG792" s="467"/>
      <c r="AH792" s="467"/>
      <c r="AI792" s="467"/>
      <c r="AJ792" s="467"/>
      <c r="AK792" s="467"/>
      <c r="AL792" s="467"/>
      <c r="AM792" s="467"/>
      <c r="AN792" s="467"/>
      <c r="AO792" s="467"/>
      <c r="AP792" s="467"/>
      <c r="AQ792" s="467"/>
      <c r="AR792" s="467"/>
      <c r="AS792" s="467"/>
    </row>
    <row r="793" spans="1:45" ht="15" customHeight="1" x14ac:dyDescent="0.3">
      <c r="A793" s="180"/>
      <c r="B793" s="180"/>
      <c r="C793" s="181"/>
      <c r="D793" s="36"/>
      <c r="E793" s="40" t="str">
        <f xml:space="preserve"> E$785</f>
        <v>CIT payable (before minimum income tax)</v>
      </c>
      <c r="F793" s="40">
        <f t="shared" ref="F793:O793" si="691" xml:space="preserve"> F$785</f>
        <v>0</v>
      </c>
      <c r="G793" s="40" t="str">
        <f t="shared" si="691"/>
        <v>$ mn</v>
      </c>
      <c r="H793" s="40">
        <f t="shared" si="691"/>
        <v>0</v>
      </c>
      <c r="I793" s="40">
        <f t="shared" si="691"/>
        <v>1293.4964155377447</v>
      </c>
      <c r="J793" s="40">
        <f t="shared" si="691"/>
        <v>0</v>
      </c>
      <c r="K793" s="40">
        <f t="shared" si="691"/>
        <v>0</v>
      </c>
      <c r="L793" s="40">
        <f t="shared" si="691"/>
        <v>0</v>
      </c>
      <c r="M793" s="40">
        <f t="shared" si="691"/>
        <v>0</v>
      </c>
      <c r="N793" s="40">
        <f t="shared" si="691"/>
        <v>0</v>
      </c>
      <c r="O793" s="40">
        <f t="shared" si="691"/>
        <v>0</v>
      </c>
      <c r="P793" s="40">
        <f t="shared" ref="P793:AS793" si="692" xml:space="preserve"> P$785</f>
        <v>0</v>
      </c>
      <c r="Q793" s="40">
        <f t="shared" si="692"/>
        <v>0</v>
      </c>
      <c r="R793" s="40">
        <f t="shared" si="692"/>
        <v>0</v>
      </c>
      <c r="S793" s="40">
        <f t="shared" si="692"/>
        <v>0</v>
      </c>
      <c r="T793" s="40">
        <f t="shared" si="692"/>
        <v>0</v>
      </c>
      <c r="U793" s="40">
        <f t="shared" si="692"/>
        <v>0</v>
      </c>
      <c r="V793" s="40">
        <f t="shared" si="692"/>
        <v>0</v>
      </c>
      <c r="W793" s="40">
        <f t="shared" si="692"/>
        <v>0</v>
      </c>
      <c r="X793" s="40">
        <f t="shared" si="692"/>
        <v>33.206817816867449</v>
      </c>
      <c r="Y793" s="40">
        <f t="shared" si="692"/>
        <v>91.036694725097149</v>
      </c>
      <c r="Z793" s="40">
        <f t="shared" si="692"/>
        <v>229.8752354083783</v>
      </c>
      <c r="AA793" s="40">
        <f t="shared" si="692"/>
        <v>119.32897273914344</v>
      </c>
      <c r="AB793" s="40">
        <f t="shared" si="692"/>
        <v>129.2104604228746</v>
      </c>
      <c r="AC793" s="40">
        <f t="shared" si="692"/>
        <v>13.921063440907346</v>
      </c>
      <c r="AD793" s="40">
        <f t="shared" si="692"/>
        <v>103.64997645515984</v>
      </c>
      <c r="AE793" s="40">
        <f t="shared" si="692"/>
        <v>106.97229478280092</v>
      </c>
      <c r="AF793" s="40">
        <f t="shared" si="692"/>
        <v>103.82695725435919</v>
      </c>
      <c r="AG793" s="40">
        <f t="shared" si="692"/>
        <v>103.5575318677414</v>
      </c>
      <c r="AH793" s="40">
        <f t="shared" si="692"/>
        <v>104.80486722509302</v>
      </c>
      <c r="AI793" s="40">
        <f t="shared" si="692"/>
        <v>63.926497242374566</v>
      </c>
      <c r="AJ793" s="40">
        <f t="shared" si="692"/>
        <v>81.125964306258666</v>
      </c>
      <c r="AK793" s="40">
        <f t="shared" si="692"/>
        <v>9.0530818506887716</v>
      </c>
      <c r="AL793" s="40">
        <f t="shared" si="692"/>
        <v>0</v>
      </c>
      <c r="AM793" s="40">
        <f t="shared" si="692"/>
        <v>0</v>
      </c>
      <c r="AN793" s="40">
        <f t="shared" si="692"/>
        <v>0</v>
      </c>
      <c r="AO793" s="40">
        <f t="shared" si="692"/>
        <v>0</v>
      </c>
      <c r="AP793" s="40">
        <f t="shared" si="692"/>
        <v>0</v>
      </c>
      <c r="AQ793" s="40">
        <f t="shared" si="692"/>
        <v>0</v>
      </c>
      <c r="AR793" s="40">
        <f t="shared" si="692"/>
        <v>0</v>
      </c>
      <c r="AS793" s="40">
        <f t="shared" si="692"/>
        <v>0</v>
      </c>
    </row>
    <row r="794" spans="1:45" ht="15" customHeight="1" x14ac:dyDescent="0.3">
      <c r="A794" s="180"/>
      <c r="B794" s="180"/>
      <c r="C794" s="181"/>
      <c r="D794" s="36"/>
      <c r="E794" s="40" t="str">
        <f xml:space="preserve"> E$790</f>
        <v>Minimum income tax</v>
      </c>
      <c r="F794" s="40">
        <f t="shared" ref="F794:O794" si="693" xml:space="preserve"> F$790</f>
        <v>0</v>
      </c>
      <c r="G794" s="40">
        <f t="shared" si="693"/>
        <v>0</v>
      </c>
      <c r="H794" s="40">
        <f t="shared" si="693"/>
        <v>0</v>
      </c>
      <c r="I794" s="40">
        <f t="shared" si="693"/>
        <v>120.57227358098447</v>
      </c>
      <c r="J794" s="40">
        <f t="shared" si="693"/>
        <v>0</v>
      </c>
      <c r="K794" s="40">
        <f t="shared" si="693"/>
        <v>0</v>
      </c>
      <c r="L794" s="40">
        <f t="shared" si="693"/>
        <v>0</v>
      </c>
      <c r="M794" s="40">
        <f t="shared" si="693"/>
        <v>0</v>
      </c>
      <c r="N794" s="40">
        <f t="shared" si="693"/>
        <v>0</v>
      </c>
      <c r="O794" s="40">
        <f t="shared" si="693"/>
        <v>0</v>
      </c>
      <c r="P794" s="40">
        <f t="shared" ref="P794:AS794" si="694" xml:space="preserve"> P$790</f>
        <v>0</v>
      </c>
      <c r="Q794" s="40">
        <f t="shared" si="694"/>
        <v>0</v>
      </c>
      <c r="R794" s="40">
        <f t="shared" si="694"/>
        <v>0</v>
      </c>
      <c r="S794" s="40">
        <f t="shared" si="694"/>
        <v>0</v>
      </c>
      <c r="T794" s="40">
        <f t="shared" si="694"/>
        <v>0</v>
      </c>
      <c r="U794" s="40">
        <f t="shared" si="694"/>
        <v>0</v>
      </c>
      <c r="V794" s="40">
        <f t="shared" si="694"/>
        <v>1.0468060500000003</v>
      </c>
      <c r="W794" s="40">
        <f t="shared" si="694"/>
        <v>2.7512210799999997</v>
      </c>
      <c r="X794" s="40">
        <f t="shared" si="694"/>
        <v>4.3433181950432003</v>
      </c>
      <c r="Y794" s="40">
        <f t="shared" si="694"/>
        <v>6.6871459861080007</v>
      </c>
      <c r="Z794" s="40">
        <f t="shared" si="694"/>
        <v>11.186990542788802</v>
      </c>
      <c r="AA794" s="40">
        <f t="shared" si="694"/>
        <v>10.4287854002524</v>
      </c>
      <c r="AB794" s="40">
        <f t="shared" si="694"/>
        <v>10.235483763295063</v>
      </c>
      <c r="AC794" s="40">
        <f t="shared" si="694"/>
        <v>6.5380972292592494</v>
      </c>
      <c r="AD794" s="40">
        <f t="shared" si="694"/>
        <v>9.5003036632116409</v>
      </c>
      <c r="AE794" s="40">
        <f t="shared" si="694"/>
        <v>9.5166443115950958</v>
      </c>
      <c r="AF794" s="40">
        <f t="shared" si="694"/>
        <v>9.5073777764764973</v>
      </c>
      <c r="AG794" s="40">
        <f t="shared" si="694"/>
        <v>9.4942243301743403</v>
      </c>
      <c r="AH794" s="40">
        <f t="shared" si="694"/>
        <v>9.50819139171168</v>
      </c>
      <c r="AI794" s="40">
        <f t="shared" si="694"/>
        <v>8.1268254925258478</v>
      </c>
      <c r="AJ794" s="40">
        <f t="shared" si="694"/>
        <v>8.2269220700892411</v>
      </c>
      <c r="AK794" s="40">
        <f t="shared" si="694"/>
        <v>3.4739362984533906</v>
      </c>
      <c r="AL794" s="40">
        <f t="shared" si="694"/>
        <v>0</v>
      </c>
      <c r="AM794" s="40">
        <f t="shared" si="694"/>
        <v>0</v>
      </c>
      <c r="AN794" s="40">
        <f t="shared" si="694"/>
        <v>0</v>
      </c>
      <c r="AO794" s="40">
        <f t="shared" si="694"/>
        <v>0</v>
      </c>
      <c r="AP794" s="40">
        <f t="shared" si="694"/>
        <v>0</v>
      </c>
      <c r="AQ794" s="40">
        <f t="shared" si="694"/>
        <v>0</v>
      </c>
      <c r="AR794" s="40">
        <f t="shared" si="694"/>
        <v>0</v>
      </c>
      <c r="AS794" s="40">
        <f t="shared" si="694"/>
        <v>0</v>
      </c>
    </row>
    <row r="795" spans="1:45" ht="15" customHeight="1" x14ac:dyDescent="0.3">
      <c r="A795" s="394"/>
      <c r="B795" s="394"/>
      <c r="C795" s="395"/>
      <c r="D795" s="34"/>
      <c r="E795" s="34" t="s">
        <v>230</v>
      </c>
      <c r="F795" s="34"/>
      <c r="G795" s="34" t="s">
        <v>346</v>
      </c>
      <c r="H795" s="230"/>
      <c r="I795" s="230">
        <f>SUM(K795:AS795)</f>
        <v>1297.2944426677445</v>
      </c>
      <c r="J795" s="386"/>
      <c r="K795" s="488">
        <f xml:space="preserve"> MAX(K793, K794)</f>
        <v>0</v>
      </c>
      <c r="L795" s="488">
        <f t="shared" ref="L795:AS795" si="695" xml:space="preserve"> MAX(L793, L794)</f>
        <v>0</v>
      </c>
      <c r="M795" s="488">
        <f t="shared" si="695"/>
        <v>0</v>
      </c>
      <c r="N795" s="488">
        <f t="shared" si="695"/>
        <v>0</v>
      </c>
      <c r="O795" s="488">
        <f t="shared" si="695"/>
        <v>0</v>
      </c>
      <c r="P795" s="488">
        <f t="shared" si="695"/>
        <v>0</v>
      </c>
      <c r="Q795" s="488">
        <f t="shared" si="695"/>
        <v>0</v>
      </c>
      <c r="R795" s="488">
        <f t="shared" si="695"/>
        <v>0</v>
      </c>
      <c r="S795" s="488">
        <f t="shared" si="695"/>
        <v>0</v>
      </c>
      <c r="T795" s="488">
        <f t="shared" si="695"/>
        <v>0</v>
      </c>
      <c r="U795" s="488">
        <f t="shared" si="695"/>
        <v>0</v>
      </c>
      <c r="V795" s="488">
        <f t="shared" si="695"/>
        <v>1.0468060500000003</v>
      </c>
      <c r="W795" s="488">
        <f t="shared" si="695"/>
        <v>2.7512210799999997</v>
      </c>
      <c r="X795" s="488">
        <f t="shared" si="695"/>
        <v>33.206817816867449</v>
      </c>
      <c r="Y795" s="488">
        <f t="shared" si="695"/>
        <v>91.036694725097149</v>
      </c>
      <c r="Z795" s="488">
        <f t="shared" si="695"/>
        <v>229.8752354083783</v>
      </c>
      <c r="AA795" s="488">
        <f t="shared" si="695"/>
        <v>119.32897273914344</v>
      </c>
      <c r="AB795" s="488">
        <f t="shared" si="695"/>
        <v>129.2104604228746</v>
      </c>
      <c r="AC795" s="488">
        <f t="shared" si="695"/>
        <v>13.921063440907346</v>
      </c>
      <c r="AD795" s="488">
        <f t="shared" si="695"/>
        <v>103.64997645515984</v>
      </c>
      <c r="AE795" s="488">
        <f t="shared" si="695"/>
        <v>106.97229478280092</v>
      </c>
      <c r="AF795" s="488">
        <f t="shared" si="695"/>
        <v>103.82695725435919</v>
      </c>
      <c r="AG795" s="488">
        <f t="shared" si="695"/>
        <v>103.5575318677414</v>
      </c>
      <c r="AH795" s="488">
        <f t="shared" si="695"/>
        <v>104.80486722509302</v>
      </c>
      <c r="AI795" s="488">
        <f t="shared" si="695"/>
        <v>63.926497242374566</v>
      </c>
      <c r="AJ795" s="488">
        <f t="shared" si="695"/>
        <v>81.125964306258666</v>
      </c>
      <c r="AK795" s="488">
        <f t="shared" si="695"/>
        <v>9.0530818506887716</v>
      </c>
      <c r="AL795" s="488">
        <f t="shared" si="695"/>
        <v>0</v>
      </c>
      <c r="AM795" s="488">
        <f t="shared" si="695"/>
        <v>0</v>
      </c>
      <c r="AN795" s="488">
        <f t="shared" si="695"/>
        <v>0</v>
      </c>
      <c r="AO795" s="488">
        <f t="shared" si="695"/>
        <v>0</v>
      </c>
      <c r="AP795" s="488">
        <f t="shared" si="695"/>
        <v>0</v>
      </c>
      <c r="AQ795" s="488">
        <f t="shared" si="695"/>
        <v>0</v>
      </c>
      <c r="AR795" s="488">
        <f t="shared" si="695"/>
        <v>0</v>
      </c>
      <c r="AS795" s="488">
        <f t="shared" si="695"/>
        <v>0</v>
      </c>
    </row>
    <row r="796" spans="1:45" ht="15" customHeight="1" x14ac:dyDescent="0.3">
      <c r="A796" s="180"/>
      <c r="B796" s="180"/>
      <c r="C796" s="181"/>
      <c r="D796" s="36"/>
      <c r="E796" s="463" t="str">
        <f xml:space="preserve"> E795</f>
        <v>CIT payable</v>
      </c>
      <c r="F796" s="463">
        <f xml:space="preserve"> SUM(Q795:AV795)</f>
        <v>1297.2944426677445</v>
      </c>
      <c r="G796" s="463" t="s">
        <v>346</v>
      </c>
      <c r="H796" s="183"/>
      <c r="I796" s="183"/>
      <c r="J796" s="243"/>
      <c r="K796" s="467"/>
      <c r="L796" s="467"/>
      <c r="M796" s="467"/>
      <c r="N796" s="467"/>
      <c r="O796" s="467"/>
      <c r="P796" s="467"/>
      <c r="Q796" s="467"/>
      <c r="R796" s="467"/>
      <c r="S796" s="467"/>
      <c r="T796" s="467"/>
      <c r="U796" s="467"/>
      <c r="V796" s="467"/>
      <c r="W796" s="467"/>
      <c r="X796" s="467"/>
      <c r="Y796" s="467"/>
      <c r="Z796" s="467"/>
      <c r="AA796" s="467"/>
      <c r="AB796" s="467"/>
      <c r="AC796" s="467"/>
      <c r="AD796" s="467"/>
      <c r="AE796" s="467"/>
      <c r="AF796" s="467"/>
      <c r="AG796" s="467"/>
      <c r="AH796" s="467"/>
      <c r="AI796" s="467"/>
      <c r="AJ796" s="467"/>
      <c r="AK796" s="467"/>
      <c r="AL796" s="467"/>
      <c r="AM796" s="467"/>
      <c r="AN796" s="467"/>
      <c r="AO796" s="467"/>
      <c r="AP796" s="467"/>
      <c r="AQ796" s="467"/>
      <c r="AR796" s="467"/>
      <c r="AS796" s="467"/>
    </row>
    <row r="797" spans="1:45" ht="15" customHeight="1" x14ac:dyDescent="0.3">
      <c r="A797" s="180"/>
      <c r="B797" s="180"/>
      <c r="C797" s="181"/>
      <c r="D797" s="36"/>
      <c r="E797" s="463"/>
      <c r="F797" s="463"/>
      <c r="G797" s="463"/>
      <c r="H797" s="183"/>
      <c r="I797" s="183"/>
      <c r="J797" s="243"/>
      <c r="K797" s="467"/>
      <c r="L797" s="467"/>
      <c r="M797" s="467"/>
      <c r="N797" s="467"/>
      <c r="O797" s="467"/>
      <c r="P797" s="467"/>
      <c r="Q797" s="467"/>
      <c r="R797" s="467"/>
      <c r="S797" s="467"/>
      <c r="T797" s="467"/>
      <c r="U797" s="467"/>
      <c r="V797" s="467"/>
      <c r="W797" s="467"/>
      <c r="X797" s="467"/>
      <c r="Y797" s="467"/>
      <c r="Z797" s="467"/>
      <c r="AA797" s="467"/>
      <c r="AB797" s="467"/>
      <c r="AC797" s="467"/>
      <c r="AD797" s="467"/>
      <c r="AE797" s="467"/>
      <c r="AF797" s="467"/>
      <c r="AG797" s="467"/>
      <c r="AH797" s="467"/>
      <c r="AI797" s="467"/>
      <c r="AJ797" s="467"/>
      <c r="AK797" s="467"/>
      <c r="AL797" s="467"/>
      <c r="AM797" s="467"/>
      <c r="AN797" s="467"/>
      <c r="AO797" s="467"/>
      <c r="AP797" s="467"/>
      <c r="AQ797" s="467"/>
      <c r="AR797" s="467"/>
      <c r="AS797" s="467"/>
    </row>
    <row r="798" spans="1:45" ht="15" customHeight="1" collapsed="1" x14ac:dyDescent="0.3">
      <c r="A798" s="15" t="s">
        <v>981</v>
      </c>
      <c r="B798" s="119"/>
      <c r="C798" s="120"/>
      <c r="D798" s="121"/>
      <c r="E798" s="119"/>
      <c r="F798" s="119"/>
      <c r="G798" s="119"/>
      <c r="H798" s="119"/>
      <c r="I798" s="119"/>
      <c r="J798" s="16"/>
      <c r="K798" s="16"/>
      <c r="L798" s="16"/>
      <c r="M798" s="16"/>
      <c r="N798" s="16"/>
      <c r="O798" s="16"/>
      <c r="P798" s="16"/>
      <c r="Q798" s="16"/>
      <c r="R798" s="16"/>
      <c r="S798" s="16"/>
      <c r="T798" s="16"/>
      <c r="U798" s="16"/>
      <c r="V798" s="16"/>
      <c r="W798" s="16"/>
      <c r="X798" s="16"/>
      <c r="Y798" s="16"/>
      <c r="Z798" s="16"/>
      <c r="AA798" s="16"/>
      <c r="AB798" s="16"/>
      <c r="AC798" s="16"/>
      <c r="AD798" s="16"/>
      <c r="AE798" s="16"/>
      <c r="AF798" s="16"/>
      <c r="AG798" s="16"/>
      <c r="AH798" s="16"/>
      <c r="AI798" s="16"/>
      <c r="AJ798" s="16"/>
      <c r="AK798" s="16"/>
      <c r="AL798" s="16"/>
      <c r="AM798" s="16"/>
      <c r="AN798" s="16"/>
      <c r="AO798" s="16"/>
      <c r="AP798" s="16"/>
      <c r="AQ798" s="16"/>
      <c r="AR798" s="16"/>
      <c r="AS798" s="16"/>
    </row>
    <row r="799" spans="1:45" ht="15" customHeight="1" x14ac:dyDescent="0.3">
      <c r="I799" s="116"/>
      <c r="AL799" s="42"/>
      <c r="AM799" s="42"/>
      <c r="AN799" s="42"/>
      <c r="AO799" s="42"/>
      <c r="AP799" s="42"/>
      <c r="AQ799" s="42"/>
      <c r="AR799" s="42"/>
      <c r="AS799" s="42"/>
    </row>
    <row r="800" spans="1:45" ht="15" customHeight="1" x14ac:dyDescent="0.3">
      <c r="E800" s="538" t="str">
        <f xml:space="preserve"> E$385</f>
        <v>Total gross revenue</v>
      </c>
      <c r="F800" s="538">
        <f t="shared" ref="F800:O800" si="696" xml:space="preserve"> F$385</f>
        <v>0</v>
      </c>
      <c r="G800" s="538" t="str">
        <f t="shared" si="696"/>
        <v>$ mn</v>
      </c>
      <c r="H800" s="538">
        <f t="shared" si="696"/>
        <v>0</v>
      </c>
      <c r="I800" s="538">
        <f t="shared" si="696"/>
        <v>12057.227358098444</v>
      </c>
      <c r="J800" s="538">
        <f t="shared" si="696"/>
        <v>0</v>
      </c>
      <c r="K800" s="538">
        <f t="shared" si="696"/>
        <v>0</v>
      </c>
      <c r="L800" s="538">
        <f t="shared" si="696"/>
        <v>0</v>
      </c>
      <c r="M800" s="538">
        <f t="shared" si="696"/>
        <v>0</v>
      </c>
      <c r="N800" s="538">
        <f t="shared" si="696"/>
        <v>0</v>
      </c>
      <c r="O800" s="538">
        <f t="shared" si="696"/>
        <v>0</v>
      </c>
      <c r="P800" s="538">
        <f t="shared" ref="P800:AS800" si="697" xml:space="preserve"> P$385</f>
        <v>0</v>
      </c>
      <c r="Q800" s="538">
        <f t="shared" si="697"/>
        <v>0</v>
      </c>
      <c r="R800" s="538">
        <f t="shared" si="697"/>
        <v>0</v>
      </c>
      <c r="S800" s="538">
        <f t="shared" si="697"/>
        <v>0</v>
      </c>
      <c r="T800" s="538">
        <f t="shared" si="697"/>
        <v>0</v>
      </c>
      <c r="U800" s="538">
        <f t="shared" si="697"/>
        <v>0</v>
      </c>
      <c r="V800" s="538">
        <f t="shared" si="697"/>
        <v>104.68060500000001</v>
      </c>
      <c r="W800" s="538">
        <f t="shared" si="697"/>
        <v>275.12210799999997</v>
      </c>
      <c r="X800" s="538">
        <f t="shared" si="697"/>
        <v>434.33181950432004</v>
      </c>
      <c r="Y800" s="538">
        <f t="shared" si="697"/>
        <v>668.71459861080007</v>
      </c>
      <c r="Z800" s="538">
        <f t="shared" si="697"/>
        <v>1118.6990542788801</v>
      </c>
      <c r="AA800" s="538">
        <f t="shared" si="697"/>
        <v>1042.87854002524</v>
      </c>
      <c r="AB800" s="538">
        <f t="shared" si="697"/>
        <v>1023.5483763295063</v>
      </c>
      <c r="AC800" s="538">
        <f t="shared" si="697"/>
        <v>653.80972292592492</v>
      </c>
      <c r="AD800" s="538">
        <f t="shared" si="697"/>
        <v>950.03036632116414</v>
      </c>
      <c r="AE800" s="538">
        <f t="shared" si="697"/>
        <v>951.6644311595096</v>
      </c>
      <c r="AF800" s="538">
        <f t="shared" si="697"/>
        <v>950.73777764764964</v>
      </c>
      <c r="AG800" s="538">
        <f t="shared" si="697"/>
        <v>949.42243301743406</v>
      </c>
      <c r="AH800" s="538">
        <f t="shared" si="697"/>
        <v>950.81913917116799</v>
      </c>
      <c r="AI800" s="538">
        <f t="shared" si="697"/>
        <v>812.68254925258475</v>
      </c>
      <c r="AJ800" s="538">
        <f t="shared" si="697"/>
        <v>822.69220700892402</v>
      </c>
      <c r="AK800" s="538">
        <f t="shared" si="697"/>
        <v>347.39362984533904</v>
      </c>
      <c r="AL800" s="538">
        <f t="shared" si="697"/>
        <v>0</v>
      </c>
      <c r="AM800" s="538">
        <f t="shared" si="697"/>
        <v>0</v>
      </c>
      <c r="AN800" s="538">
        <f t="shared" si="697"/>
        <v>0</v>
      </c>
      <c r="AO800" s="538">
        <f t="shared" si="697"/>
        <v>0</v>
      </c>
      <c r="AP800" s="538">
        <f t="shared" si="697"/>
        <v>0</v>
      </c>
      <c r="AQ800" s="538">
        <f t="shared" si="697"/>
        <v>0</v>
      </c>
      <c r="AR800" s="538">
        <f t="shared" si="697"/>
        <v>0</v>
      </c>
      <c r="AS800" s="538">
        <f t="shared" si="697"/>
        <v>0</v>
      </c>
    </row>
    <row r="801" spans="1:45" ht="15" customHeight="1" x14ac:dyDescent="0.3">
      <c r="A801" s="170"/>
      <c r="B801" s="170"/>
      <c r="C801" s="171"/>
      <c r="D801" s="172"/>
      <c r="E801" s="550" t="str">
        <f xml:space="preserve"> COMMUS_23FS_Model!E$154</f>
        <v>Selling costs</v>
      </c>
      <c r="F801" s="550">
        <f xml:space="preserve"> COMMUS_23FS_Model!F$154</f>
        <v>0</v>
      </c>
      <c r="G801" s="550" t="str">
        <f xml:space="preserve"> COMMUS_23FS_Model!G$154</f>
        <v>$ mn</v>
      </c>
      <c r="H801" s="550">
        <f xml:space="preserve"> COMMUS_23FS_Model!H$154</f>
        <v>0</v>
      </c>
      <c r="I801" s="550">
        <f xml:space="preserve"> COMMUS_23FS_Model!I$154</f>
        <v>1007.0272200000003</v>
      </c>
      <c r="J801" s="550">
        <f xml:space="preserve"> COMMUS_23FS_Model!J$154</f>
        <v>0</v>
      </c>
      <c r="K801" s="550">
        <f xml:space="preserve"> COMMUS_23FS_Model!K$154</f>
        <v>0</v>
      </c>
      <c r="L801" s="550">
        <f xml:space="preserve"> COMMUS_23FS_Model!L$154</f>
        <v>0</v>
      </c>
      <c r="M801" s="550">
        <f xml:space="preserve"> COMMUS_23FS_Model!M$154</f>
        <v>0</v>
      </c>
      <c r="N801" s="550">
        <f xml:space="preserve"> COMMUS_23FS_Model!N$154</f>
        <v>0</v>
      </c>
      <c r="O801" s="550">
        <f xml:space="preserve"> COMMUS_23FS_Model!O$154</f>
        <v>0</v>
      </c>
      <c r="P801" s="550">
        <f xml:space="preserve"> COMMUS_23FS_Model!P$154</f>
        <v>0</v>
      </c>
      <c r="Q801" s="550">
        <f xml:space="preserve"> COMMUS_23FS_Model!Q$154</f>
        <v>0</v>
      </c>
      <c r="R801" s="550">
        <f xml:space="preserve"> COMMUS_23FS_Model!R$154</f>
        <v>0</v>
      </c>
      <c r="S801" s="550">
        <f xml:space="preserve"> COMMUS_23FS_Model!S$154</f>
        <v>0</v>
      </c>
      <c r="T801" s="550">
        <f xml:space="preserve"> COMMUS_23FS_Model!T$154</f>
        <v>0</v>
      </c>
      <c r="U801" s="550">
        <f xml:space="preserve"> COMMUS_23FS_Model!U$154</f>
        <v>0</v>
      </c>
      <c r="V801" s="550">
        <f xml:space="preserve"> COMMUS_23FS_Model!V$154</f>
        <v>18.271809999999999</v>
      </c>
      <c r="W801" s="550">
        <f xml:space="preserve"> COMMUS_23FS_Model!W$154</f>
        <v>52.600679999999997</v>
      </c>
      <c r="X801" s="550">
        <f xml:space="preserve"> COMMUS_23FS_Model!X$154</f>
        <v>67.747399999999999</v>
      </c>
      <c r="Y801" s="550">
        <f xml:space="preserve"> COMMUS_23FS_Model!Y$154</f>
        <v>76.065920000000006</v>
      </c>
      <c r="Z801" s="550">
        <f xml:space="preserve"> COMMUS_23FS_Model!Z$154</f>
        <v>106.92619000000001</v>
      </c>
      <c r="AA801" s="550">
        <f xml:space="preserve"> COMMUS_23FS_Model!AA$154</f>
        <v>82.362870000000001</v>
      </c>
      <c r="AB801" s="550">
        <f xml:space="preserve"> COMMUS_23FS_Model!AB$154</f>
        <v>67.318399999999997</v>
      </c>
      <c r="AC801" s="550">
        <f xml:space="preserve"> COMMUS_23FS_Model!AC$154</f>
        <v>65.279364285714308</v>
      </c>
      <c r="AD801" s="550">
        <f xml:space="preserve"> COMMUS_23FS_Model!AD$154</f>
        <v>65.279364285714308</v>
      </c>
      <c r="AE801" s="550">
        <f xml:space="preserve"> COMMUS_23FS_Model!AE$154</f>
        <v>65.279364285714308</v>
      </c>
      <c r="AF801" s="550">
        <f xml:space="preserve"> COMMUS_23FS_Model!AF$154</f>
        <v>65.279364285714308</v>
      </c>
      <c r="AG801" s="550">
        <f xml:space="preserve"> COMMUS_23FS_Model!AG$154</f>
        <v>65.279364285714308</v>
      </c>
      <c r="AH801" s="550">
        <f xml:space="preserve"> COMMUS_23FS_Model!AH$154</f>
        <v>65.279364285714308</v>
      </c>
      <c r="AI801" s="550">
        <f xml:space="preserve"> COMMUS_23FS_Model!AI$154</f>
        <v>65.279364285714308</v>
      </c>
      <c r="AJ801" s="550">
        <f xml:space="preserve"> COMMUS_23FS_Model!AJ$154</f>
        <v>55.726289999999999</v>
      </c>
      <c r="AK801" s="550">
        <f xml:space="preserve"> COMMUS_23FS_Model!AK$154</f>
        <v>23.052109999999999</v>
      </c>
      <c r="AL801" s="550">
        <f xml:space="preserve"> COMMUS_23FS_Model!AL$154</f>
        <v>0</v>
      </c>
      <c r="AM801" s="550">
        <f xml:space="preserve"> COMMUS_23FS_Model!AM$154</f>
        <v>0</v>
      </c>
      <c r="AN801" s="550">
        <f xml:space="preserve"> COMMUS_23FS_Model!AN$154</f>
        <v>0</v>
      </c>
      <c r="AO801" s="550">
        <f xml:space="preserve"> COMMUS_23FS_Model!AO$154</f>
        <v>0</v>
      </c>
      <c r="AP801" s="550">
        <f xml:space="preserve"> COMMUS_23FS_Model!AP$154</f>
        <v>0</v>
      </c>
      <c r="AQ801" s="550">
        <f xml:space="preserve"> COMMUS_23FS_Model!AQ$154</f>
        <v>0</v>
      </c>
      <c r="AR801" s="550">
        <f xml:space="preserve"> COMMUS_23FS_Model!AR$154</f>
        <v>0</v>
      </c>
      <c r="AS801" s="550">
        <f xml:space="preserve"> COMMUS_23FS_Model!AS$154</f>
        <v>0</v>
      </c>
    </row>
    <row r="802" spans="1:45" ht="15" customHeight="1" x14ac:dyDescent="0.3">
      <c r="A802" s="123"/>
      <c r="B802" s="123"/>
      <c r="C802" s="124"/>
      <c r="D802" s="109"/>
      <c r="E802" s="829" t="str">
        <f xml:space="preserve"> E$409</f>
        <v>Total net revenue</v>
      </c>
      <c r="F802" s="829">
        <f t="shared" ref="F802:O802" si="698" xml:space="preserve"> F$409</f>
        <v>0</v>
      </c>
      <c r="G802" s="829" t="str">
        <f t="shared" si="698"/>
        <v>$ mn</v>
      </c>
      <c r="H802" s="829">
        <f t="shared" si="698"/>
        <v>0</v>
      </c>
      <c r="I802" s="829">
        <f t="shared" si="698"/>
        <v>12057.227358098444</v>
      </c>
      <c r="J802" s="829">
        <f t="shared" si="698"/>
        <v>0</v>
      </c>
      <c r="K802" s="829">
        <f t="shared" si="698"/>
        <v>0</v>
      </c>
      <c r="L802" s="829">
        <f t="shared" si="698"/>
        <v>0</v>
      </c>
      <c r="M802" s="829">
        <f t="shared" si="698"/>
        <v>0</v>
      </c>
      <c r="N802" s="829">
        <f t="shared" si="698"/>
        <v>0</v>
      </c>
      <c r="O802" s="829">
        <f t="shared" si="698"/>
        <v>0</v>
      </c>
      <c r="P802" s="829">
        <f t="shared" ref="P802:AS802" si="699" xml:space="preserve"> P$409</f>
        <v>0</v>
      </c>
      <c r="Q802" s="829">
        <f t="shared" si="699"/>
        <v>0</v>
      </c>
      <c r="R802" s="829">
        <f t="shared" si="699"/>
        <v>0</v>
      </c>
      <c r="S802" s="829">
        <f t="shared" si="699"/>
        <v>0</v>
      </c>
      <c r="T802" s="829">
        <f t="shared" si="699"/>
        <v>0</v>
      </c>
      <c r="U802" s="829">
        <f t="shared" si="699"/>
        <v>0</v>
      </c>
      <c r="V802" s="829">
        <f t="shared" si="699"/>
        <v>104.68060500000001</v>
      </c>
      <c r="W802" s="829">
        <f t="shared" si="699"/>
        <v>275.12210799999997</v>
      </c>
      <c r="X802" s="829">
        <f t="shared" si="699"/>
        <v>434.33181950432004</v>
      </c>
      <c r="Y802" s="829">
        <f t="shared" si="699"/>
        <v>668.71459861080007</v>
      </c>
      <c r="Z802" s="829">
        <f t="shared" si="699"/>
        <v>1118.6990542788801</v>
      </c>
      <c r="AA802" s="829">
        <f t="shared" si="699"/>
        <v>1042.87854002524</v>
      </c>
      <c r="AB802" s="829">
        <f t="shared" si="699"/>
        <v>1023.5483763295063</v>
      </c>
      <c r="AC802" s="829">
        <f t="shared" si="699"/>
        <v>653.80972292592492</v>
      </c>
      <c r="AD802" s="829">
        <f t="shared" si="699"/>
        <v>950.03036632116414</v>
      </c>
      <c r="AE802" s="829">
        <f t="shared" si="699"/>
        <v>951.6644311595096</v>
      </c>
      <c r="AF802" s="829">
        <f t="shared" si="699"/>
        <v>950.73777764764964</v>
      </c>
      <c r="AG802" s="829">
        <f t="shared" si="699"/>
        <v>949.42243301743406</v>
      </c>
      <c r="AH802" s="829">
        <f t="shared" si="699"/>
        <v>950.81913917116799</v>
      </c>
      <c r="AI802" s="829">
        <f t="shared" si="699"/>
        <v>812.68254925258475</v>
      </c>
      <c r="AJ802" s="829">
        <f t="shared" si="699"/>
        <v>822.69220700892402</v>
      </c>
      <c r="AK802" s="829">
        <f t="shared" si="699"/>
        <v>347.39362984533904</v>
      </c>
      <c r="AL802" s="829">
        <f t="shared" si="699"/>
        <v>0</v>
      </c>
      <c r="AM802" s="829">
        <f t="shared" si="699"/>
        <v>0</v>
      </c>
      <c r="AN802" s="829">
        <f t="shared" si="699"/>
        <v>0</v>
      </c>
      <c r="AO802" s="829">
        <f t="shared" si="699"/>
        <v>0</v>
      </c>
      <c r="AP802" s="829">
        <f t="shared" si="699"/>
        <v>0</v>
      </c>
      <c r="AQ802" s="829">
        <f t="shared" si="699"/>
        <v>0</v>
      </c>
      <c r="AR802" s="829">
        <f t="shared" si="699"/>
        <v>0</v>
      </c>
      <c r="AS802" s="829">
        <f t="shared" si="699"/>
        <v>0</v>
      </c>
    </row>
    <row r="803" spans="1:45" ht="15" customHeight="1" x14ac:dyDescent="0.3">
      <c r="I803" s="116"/>
      <c r="AL803" s="42"/>
      <c r="AM803" s="42"/>
      <c r="AN803" s="42"/>
      <c r="AO803" s="42"/>
      <c r="AP803" s="42"/>
      <c r="AQ803" s="88"/>
      <c r="AR803" s="88"/>
      <c r="AS803" s="88"/>
    </row>
    <row r="804" spans="1:45" ht="15" customHeight="1" x14ac:dyDescent="0.3">
      <c r="A804" s="244"/>
      <c r="B804" s="244"/>
      <c r="C804" s="245"/>
      <c r="D804" s="246"/>
      <c r="E804" s="127" t="str">
        <f xml:space="preserve"> E$450</f>
        <v>Total royalty</v>
      </c>
      <c r="F804" s="127">
        <f t="shared" ref="F804:O804" si="700" xml:space="preserve"> F$450</f>
        <v>0</v>
      </c>
      <c r="G804" s="127" t="str">
        <f t="shared" si="700"/>
        <v>$ mn</v>
      </c>
      <c r="H804" s="127">
        <f t="shared" si="700"/>
        <v>0</v>
      </c>
      <c r="I804" s="127">
        <f t="shared" si="700"/>
        <v>457.74229303356492</v>
      </c>
      <c r="J804" s="127">
        <f t="shared" si="700"/>
        <v>0</v>
      </c>
      <c r="K804" s="127">
        <f t="shared" si="700"/>
        <v>0</v>
      </c>
      <c r="L804" s="127">
        <f t="shared" si="700"/>
        <v>0</v>
      </c>
      <c r="M804" s="127">
        <f t="shared" si="700"/>
        <v>0</v>
      </c>
      <c r="N804" s="127">
        <f t="shared" si="700"/>
        <v>0</v>
      </c>
      <c r="O804" s="127">
        <f t="shared" si="700"/>
        <v>0</v>
      </c>
      <c r="P804" s="127">
        <f t="shared" ref="P804:AS804" si="701" xml:space="preserve"> P$450</f>
        <v>0</v>
      </c>
      <c r="Q804" s="127">
        <f t="shared" si="701"/>
        <v>0</v>
      </c>
      <c r="R804" s="127">
        <f t="shared" si="701"/>
        <v>0</v>
      </c>
      <c r="S804" s="127">
        <f t="shared" si="701"/>
        <v>0</v>
      </c>
      <c r="T804" s="127">
        <f t="shared" si="701"/>
        <v>0</v>
      </c>
      <c r="U804" s="127">
        <f t="shared" si="701"/>
        <v>0</v>
      </c>
      <c r="V804" s="127">
        <f t="shared" si="701"/>
        <v>2.0936121000000005</v>
      </c>
      <c r="W804" s="127">
        <f t="shared" si="701"/>
        <v>7.5658579699999997</v>
      </c>
      <c r="X804" s="127">
        <f t="shared" si="701"/>
        <v>16.337975890432002</v>
      </c>
      <c r="Y804" s="127">
        <f t="shared" si="701"/>
        <v>25.546252756080001</v>
      </c>
      <c r="Z804" s="127">
        <f t="shared" si="701"/>
        <v>43.023062557888011</v>
      </c>
      <c r="AA804" s="127">
        <f t="shared" si="701"/>
        <v>43.288425837524002</v>
      </c>
      <c r="AB804" s="127">
        <f t="shared" si="701"/>
        <v>39.115809928424305</v>
      </c>
      <c r="AC804" s="127">
        <f t="shared" si="701"/>
        <v>23.714695633259289</v>
      </c>
      <c r="AD804" s="127">
        <f t="shared" si="701"/>
        <v>36.174084346767344</v>
      </c>
      <c r="AE804" s="127">
        <f t="shared" si="701"/>
        <v>36.23127661610944</v>
      </c>
      <c r="AF804" s="127">
        <f t="shared" si="701"/>
        <v>36.198843743194338</v>
      </c>
      <c r="AG804" s="127">
        <f t="shared" si="701"/>
        <v>36.152806681136795</v>
      </c>
      <c r="AH804" s="127">
        <f t="shared" si="701"/>
        <v>36.201691396517489</v>
      </c>
      <c r="AI804" s="127">
        <f t="shared" si="701"/>
        <v>31.43504126794684</v>
      </c>
      <c r="AJ804" s="127">
        <f t="shared" si="701"/>
        <v>31.402193175662639</v>
      </c>
      <c r="AK804" s="127">
        <f t="shared" si="701"/>
        <v>13.260663132622414</v>
      </c>
      <c r="AL804" s="127">
        <f t="shared" si="701"/>
        <v>0</v>
      </c>
      <c r="AM804" s="127">
        <f t="shared" si="701"/>
        <v>0</v>
      </c>
      <c r="AN804" s="127">
        <f t="shared" si="701"/>
        <v>0</v>
      </c>
      <c r="AO804" s="127">
        <f t="shared" si="701"/>
        <v>0</v>
      </c>
      <c r="AP804" s="127">
        <f t="shared" si="701"/>
        <v>0</v>
      </c>
      <c r="AQ804" s="127">
        <f t="shared" si="701"/>
        <v>0</v>
      </c>
      <c r="AR804" s="127">
        <f t="shared" si="701"/>
        <v>0</v>
      </c>
      <c r="AS804" s="127">
        <f t="shared" si="701"/>
        <v>0</v>
      </c>
    </row>
    <row r="805" spans="1:45" ht="15" customHeight="1" x14ac:dyDescent="0.3">
      <c r="A805" s="244"/>
      <c r="B805" s="244"/>
      <c r="C805" s="245"/>
      <c r="D805" s="246"/>
      <c r="E805" s="127" t="str">
        <f xml:space="preserve"> E$670</f>
        <v>Turnover tax (Chiffre d'Affaires 0.3PC)</v>
      </c>
      <c r="F805" s="127">
        <f t="shared" ref="F805:AS805" si="702" xml:space="preserve"> F$670</f>
        <v>0</v>
      </c>
      <c r="G805" s="127" t="str">
        <f t="shared" si="702"/>
        <v>$ mn</v>
      </c>
      <c r="H805" s="127">
        <f t="shared" si="702"/>
        <v>0</v>
      </c>
      <c r="I805" s="127">
        <f t="shared" si="702"/>
        <v>36.17168207429534</v>
      </c>
      <c r="J805" s="127">
        <f t="shared" si="702"/>
        <v>0</v>
      </c>
      <c r="K805" s="127">
        <f t="shared" si="702"/>
        <v>0</v>
      </c>
      <c r="L805" s="127">
        <f t="shared" si="702"/>
        <v>0</v>
      </c>
      <c r="M805" s="127">
        <f t="shared" si="702"/>
        <v>0</v>
      </c>
      <c r="N805" s="127">
        <f t="shared" si="702"/>
        <v>0</v>
      </c>
      <c r="O805" s="127">
        <f t="shared" si="702"/>
        <v>0</v>
      </c>
      <c r="P805" s="127">
        <f t="shared" si="702"/>
        <v>0</v>
      </c>
      <c r="Q805" s="127">
        <f t="shared" si="702"/>
        <v>0</v>
      </c>
      <c r="R805" s="127">
        <f t="shared" si="702"/>
        <v>0</v>
      </c>
      <c r="S805" s="127">
        <f t="shared" si="702"/>
        <v>0</v>
      </c>
      <c r="T805" s="127">
        <f t="shared" si="702"/>
        <v>0</v>
      </c>
      <c r="U805" s="127">
        <f t="shared" si="702"/>
        <v>0</v>
      </c>
      <c r="V805" s="127">
        <f t="shared" si="702"/>
        <v>0.31404181500000006</v>
      </c>
      <c r="W805" s="127">
        <f t="shared" si="702"/>
        <v>0.82536632399999987</v>
      </c>
      <c r="X805" s="127">
        <f t="shared" si="702"/>
        <v>1.3029954585129602</v>
      </c>
      <c r="Y805" s="127">
        <f t="shared" si="702"/>
        <v>2.0061437958324002</v>
      </c>
      <c r="Z805" s="127">
        <f t="shared" si="702"/>
        <v>3.3560971628366403</v>
      </c>
      <c r="AA805" s="127">
        <f t="shared" si="702"/>
        <v>3.1286356200757202</v>
      </c>
      <c r="AB805" s="127">
        <f t="shared" si="702"/>
        <v>3.0706451289885188</v>
      </c>
      <c r="AC805" s="127">
        <f t="shared" si="702"/>
        <v>1.9614291687777747</v>
      </c>
      <c r="AD805" s="127">
        <f t="shared" si="702"/>
        <v>2.8500910989634924</v>
      </c>
      <c r="AE805" s="127">
        <f t="shared" si="702"/>
        <v>2.8549932934785289</v>
      </c>
      <c r="AF805" s="127">
        <f t="shared" si="702"/>
        <v>2.8522133329429491</v>
      </c>
      <c r="AG805" s="127">
        <f t="shared" si="702"/>
        <v>2.8482672990523024</v>
      </c>
      <c r="AH805" s="127">
        <f t="shared" si="702"/>
        <v>2.852457417513504</v>
      </c>
      <c r="AI805" s="127">
        <f t="shared" si="702"/>
        <v>2.4380476477577542</v>
      </c>
      <c r="AJ805" s="127">
        <f t="shared" si="702"/>
        <v>2.4680766210267722</v>
      </c>
      <c r="AK805" s="127">
        <f t="shared" si="702"/>
        <v>1.0421808895360172</v>
      </c>
      <c r="AL805" s="127">
        <f t="shared" si="702"/>
        <v>0</v>
      </c>
      <c r="AM805" s="127">
        <f t="shared" si="702"/>
        <v>0</v>
      </c>
      <c r="AN805" s="127">
        <f t="shared" si="702"/>
        <v>0</v>
      </c>
      <c r="AO805" s="127">
        <f t="shared" si="702"/>
        <v>0</v>
      </c>
      <c r="AP805" s="127">
        <f t="shared" si="702"/>
        <v>0</v>
      </c>
      <c r="AQ805" s="127">
        <f t="shared" si="702"/>
        <v>0</v>
      </c>
      <c r="AR805" s="127">
        <f t="shared" si="702"/>
        <v>0</v>
      </c>
      <c r="AS805" s="127">
        <f t="shared" si="702"/>
        <v>0</v>
      </c>
    </row>
    <row r="806" spans="1:45" ht="15" customHeight="1" x14ac:dyDescent="0.3">
      <c r="E806" s="538" t="str">
        <f xml:space="preserve"> E$520</f>
        <v>Operating costs, including Sens.</v>
      </c>
      <c r="F806" s="538" t="str">
        <f t="shared" ref="F806:O806" si="703" xml:space="preserve"> F$520</f>
        <v>FS</v>
      </c>
      <c r="G806" s="538" t="str">
        <f t="shared" si="703"/>
        <v>$ mn</v>
      </c>
      <c r="H806" s="538">
        <f t="shared" si="703"/>
        <v>0</v>
      </c>
      <c r="I806" s="538">
        <f t="shared" si="703"/>
        <v>6417.4732060838423</v>
      </c>
      <c r="J806" s="538">
        <f t="shared" si="703"/>
        <v>0</v>
      </c>
      <c r="K806" s="538">
        <f t="shared" si="703"/>
        <v>0</v>
      </c>
      <c r="L806" s="538">
        <f t="shared" si="703"/>
        <v>0</v>
      </c>
      <c r="M806" s="538">
        <f t="shared" si="703"/>
        <v>0</v>
      </c>
      <c r="N806" s="538">
        <f t="shared" si="703"/>
        <v>0</v>
      </c>
      <c r="O806" s="538">
        <f t="shared" si="703"/>
        <v>0</v>
      </c>
      <c r="P806" s="538">
        <f t="shared" ref="P806:AS806" si="704" xml:space="preserve"> P$520</f>
        <v>0</v>
      </c>
      <c r="Q806" s="538">
        <f t="shared" si="704"/>
        <v>0</v>
      </c>
      <c r="R806" s="538">
        <f t="shared" si="704"/>
        <v>0</v>
      </c>
      <c r="S806" s="538">
        <f t="shared" si="704"/>
        <v>0</v>
      </c>
      <c r="T806" s="538">
        <f t="shared" si="704"/>
        <v>0</v>
      </c>
      <c r="U806" s="538">
        <f t="shared" si="704"/>
        <v>0</v>
      </c>
      <c r="V806" s="538">
        <f t="shared" si="704"/>
        <v>92.547447899999995</v>
      </c>
      <c r="W806" s="538">
        <f t="shared" si="704"/>
        <v>111.20828203000001</v>
      </c>
      <c r="X806" s="538">
        <f t="shared" si="704"/>
        <v>222.95433410956798</v>
      </c>
      <c r="Y806" s="538">
        <f t="shared" si="704"/>
        <v>275.07933724392001</v>
      </c>
      <c r="Z806" s="538">
        <f t="shared" si="704"/>
        <v>236.842377442112</v>
      </c>
      <c r="AA806" s="538">
        <f t="shared" si="704"/>
        <v>521.23181416247598</v>
      </c>
      <c r="AB806" s="538">
        <f t="shared" si="704"/>
        <v>458.85614080454303</v>
      </c>
      <c r="AC806" s="538">
        <f t="shared" si="704"/>
        <v>498.26409575079998</v>
      </c>
      <c r="AD806" s="538">
        <f t="shared" si="704"/>
        <v>499.39449196549901</v>
      </c>
      <c r="AE806" s="538">
        <f t="shared" si="704"/>
        <v>511.64191424046072</v>
      </c>
      <c r="AF806" s="538">
        <f t="shared" si="704"/>
        <v>522.47681812965493</v>
      </c>
      <c r="AG806" s="538">
        <f t="shared" si="704"/>
        <v>533.79306524069909</v>
      </c>
      <c r="AH806" s="538">
        <f t="shared" si="704"/>
        <v>545.3125501316897</v>
      </c>
      <c r="AI806" s="538">
        <f t="shared" si="704"/>
        <v>563.04437690960037</v>
      </c>
      <c r="AJ806" s="538">
        <f t="shared" si="704"/>
        <v>520.87013281239911</v>
      </c>
      <c r="AK806" s="538">
        <f t="shared" si="704"/>
        <v>303.9560272104207</v>
      </c>
      <c r="AL806" s="538">
        <f t="shared" si="704"/>
        <v>0</v>
      </c>
      <c r="AM806" s="538">
        <f t="shared" si="704"/>
        <v>0</v>
      </c>
      <c r="AN806" s="538">
        <f t="shared" si="704"/>
        <v>0</v>
      </c>
      <c r="AO806" s="538">
        <f t="shared" si="704"/>
        <v>0</v>
      </c>
      <c r="AP806" s="538">
        <f t="shared" si="704"/>
        <v>0</v>
      </c>
      <c r="AQ806" s="538">
        <f t="shared" si="704"/>
        <v>0</v>
      </c>
      <c r="AR806" s="538">
        <f t="shared" si="704"/>
        <v>0</v>
      </c>
      <c r="AS806" s="538">
        <f t="shared" si="704"/>
        <v>0</v>
      </c>
    </row>
    <row r="807" spans="1:45" ht="15" customHeight="1" x14ac:dyDescent="0.3">
      <c r="A807" s="244"/>
      <c r="B807" s="244"/>
      <c r="C807" s="245"/>
      <c r="D807" s="246"/>
      <c r="E807" s="573" t="str">
        <f t="shared" ref="E807:AS807" si="705" xml:space="preserve"> E$566</f>
        <v>Capital costs, including Sens.</v>
      </c>
      <c r="F807" s="573" t="str">
        <f t="shared" si="705"/>
        <v>FS</v>
      </c>
      <c r="G807" s="573" t="str">
        <f t="shared" si="705"/>
        <v>$ mn</v>
      </c>
      <c r="H807" s="573">
        <f t="shared" si="705"/>
        <v>0</v>
      </c>
      <c r="I807" s="573">
        <f t="shared" si="705"/>
        <v>831.24520052188814</v>
      </c>
      <c r="J807" s="573">
        <f t="shared" si="705"/>
        <v>0</v>
      </c>
      <c r="K807" s="573">
        <f t="shared" si="705"/>
        <v>0</v>
      </c>
      <c r="L807" s="573">
        <f t="shared" si="705"/>
        <v>0</v>
      </c>
      <c r="M807" s="573">
        <f t="shared" si="705"/>
        <v>0</v>
      </c>
      <c r="N807" s="573">
        <f t="shared" si="705"/>
        <v>0</v>
      </c>
      <c r="O807" s="573">
        <f t="shared" si="705"/>
        <v>0</v>
      </c>
      <c r="P807" s="573">
        <f t="shared" si="705"/>
        <v>0</v>
      </c>
      <c r="Q807" s="573">
        <f t="shared" si="705"/>
        <v>0</v>
      </c>
      <c r="R807" s="573">
        <f t="shared" si="705"/>
        <v>0</v>
      </c>
      <c r="S807" s="573">
        <f t="shared" si="705"/>
        <v>0</v>
      </c>
      <c r="T807" s="573">
        <f t="shared" si="705"/>
        <v>0</v>
      </c>
      <c r="U807" s="573">
        <f t="shared" si="705"/>
        <v>0</v>
      </c>
      <c r="V807" s="573">
        <f t="shared" si="705"/>
        <v>245.02819335000001</v>
      </c>
      <c r="W807" s="573">
        <f t="shared" si="705"/>
        <v>111.33372773000001</v>
      </c>
      <c r="X807" s="573">
        <f t="shared" si="705"/>
        <v>148.28970892000001</v>
      </c>
      <c r="Y807" s="573">
        <f t="shared" si="705"/>
        <v>4.7877627</v>
      </c>
      <c r="Z807" s="573">
        <f t="shared" si="705"/>
        <v>81.812290399999995</v>
      </c>
      <c r="AA807" s="573">
        <f t="shared" si="705"/>
        <v>100.30613584</v>
      </c>
      <c r="AB807" s="573">
        <f t="shared" si="705"/>
        <v>103.88373304536523</v>
      </c>
      <c r="AC807" s="573">
        <f t="shared" si="705"/>
        <v>35.80364853652285</v>
      </c>
      <c r="AD807" s="573">
        <f t="shared" si="705"/>
        <v>0</v>
      </c>
      <c r="AE807" s="573">
        <f t="shared" si="705"/>
        <v>0</v>
      </c>
      <c r="AF807" s="573">
        <f t="shared" si="705"/>
        <v>0</v>
      </c>
      <c r="AG807" s="573">
        <f t="shared" si="705"/>
        <v>0</v>
      </c>
      <c r="AH807" s="573">
        <f t="shared" si="705"/>
        <v>0</v>
      </c>
      <c r="AI807" s="573">
        <f t="shared" si="705"/>
        <v>0</v>
      </c>
      <c r="AJ807" s="573">
        <f t="shared" si="705"/>
        <v>0</v>
      </c>
      <c r="AK807" s="573">
        <f t="shared" si="705"/>
        <v>0</v>
      </c>
      <c r="AL807" s="573">
        <f t="shared" si="705"/>
        <v>0</v>
      </c>
      <c r="AM807" s="573">
        <f t="shared" si="705"/>
        <v>0</v>
      </c>
      <c r="AN807" s="573">
        <f t="shared" si="705"/>
        <v>0</v>
      </c>
      <c r="AO807" s="573">
        <f t="shared" si="705"/>
        <v>0</v>
      </c>
      <c r="AP807" s="573">
        <f t="shared" si="705"/>
        <v>0</v>
      </c>
      <c r="AQ807" s="573">
        <f t="shared" si="705"/>
        <v>0</v>
      </c>
      <c r="AR807" s="573">
        <f t="shared" si="705"/>
        <v>0</v>
      </c>
      <c r="AS807" s="573">
        <f t="shared" si="705"/>
        <v>0</v>
      </c>
    </row>
    <row r="808" spans="1:45" ht="15" customHeight="1" x14ac:dyDescent="0.3">
      <c r="E808" s="40" t="str">
        <f t="shared" ref="E808:J808" si="706" xml:space="preserve"> E$795</f>
        <v>CIT payable</v>
      </c>
      <c r="F808" s="40">
        <f t="shared" si="706"/>
        <v>0</v>
      </c>
      <c r="G808" s="40" t="str">
        <f t="shared" si="706"/>
        <v>$ mn</v>
      </c>
      <c r="H808" s="40">
        <f t="shared" si="706"/>
        <v>0</v>
      </c>
      <c r="I808" s="40">
        <f t="shared" si="706"/>
        <v>1297.2944426677445</v>
      </c>
      <c r="J808" s="40">
        <f t="shared" si="706"/>
        <v>0</v>
      </c>
      <c r="K808" s="40">
        <f t="shared" ref="K808:O808" si="707" xml:space="preserve"> K$795</f>
        <v>0</v>
      </c>
      <c r="L808" s="40">
        <f t="shared" si="707"/>
        <v>0</v>
      </c>
      <c r="M808" s="40">
        <f t="shared" si="707"/>
        <v>0</v>
      </c>
      <c r="N808" s="40">
        <f t="shared" si="707"/>
        <v>0</v>
      </c>
      <c r="O808" s="40">
        <f t="shared" si="707"/>
        <v>0</v>
      </c>
      <c r="P808" s="40">
        <f t="shared" ref="P808:AS808" si="708" xml:space="preserve"> P$795</f>
        <v>0</v>
      </c>
      <c r="Q808" s="40">
        <f t="shared" si="708"/>
        <v>0</v>
      </c>
      <c r="R808" s="40">
        <f t="shared" si="708"/>
        <v>0</v>
      </c>
      <c r="S808" s="40">
        <f t="shared" si="708"/>
        <v>0</v>
      </c>
      <c r="T808" s="40">
        <f t="shared" si="708"/>
        <v>0</v>
      </c>
      <c r="U808" s="40">
        <f t="shared" si="708"/>
        <v>0</v>
      </c>
      <c r="V808" s="40">
        <f t="shared" si="708"/>
        <v>1.0468060500000003</v>
      </c>
      <c r="W808" s="40">
        <f t="shared" si="708"/>
        <v>2.7512210799999997</v>
      </c>
      <c r="X808" s="40">
        <f t="shared" si="708"/>
        <v>33.206817816867449</v>
      </c>
      <c r="Y808" s="40">
        <f t="shared" si="708"/>
        <v>91.036694725097149</v>
      </c>
      <c r="Z808" s="40">
        <f t="shared" si="708"/>
        <v>229.8752354083783</v>
      </c>
      <c r="AA808" s="40">
        <f t="shared" si="708"/>
        <v>119.32897273914344</v>
      </c>
      <c r="AB808" s="40">
        <f t="shared" si="708"/>
        <v>129.2104604228746</v>
      </c>
      <c r="AC808" s="40">
        <f t="shared" si="708"/>
        <v>13.921063440907346</v>
      </c>
      <c r="AD808" s="40">
        <f t="shared" si="708"/>
        <v>103.64997645515984</v>
      </c>
      <c r="AE808" s="40">
        <f t="shared" si="708"/>
        <v>106.97229478280092</v>
      </c>
      <c r="AF808" s="40">
        <f t="shared" si="708"/>
        <v>103.82695725435919</v>
      </c>
      <c r="AG808" s="40">
        <f t="shared" si="708"/>
        <v>103.5575318677414</v>
      </c>
      <c r="AH808" s="40">
        <f t="shared" si="708"/>
        <v>104.80486722509302</v>
      </c>
      <c r="AI808" s="40">
        <f t="shared" si="708"/>
        <v>63.926497242374566</v>
      </c>
      <c r="AJ808" s="40">
        <f t="shared" si="708"/>
        <v>81.125964306258666</v>
      </c>
      <c r="AK808" s="40">
        <f t="shared" si="708"/>
        <v>9.0530818506887716</v>
      </c>
      <c r="AL808" s="40">
        <f t="shared" si="708"/>
        <v>0</v>
      </c>
      <c r="AM808" s="40">
        <f t="shared" si="708"/>
        <v>0</v>
      </c>
      <c r="AN808" s="40">
        <f t="shared" si="708"/>
        <v>0</v>
      </c>
      <c r="AO808" s="40">
        <f t="shared" si="708"/>
        <v>0</v>
      </c>
      <c r="AP808" s="40">
        <f t="shared" si="708"/>
        <v>0</v>
      </c>
      <c r="AQ808" s="40">
        <f t="shared" si="708"/>
        <v>0</v>
      </c>
      <c r="AR808" s="40">
        <f t="shared" si="708"/>
        <v>0</v>
      </c>
      <c r="AS808" s="40">
        <f t="shared" si="708"/>
        <v>0</v>
      </c>
    </row>
    <row r="809" spans="1:45" ht="15" customHeight="1" x14ac:dyDescent="0.3">
      <c r="E809" s="40" t="str">
        <f xml:space="preserve"> E$753</f>
        <v>Special Tax On Excess Profits</v>
      </c>
      <c r="F809" s="40">
        <f t="shared" ref="F809:O809" si="709" xml:space="preserve"> F$753</f>
        <v>0</v>
      </c>
      <c r="G809" s="40" t="str">
        <f t="shared" si="709"/>
        <v>$ mn</v>
      </c>
      <c r="H809" s="40">
        <f t="shared" si="709"/>
        <v>0</v>
      </c>
      <c r="I809" s="40">
        <f t="shared" si="709"/>
        <v>0</v>
      </c>
      <c r="J809" s="40">
        <f t="shared" si="709"/>
        <v>0</v>
      </c>
      <c r="K809" s="40">
        <f t="shared" si="709"/>
        <v>0</v>
      </c>
      <c r="L809" s="40">
        <f t="shared" si="709"/>
        <v>0</v>
      </c>
      <c r="M809" s="40">
        <f t="shared" si="709"/>
        <v>0</v>
      </c>
      <c r="N809" s="40">
        <f t="shared" si="709"/>
        <v>0</v>
      </c>
      <c r="O809" s="40">
        <f t="shared" si="709"/>
        <v>0</v>
      </c>
      <c r="P809" s="40">
        <f t="shared" ref="P809:AS809" si="710" xml:space="preserve"> P$753</f>
        <v>0</v>
      </c>
      <c r="Q809" s="40">
        <f t="shared" si="710"/>
        <v>0</v>
      </c>
      <c r="R809" s="40">
        <f t="shared" si="710"/>
        <v>0</v>
      </c>
      <c r="S809" s="40">
        <f t="shared" si="710"/>
        <v>0</v>
      </c>
      <c r="T809" s="40">
        <f t="shared" si="710"/>
        <v>0</v>
      </c>
      <c r="U809" s="40">
        <f t="shared" si="710"/>
        <v>0</v>
      </c>
      <c r="V809" s="40">
        <f t="shared" si="710"/>
        <v>0</v>
      </c>
      <c r="W809" s="40">
        <f t="shared" si="710"/>
        <v>0</v>
      </c>
      <c r="X809" s="40">
        <f t="shared" si="710"/>
        <v>0</v>
      </c>
      <c r="Y809" s="40">
        <f t="shared" si="710"/>
        <v>0</v>
      </c>
      <c r="Z809" s="40">
        <f t="shared" si="710"/>
        <v>0</v>
      </c>
      <c r="AA809" s="40">
        <f t="shared" si="710"/>
        <v>0</v>
      </c>
      <c r="AB809" s="40">
        <f t="shared" si="710"/>
        <v>0</v>
      </c>
      <c r="AC809" s="40">
        <f t="shared" si="710"/>
        <v>0</v>
      </c>
      <c r="AD809" s="40">
        <f t="shared" si="710"/>
        <v>0</v>
      </c>
      <c r="AE809" s="40">
        <f t="shared" si="710"/>
        <v>0</v>
      </c>
      <c r="AF809" s="40">
        <f t="shared" si="710"/>
        <v>0</v>
      </c>
      <c r="AG809" s="40">
        <f t="shared" si="710"/>
        <v>0</v>
      </c>
      <c r="AH809" s="40">
        <f t="shared" si="710"/>
        <v>0</v>
      </c>
      <c r="AI809" s="40">
        <f t="shared" si="710"/>
        <v>0</v>
      </c>
      <c r="AJ809" s="40">
        <f t="shared" si="710"/>
        <v>0</v>
      </c>
      <c r="AK809" s="40">
        <f t="shared" si="710"/>
        <v>0</v>
      </c>
      <c r="AL809" s="40">
        <f t="shared" si="710"/>
        <v>0</v>
      </c>
      <c r="AM809" s="40">
        <f t="shared" si="710"/>
        <v>0</v>
      </c>
      <c r="AN809" s="40">
        <f t="shared" si="710"/>
        <v>0</v>
      </c>
      <c r="AO809" s="40">
        <f t="shared" si="710"/>
        <v>0</v>
      </c>
      <c r="AP809" s="40">
        <f t="shared" si="710"/>
        <v>0</v>
      </c>
      <c r="AQ809" s="40">
        <f t="shared" si="710"/>
        <v>0</v>
      </c>
      <c r="AR809" s="40">
        <f t="shared" si="710"/>
        <v>0</v>
      </c>
      <c r="AS809" s="40">
        <f t="shared" si="710"/>
        <v>0</v>
      </c>
    </row>
    <row r="810" spans="1:45" ht="15" customHeight="1" x14ac:dyDescent="0.3">
      <c r="A810" s="123"/>
      <c r="B810" s="123"/>
      <c r="C810" s="124"/>
      <c r="D810" s="109"/>
      <c r="E810" s="111" t="s">
        <v>819</v>
      </c>
      <c r="F810" s="111"/>
      <c r="G810" s="111" t="s">
        <v>346</v>
      </c>
      <c r="H810" s="111"/>
      <c r="I810" s="111">
        <f>SUM(K810:AS810)</f>
        <v>9039.9268243813367</v>
      </c>
      <c r="J810" s="111"/>
      <c r="K810" s="111">
        <f t="shared" ref="K810:O810" si="711">SUM(K804:K809)</f>
        <v>0</v>
      </c>
      <c r="L810" s="111">
        <f t="shared" si="711"/>
        <v>0</v>
      </c>
      <c r="M810" s="111">
        <f t="shared" si="711"/>
        <v>0</v>
      </c>
      <c r="N810" s="111">
        <f t="shared" si="711"/>
        <v>0</v>
      </c>
      <c r="O810" s="111">
        <f t="shared" si="711"/>
        <v>0</v>
      </c>
      <c r="P810" s="111">
        <f>SUM(P804:P809)</f>
        <v>0</v>
      </c>
      <c r="Q810" s="111">
        <f t="shared" ref="Q810:AS810" si="712">SUM(Q804:Q809)</f>
        <v>0</v>
      </c>
      <c r="R810" s="111">
        <f t="shared" si="712"/>
        <v>0</v>
      </c>
      <c r="S810" s="111">
        <f t="shared" si="712"/>
        <v>0</v>
      </c>
      <c r="T810" s="111">
        <f t="shared" si="712"/>
        <v>0</v>
      </c>
      <c r="U810" s="111">
        <f t="shared" si="712"/>
        <v>0</v>
      </c>
      <c r="V810" s="111">
        <f t="shared" si="712"/>
        <v>341.030101215</v>
      </c>
      <c r="W810" s="111">
        <f t="shared" si="712"/>
        <v>233.68445513400002</v>
      </c>
      <c r="X810" s="111">
        <f t="shared" si="712"/>
        <v>422.09183219538039</v>
      </c>
      <c r="Y810" s="111">
        <f t="shared" si="712"/>
        <v>398.45619122092955</v>
      </c>
      <c r="Z810" s="111">
        <f t="shared" si="712"/>
        <v>594.90906297121489</v>
      </c>
      <c r="AA810" s="111">
        <f t="shared" si="712"/>
        <v>787.28398419921916</v>
      </c>
      <c r="AB810" s="111">
        <f>SUM(AB804:AB809)</f>
        <v>734.13678933019571</v>
      </c>
      <c r="AC810" s="111">
        <f t="shared" si="712"/>
        <v>573.66493253026715</v>
      </c>
      <c r="AD810" s="111">
        <f t="shared" si="712"/>
        <v>642.06864386638972</v>
      </c>
      <c r="AE810" s="111">
        <f t="shared" si="712"/>
        <v>657.70047893284959</v>
      </c>
      <c r="AF810" s="111">
        <f t="shared" si="712"/>
        <v>665.35483246015144</v>
      </c>
      <c r="AG810" s="111">
        <f t="shared" si="712"/>
        <v>676.35167108862959</v>
      </c>
      <c r="AH810" s="111">
        <f t="shared" si="712"/>
        <v>689.17156617081378</v>
      </c>
      <c r="AI810" s="111">
        <f t="shared" si="712"/>
        <v>660.84396306767951</v>
      </c>
      <c r="AJ810" s="111">
        <f t="shared" si="712"/>
        <v>635.86636691534716</v>
      </c>
      <c r="AK810" s="111">
        <f t="shared" si="712"/>
        <v>327.31195308326789</v>
      </c>
      <c r="AL810" s="111">
        <f t="shared" si="712"/>
        <v>0</v>
      </c>
      <c r="AM810" s="111">
        <f t="shared" si="712"/>
        <v>0</v>
      </c>
      <c r="AN810" s="111">
        <f t="shared" si="712"/>
        <v>0</v>
      </c>
      <c r="AO810" s="111">
        <f t="shared" si="712"/>
        <v>0</v>
      </c>
      <c r="AP810" s="111">
        <f t="shared" si="712"/>
        <v>0</v>
      </c>
      <c r="AQ810" s="111">
        <f t="shared" si="712"/>
        <v>0</v>
      </c>
      <c r="AR810" s="111">
        <f t="shared" si="712"/>
        <v>0</v>
      </c>
      <c r="AS810" s="111">
        <f t="shared" si="712"/>
        <v>0</v>
      </c>
    </row>
    <row r="811" spans="1:45" ht="15" customHeight="1" x14ac:dyDescent="0.3">
      <c r="E811" s="40"/>
      <c r="F811" s="40"/>
      <c r="G811" s="40"/>
      <c r="H811" s="40"/>
      <c r="I811" s="40"/>
      <c r="J811" s="40"/>
      <c r="K811" s="40"/>
      <c r="L811" s="40"/>
      <c r="M811" s="40"/>
      <c r="N811" s="40"/>
      <c r="O811" s="40"/>
      <c r="P811" s="40"/>
      <c r="Q811" s="40"/>
      <c r="R811" s="40"/>
      <c r="S811" s="40"/>
      <c r="T811" s="40"/>
      <c r="U811" s="40"/>
      <c r="V811" s="40"/>
      <c r="W811" s="40"/>
      <c r="X811" s="40"/>
      <c r="Y811" s="40"/>
      <c r="Z811" s="40"/>
      <c r="AA811" s="40"/>
      <c r="AB811" s="40"/>
      <c r="AC811" s="40"/>
      <c r="AD811" s="40"/>
      <c r="AE811" s="40"/>
      <c r="AF811" s="40"/>
      <c r="AG811" s="40"/>
      <c r="AH811" s="40"/>
      <c r="AI811" s="40"/>
      <c r="AJ811" s="40"/>
      <c r="AK811" s="40"/>
      <c r="AL811" s="40"/>
      <c r="AM811" s="40"/>
      <c r="AN811" s="40"/>
      <c r="AO811" s="40"/>
      <c r="AP811" s="40"/>
      <c r="AQ811" s="40"/>
      <c r="AR811" s="40"/>
      <c r="AS811" s="40"/>
    </row>
    <row r="812" spans="1:45" ht="15" customHeight="1" x14ac:dyDescent="0.3">
      <c r="A812" s="558"/>
      <c r="B812" s="558"/>
      <c r="C812" s="559"/>
      <c r="D812" s="548"/>
      <c r="E812" s="548" t="s">
        <v>231</v>
      </c>
      <c r="F812" s="548"/>
      <c r="G812" s="548" t="s">
        <v>346</v>
      </c>
      <c r="H812" s="747"/>
      <c r="I812" s="747">
        <f>SUM(K812:AS812)</f>
        <v>3017.3005337171094</v>
      </c>
      <c r="J812" s="551"/>
      <c r="K812" s="548">
        <f t="shared" ref="K812:O812" si="713">K802 - K810</f>
        <v>0</v>
      </c>
      <c r="L812" s="548">
        <f t="shared" si="713"/>
        <v>0</v>
      </c>
      <c r="M812" s="548">
        <f t="shared" si="713"/>
        <v>0</v>
      </c>
      <c r="N812" s="548">
        <f t="shared" si="713"/>
        <v>0</v>
      </c>
      <c r="O812" s="548">
        <f t="shared" si="713"/>
        <v>0</v>
      </c>
      <c r="P812" s="548">
        <f>P802 - P810</f>
        <v>0</v>
      </c>
      <c r="Q812" s="548">
        <f t="shared" ref="Q812:AS812" si="714">Q802 - Q810</f>
        <v>0</v>
      </c>
      <c r="R812" s="548">
        <f t="shared" si="714"/>
        <v>0</v>
      </c>
      <c r="S812" s="548">
        <f t="shared" si="714"/>
        <v>0</v>
      </c>
      <c r="T812" s="548">
        <f t="shared" si="714"/>
        <v>0</v>
      </c>
      <c r="U812" s="548">
        <f t="shared" si="714"/>
        <v>0</v>
      </c>
      <c r="V812" s="548">
        <f t="shared" si="714"/>
        <v>-236.34949621499999</v>
      </c>
      <c r="W812" s="548">
        <f t="shared" si="714"/>
        <v>41.437652865999951</v>
      </c>
      <c r="X812" s="548">
        <f t="shared" si="714"/>
        <v>12.239987308939646</v>
      </c>
      <c r="Y812" s="548">
        <f t="shared" si="714"/>
        <v>270.25840738987051</v>
      </c>
      <c r="Z812" s="548">
        <f t="shared" si="714"/>
        <v>523.78999130766522</v>
      </c>
      <c r="AA812" s="548">
        <f t="shared" si="714"/>
        <v>255.59455582602084</v>
      </c>
      <c r="AB812" s="548">
        <f t="shared" si="714"/>
        <v>289.41158699931054</v>
      </c>
      <c r="AC812" s="548">
        <f t="shared" si="714"/>
        <v>80.144790395657765</v>
      </c>
      <c r="AD812" s="548">
        <f t="shared" si="714"/>
        <v>307.96172245477442</v>
      </c>
      <c r="AE812" s="548">
        <f t="shared" si="714"/>
        <v>293.96395222666001</v>
      </c>
      <c r="AF812" s="548">
        <f t="shared" si="714"/>
        <v>285.38294518749819</v>
      </c>
      <c r="AG812" s="548">
        <f t="shared" si="714"/>
        <v>273.07076192880447</v>
      </c>
      <c r="AH812" s="548">
        <f t="shared" si="714"/>
        <v>261.64757300035421</v>
      </c>
      <c r="AI812" s="548">
        <f t="shared" si="714"/>
        <v>151.83858618490524</v>
      </c>
      <c r="AJ812" s="548">
        <f t="shared" si="714"/>
        <v>186.82584009357686</v>
      </c>
      <c r="AK812" s="548">
        <f t="shared" si="714"/>
        <v>20.08167676207114</v>
      </c>
      <c r="AL812" s="548">
        <f t="shared" si="714"/>
        <v>0</v>
      </c>
      <c r="AM812" s="548">
        <f t="shared" si="714"/>
        <v>0</v>
      </c>
      <c r="AN812" s="548">
        <f t="shared" si="714"/>
        <v>0</v>
      </c>
      <c r="AO812" s="548">
        <f t="shared" si="714"/>
        <v>0</v>
      </c>
      <c r="AP812" s="548">
        <f t="shared" si="714"/>
        <v>0</v>
      </c>
      <c r="AQ812" s="548">
        <f t="shared" si="714"/>
        <v>0</v>
      </c>
      <c r="AR812" s="548">
        <f t="shared" si="714"/>
        <v>0</v>
      </c>
      <c r="AS812" s="548">
        <f t="shared" si="714"/>
        <v>0</v>
      </c>
    </row>
    <row r="813" spans="1:45" ht="15" customHeight="1" x14ac:dyDescent="0.3">
      <c r="I813" s="116"/>
      <c r="AL813" s="42"/>
      <c r="AM813" s="42"/>
      <c r="AN813" s="42"/>
      <c r="AO813" s="42"/>
      <c r="AP813" s="42"/>
      <c r="AQ813" s="42"/>
      <c r="AR813" s="42"/>
      <c r="AS813" s="42"/>
    </row>
    <row r="814" spans="1:45" ht="15" customHeight="1" collapsed="1" x14ac:dyDescent="0.3">
      <c r="A814" s="15" t="s">
        <v>685</v>
      </c>
      <c r="B814" s="119"/>
      <c r="C814" s="120"/>
      <c r="D814" s="121"/>
      <c r="E814" s="119"/>
      <c r="F814" s="119"/>
      <c r="G814" s="119"/>
      <c r="H814" s="119"/>
      <c r="I814" s="119"/>
      <c r="J814" s="16"/>
      <c r="K814" s="16"/>
      <c r="L814" s="16"/>
      <c r="M814" s="16"/>
      <c r="N814" s="16"/>
      <c r="O814" s="16"/>
      <c r="P814" s="16"/>
      <c r="Q814" s="16"/>
      <c r="R814" s="16"/>
      <c r="S814" s="16"/>
      <c r="T814" s="16"/>
      <c r="U814" s="16"/>
      <c r="V814" s="16"/>
      <c r="W814" s="16"/>
      <c r="X814" s="16"/>
      <c r="Y814" s="16"/>
      <c r="Z814" s="16"/>
      <c r="AA814" s="16"/>
      <c r="AB814" s="16"/>
      <c r="AC814" s="16"/>
      <c r="AD814" s="16"/>
      <c r="AE814" s="16"/>
      <c r="AF814" s="16"/>
      <c r="AG814" s="16"/>
      <c r="AH814" s="16"/>
      <c r="AI814" s="16"/>
      <c r="AJ814" s="16"/>
      <c r="AK814" s="16"/>
      <c r="AL814" s="16"/>
      <c r="AM814" s="16"/>
      <c r="AN814" s="16"/>
      <c r="AO814" s="16"/>
      <c r="AP814" s="16"/>
      <c r="AQ814" s="16"/>
      <c r="AR814" s="16"/>
      <c r="AS814" s="16"/>
    </row>
    <row r="815" spans="1:45" ht="15" customHeight="1" x14ac:dyDescent="0.3">
      <c r="A815" s="52"/>
      <c r="B815" s="244"/>
      <c r="C815" s="787"/>
      <c r="D815" s="788"/>
      <c r="E815" s="244"/>
      <c r="F815" s="244"/>
      <c r="G815" s="244"/>
      <c r="H815" s="244"/>
      <c r="I815" s="244"/>
      <c r="J815" s="53"/>
      <c r="K815" s="53"/>
      <c r="L815" s="53"/>
      <c r="M815" s="53"/>
      <c r="N815" s="53"/>
      <c r="O815" s="53"/>
      <c r="P815" s="53"/>
      <c r="Q815" s="53"/>
      <c r="R815" s="53"/>
      <c r="S815" s="53"/>
      <c r="T815" s="53"/>
      <c r="U815" s="53"/>
      <c r="V815" s="53"/>
      <c r="W815" s="53"/>
      <c r="X815" s="53"/>
      <c r="Y815" s="53"/>
      <c r="Z815" s="53"/>
      <c r="AA815" s="53"/>
      <c r="AB815" s="53"/>
      <c r="AC815" s="53"/>
      <c r="AD815" s="53"/>
      <c r="AE815" s="53"/>
      <c r="AF815" s="53"/>
      <c r="AG815" s="53"/>
      <c r="AH815" s="53"/>
      <c r="AI815" s="53"/>
      <c r="AJ815" s="53"/>
      <c r="AK815" s="53"/>
      <c r="AL815" s="53"/>
      <c r="AM815" s="53"/>
      <c r="AN815" s="53"/>
      <c r="AO815" s="53"/>
      <c r="AP815" s="53"/>
      <c r="AQ815" s="53"/>
      <c r="AR815" s="53"/>
      <c r="AS815" s="53"/>
    </row>
    <row r="816" spans="1:45" ht="15" customHeight="1" x14ac:dyDescent="0.3">
      <c r="E816" s="538" t="str">
        <f xml:space="preserve"> E$520</f>
        <v>Operating costs, including Sens.</v>
      </c>
      <c r="F816" s="538" t="str">
        <f t="shared" ref="F816:O816" si="715" xml:space="preserve"> F$520</f>
        <v>FS</v>
      </c>
      <c r="G816" s="538" t="str">
        <f t="shared" si="715"/>
        <v>$ mn</v>
      </c>
      <c r="H816" s="538">
        <f t="shared" si="715"/>
        <v>0</v>
      </c>
      <c r="I816" s="538">
        <f t="shared" si="715"/>
        <v>6417.4732060838423</v>
      </c>
      <c r="J816" s="538">
        <f t="shared" si="715"/>
        <v>0</v>
      </c>
      <c r="K816" s="538">
        <f t="shared" si="715"/>
        <v>0</v>
      </c>
      <c r="L816" s="538">
        <f t="shared" si="715"/>
        <v>0</v>
      </c>
      <c r="M816" s="538">
        <f t="shared" si="715"/>
        <v>0</v>
      </c>
      <c r="N816" s="538">
        <f t="shared" si="715"/>
        <v>0</v>
      </c>
      <c r="O816" s="538">
        <f t="shared" si="715"/>
        <v>0</v>
      </c>
      <c r="P816" s="538">
        <f t="shared" ref="P816:AS816" si="716" xml:space="preserve"> P$520</f>
        <v>0</v>
      </c>
      <c r="Q816" s="538">
        <f t="shared" si="716"/>
        <v>0</v>
      </c>
      <c r="R816" s="538">
        <f t="shared" si="716"/>
        <v>0</v>
      </c>
      <c r="S816" s="538">
        <f t="shared" si="716"/>
        <v>0</v>
      </c>
      <c r="T816" s="538">
        <f t="shared" si="716"/>
        <v>0</v>
      </c>
      <c r="U816" s="538">
        <f t="shared" si="716"/>
        <v>0</v>
      </c>
      <c r="V816" s="538">
        <f t="shared" si="716"/>
        <v>92.547447899999995</v>
      </c>
      <c r="W816" s="538">
        <f t="shared" si="716"/>
        <v>111.20828203000001</v>
      </c>
      <c r="X816" s="538">
        <f t="shared" si="716"/>
        <v>222.95433410956798</v>
      </c>
      <c r="Y816" s="538">
        <f t="shared" si="716"/>
        <v>275.07933724392001</v>
      </c>
      <c r="Z816" s="538">
        <f t="shared" si="716"/>
        <v>236.842377442112</v>
      </c>
      <c r="AA816" s="538">
        <f t="shared" si="716"/>
        <v>521.23181416247598</v>
      </c>
      <c r="AB816" s="538">
        <f t="shared" si="716"/>
        <v>458.85614080454303</v>
      </c>
      <c r="AC816" s="538">
        <f t="shared" si="716"/>
        <v>498.26409575079998</v>
      </c>
      <c r="AD816" s="538">
        <f t="shared" si="716"/>
        <v>499.39449196549901</v>
      </c>
      <c r="AE816" s="538">
        <f t="shared" si="716"/>
        <v>511.64191424046072</v>
      </c>
      <c r="AF816" s="538">
        <f t="shared" si="716"/>
        <v>522.47681812965493</v>
      </c>
      <c r="AG816" s="538">
        <f t="shared" si="716"/>
        <v>533.79306524069909</v>
      </c>
      <c r="AH816" s="538">
        <f t="shared" si="716"/>
        <v>545.3125501316897</v>
      </c>
      <c r="AI816" s="538">
        <f t="shared" si="716"/>
        <v>563.04437690960037</v>
      </c>
      <c r="AJ816" s="538">
        <f t="shared" si="716"/>
        <v>520.87013281239911</v>
      </c>
      <c r="AK816" s="538">
        <f t="shared" si="716"/>
        <v>303.9560272104207</v>
      </c>
      <c r="AL816" s="538">
        <f t="shared" si="716"/>
        <v>0</v>
      </c>
      <c r="AM816" s="538">
        <f t="shared" si="716"/>
        <v>0</v>
      </c>
      <c r="AN816" s="538">
        <f t="shared" si="716"/>
        <v>0</v>
      </c>
      <c r="AO816" s="538">
        <f t="shared" si="716"/>
        <v>0</v>
      </c>
      <c r="AP816" s="538">
        <f t="shared" si="716"/>
        <v>0</v>
      </c>
      <c r="AQ816" s="538">
        <f t="shared" si="716"/>
        <v>0</v>
      </c>
      <c r="AR816" s="538">
        <f t="shared" si="716"/>
        <v>0</v>
      </c>
      <c r="AS816" s="538">
        <f t="shared" si="716"/>
        <v>0</v>
      </c>
    </row>
    <row r="817" spans="1:45" ht="15" customHeight="1" x14ac:dyDescent="0.3">
      <c r="E817" s="538" t="str">
        <f t="shared" ref="E817:AS817" si="717" xml:space="preserve"> E$566</f>
        <v>Capital costs, including Sens.</v>
      </c>
      <c r="F817" s="538" t="str">
        <f t="shared" si="717"/>
        <v>FS</v>
      </c>
      <c r="G817" s="538" t="str">
        <f t="shared" si="717"/>
        <v>$ mn</v>
      </c>
      <c r="H817" s="538">
        <f t="shared" si="717"/>
        <v>0</v>
      </c>
      <c r="I817" s="538">
        <f t="shared" si="717"/>
        <v>831.24520052188814</v>
      </c>
      <c r="J817" s="538">
        <f t="shared" si="717"/>
        <v>0</v>
      </c>
      <c r="K817" s="538">
        <f t="shared" si="717"/>
        <v>0</v>
      </c>
      <c r="L817" s="538">
        <f t="shared" si="717"/>
        <v>0</v>
      </c>
      <c r="M817" s="538">
        <f t="shared" si="717"/>
        <v>0</v>
      </c>
      <c r="N817" s="538">
        <f t="shared" si="717"/>
        <v>0</v>
      </c>
      <c r="O817" s="538">
        <f t="shared" si="717"/>
        <v>0</v>
      </c>
      <c r="P817" s="538">
        <f t="shared" si="717"/>
        <v>0</v>
      </c>
      <c r="Q817" s="538">
        <f t="shared" si="717"/>
        <v>0</v>
      </c>
      <c r="R817" s="538">
        <f t="shared" si="717"/>
        <v>0</v>
      </c>
      <c r="S817" s="538">
        <f t="shared" si="717"/>
        <v>0</v>
      </c>
      <c r="T817" s="538">
        <f t="shared" si="717"/>
        <v>0</v>
      </c>
      <c r="U817" s="538">
        <f t="shared" si="717"/>
        <v>0</v>
      </c>
      <c r="V817" s="538">
        <f t="shared" si="717"/>
        <v>245.02819335000001</v>
      </c>
      <c r="W817" s="538">
        <f t="shared" si="717"/>
        <v>111.33372773000001</v>
      </c>
      <c r="X817" s="538">
        <f t="shared" si="717"/>
        <v>148.28970892000001</v>
      </c>
      <c r="Y817" s="538">
        <f t="shared" si="717"/>
        <v>4.7877627</v>
      </c>
      <c r="Z817" s="538">
        <f t="shared" si="717"/>
        <v>81.812290399999995</v>
      </c>
      <c r="AA817" s="538">
        <f t="shared" si="717"/>
        <v>100.30613584</v>
      </c>
      <c r="AB817" s="538">
        <f t="shared" si="717"/>
        <v>103.88373304536523</v>
      </c>
      <c r="AC817" s="538">
        <f t="shared" si="717"/>
        <v>35.80364853652285</v>
      </c>
      <c r="AD817" s="538">
        <f t="shared" si="717"/>
        <v>0</v>
      </c>
      <c r="AE817" s="538">
        <f t="shared" si="717"/>
        <v>0</v>
      </c>
      <c r="AF817" s="538">
        <f t="shared" si="717"/>
        <v>0</v>
      </c>
      <c r="AG817" s="538">
        <f t="shared" si="717"/>
        <v>0</v>
      </c>
      <c r="AH817" s="538">
        <f t="shared" si="717"/>
        <v>0</v>
      </c>
      <c r="AI817" s="538">
        <f t="shared" si="717"/>
        <v>0</v>
      </c>
      <c r="AJ817" s="538">
        <f t="shared" si="717"/>
        <v>0</v>
      </c>
      <c r="AK817" s="538">
        <f t="shared" si="717"/>
        <v>0</v>
      </c>
      <c r="AL817" s="538">
        <f t="shared" si="717"/>
        <v>0</v>
      </c>
      <c r="AM817" s="538">
        <f t="shared" si="717"/>
        <v>0</v>
      </c>
      <c r="AN817" s="538">
        <f t="shared" si="717"/>
        <v>0</v>
      </c>
      <c r="AO817" s="538">
        <f t="shared" si="717"/>
        <v>0</v>
      </c>
      <c r="AP817" s="538">
        <f t="shared" si="717"/>
        <v>0</v>
      </c>
      <c r="AQ817" s="538">
        <f t="shared" si="717"/>
        <v>0</v>
      </c>
      <c r="AR817" s="538">
        <f t="shared" si="717"/>
        <v>0</v>
      </c>
      <c r="AS817" s="538">
        <f t="shared" si="717"/>
        <v>0</v>
      </c>
    </row>
    <row r="818" spans="1:45" ht="15" customHeight="1" x14ac:dyDescent="0.3">
      <c r="E818" s="538" t="str">
        <f xml:space="preserve"> E$655</f>
        <v>Project costs</v>
      </c>
      <c r="F818" s="538">
        <f t="shared" ref="F818:O818" si="718" xml:space="preserve"> F$655</f>
        <v>0</v>
      </c>
      <c r="G818" s="538" t="str">
        <f t="shared" si="718"/>
        <v>$ mn</v>
      </c>
      <c r="H818" s="538">
        <f t="shared" si="718"/>
        <v>0</v>
      </c>
      <c r="I818" s="538">
        <f t="shared" si="718"/>
        <v>7248.7184066057316</v>
      </c>
      <c r="J818" s="538">
        <f t="shared" si="718"/>
        <v>0</v>
      </c>
      <c r="K818" s="538">
        <f t="shared" si="718"/>
        <v>0</v>
      </c>
      <c r="L818" s="538">
        <f t="shared" si="718"/>
        <v>0</v>
      </c>
      <c r="M818" s="538">
        <f t="shared" si="718"/>
        <v>0</v>
      </c>
      <c r="N818" s="538">
        <f t="shared" si="718"/>
        <v>0</v>
      </c>
      <c r="O818" s="538">
        <f t="shared" si="718"/>
        <v>0</v>
      </c>
      <c r="P818" s="538">
        <f t="shared" ref="P818:AS818" si="719" xml:space="preserve"> P$655</f>
        <v>0</v>
      </c>
      <c r="Q818" s="538">
        <f t="shared" si="719"/>
        <v>0</v>
      </c>
      <c r="R818" s="538">
        <f t="shared" si="719"/>
        <v>0</v>
      </c>
      <c r="S818" s="538">
        <f t="shared" si="719"/>
        <v>0</v>
      </c>
      <c r="T818" s="538">
        <f t="shared" si="719"/>
        <v>0</v>
      </c>
      <c r="U818" s="538">
        <f t="shared" si="719"/>
        <v>0</v>
      </c>
      <c r="V818" s="538">
        <f t="shared" si="719"/>
        <v>337.57564124999999</v>
      </c>
      <c r="W818" s="538">
        <f t="shared" si="719"/>
        <v>222.54200976000001</v>
      </c>
      <c r="X818" s="538">
        <f t="shared" si="719"/>
        <v>371.24404302956799</v>
      </c>
      <c r="Y818" s="538">
        <f t="shared" si="719"/>
        <v>279.86709994391998</v>
      </c>
      <c r="Z818" s="538">
        <f t="shared" si="719"/>
        <v>318.65466784211196</v>
      </c>
      <c r="AA818" s="538">
        <f t="shared" si="719"/>
        <v>621.53795000247601</v>
      </c>
      <c r="AB818" s="538">
        <f t="shared" si="719"/>
        <v>562.73987384990824</v>
      </c>
      <c r="AC818" s="538">
        <f t="shared" si="719"/>
        <v>534.06774428732285</v>
      </c>
      <c r="AD818" s="538">
        <f t="shared" si="719"/>
        <v>499.39449196549901</v>
      </c>
      <c r="AE818" s="538">
        <f t="shared" si="719"/>
        <v>511.64191424046072</v>
      </c>
      <c r="AF818" s="538">
        <f t="shared" si="719"/>
        <v>522.47681812965493</v>
      </c>
      <c r="AG818" s="538">
        <f t="shared" si="719"/>
        <v>533.79306524069909</v>
      </c>
      <c r="AH818" s="538">
        <f t="shared" si="719"/>
        <v>545.3125501316897</v>
      </c>
      <c r="AI818" s="538">
        <f t="shared" si="719"/>
        <v>563.04437690960037</v>
      </c>
      <c r="AJ818" s="538">
        <f t="shared" si="719"/>
        <v>520.87013281239911</v>
      </c>
      <c r="AK818" s="538">
        <f t="shared" si="719"/>
        <v>303.9560272104207</v>
      </c>
      <c r="AL818" s="538">
        <f t="shared" si="719"/>
        <v>0</v>
      </c>
      <c r="AM818" s="538">
        <f t="shared" si="719"/>
        <v>0</v>
      </c>
      <c r="AN818" s="538">
        <f t="shared" si="719"/>
        <v>0</v>
      </c>
      <c r="AO818" s="538">
        <f t="shared" si="719"/>
        <v>0</v>
      </c>
      <c r="AP818" s="538">
        <f t="shared" si="719"/>
        <v>0</v>
      </c>
      <c r="AQ818" s="538">
        <f t="shared" si="719"/>
        <v>0</v>
      </c>
      <c r="AR818" s="538">
        <f t="shared" si="719"/>
        <v>0</v>
      </c>
      <c r="AS818" s="538">
        <f t="shared" si="719"/>
        <v>0</v>
      </c>
    </row>
    <row r="819" spans="1:45" ht="15" customHeight="1" x14ac:dyDescent="0.3">
      <c r="I819" s="116"/>
      <c r="AL819" s="42"/>
      <c r="AM819" s="42"/>
      <c r="AN819" s="42"/>
      <c r="AO819" s="42"/>
      <c r="AP819" s="42"/>
      <c r="AQ819" s="42"/>
      <c r="AR819" s="42"/>
      <c r="AS819" s="42"/>
    </row>
    <row r="820" spans="1:45" ht="15" customHeight="1" x14ac:dyDescent="0.3">
      <c r="A820" s="150"/>
      <c r="B820" s="150"/>
      <c r="C820" s="151"/>
      <c r="D820" s="104"/>
      <c r="E820" s="557" t="str">
        <f xml:space="preserve"> Inputs_TS!E$316</f>
        <v>Import duties: combined actual and forecast</v>
      </c>
      <c r="F820" s="557">
        <f xml:space="preserve"> Inputs_TS!F$316</f>
        <v>0</v>
      </c>
      <c r="G820" s="557" t="str">
        <f xml:space="preserve"> Inputs_TS!G$316</f>
        <v>% aggregate costs</v>
      </c>
      <c r="H820" s="557">
        <f xml:space="preserve"> Inputs_TS!H$316</f>
        <v>0</v>
      </c>
      <c r="I820" s="557">
        <f xml:space="preserve"> Inputs_TS!I$316</f>
        <v>0</v>
      </c>
      <c r="J820" s="557">
        <f xml:space="preserve"> Inputs_TS!J$316</f>
        <v>0</v>
      </c>
      <c r="K820" s="95">
        <f xml:space="preserve"> Inputs_TS!K$316</f>
        <v>0</v>
      </c>
      <c r="L820" s="95">
        <f xml:space="preserve"> Inputs_TS!L$316</f>
        <v>0</v>
      </c>
      <c r="M820" s="95">
        <f xml:space="preserve"> Inputs_TS!M$316</f>
        <v>0</v>
      </c>
      <c r="N820" s="95">
        <f xml:space="preserve"> Inputs_TS!N$316</f>
        <v>0</v>
      </c>
      <c r="O820" s="95">
        <f xml:space="preserve"> Inputs_TS!O$316</f>
        <v>0</v>
      </c>
      <c r="P820" s="95">
        <f xml:space="preserve"> Inputs_TS!P$316</f>
        <v>0</v>
      </c>
      <c r="Q820" s="95">
        <f xml:space="preserve"> Inputs_TS!Q$316</f>
        <v>0</v>
      </c>
      <c r="R820" s="95">
        <f xml:space="preserve"> Inputs_TS!R$316</f>
        <v>0</v>
      </c>
      <c r="S820" s="95">
        <f xml:space="preserve"> Inputs_TS!S$316</f>
        <v>0</v>
      </c>
      <c r="T820" s="95">
        <f xml:space="preserve"> Inputs_TS!T$316</f>
        <v>0</v>
      </c>
      <c r="U820" s="95">
        <f xml:space="preserve"> Inputs_TS!U$316</f>
        <v>0</v>
      </c>
      <c r="V820" s="95">
        <f xml:space="preserve"> Inputs_TS!V$316</f>
        <v>1.4664645889938007E-2</v>
      </c>
      <c r="W820" s="95">
        <f xml:space="preserve"> Inputs_TS!W$316</f>
        <v>8.1593448444104669E-2</v>
      </c>
      <c r="X820" s="95">
        <f xml:space="preserve"> Inputs_TS!X$316</f>
        <v>0.10942023383999366</v>
      </c>
      <c r="Y820" s="95">
        <f xml:space="preserve"> Inputs_TS!Y$316</f>
        <v>1.2125976939340226E-2</v>
      </c>
      <c r="Z820" s="95">
        <f xml:space="preserve"> Inputs_TS!Z$316</f>
        <v>0.05</v>
      </c>
      <c r="AA820" s="95">
        <f xml:space="preserve"> Inputs_TS!AA$316</f>
        <v>6.4548417357041796E-2</v>
      </c>
      <c r="AB820" s="95">
        <f xml:space="preserve"> Inputs_TS!AB$316</f>
        <v>0.05</v>
      </c>
      <c r="AC820" s="95">
        <f xml:space="preserve"> Inputs_TS!AC$316</f>
        <v>0.05</v>
      </c>
      <c r="AD820" s="95">
        <f xml:space="preserve"> Inputs_TS!AD$316</f>
        <v>0.05</v>
      </c>
      <c r="AE820" s="95">
        <f xml:space="preserve"> Inputs_TS!AE$316</f>
        <v>0.05</v>
      </c>
      <c r="AF820" s="95">
        <f xml:space="preserve"> Inputs_TS!AF$316</f>
        <v>0.05</v>
      </c>
      <c r="AG820" s="95">
        <f xml:space="preserve"> Inputs_TS!AG$316</f>
        <v>0.05</v>
      </c>
      <c r="AH820" s="95">
        <f xml:space="preserve"> Inputs_TS!AH$316</f>
        <v>0.05</v>
      </c>
      <c r="AI820" s="95">
        <f xml:space="preserve"> Inputs_TS!AI$316</f>
        <v>0.05</v>
      </c>
      <c r="AJ820" s="95">
        <f xml:space="preserve"> Inputs_TS!AJ$316</f>
        <v>0.05</v>
      </c>
      <c r="AK820" s="95">
        <f xml:space="preserve"> Inputs_TS!AK$316</f>
        <v>0.05</v>
      </c>
      <c r="AL820" s="95">
        <f xml:space="preserve"> Inputs_TS!AL$316</f>
        <v>0.05</v>
      </c>
      <c r="AM820" s="95">
        <f xml:space="preserve"> Inputs_TS!AM$316</f>
        <v>0.05</v>
      </c>
      <c r="AN820" s="95">
        <f xml:space="preserve"> Inputs_TS!AN$316</f>
        <v>0.05</v>
      </c>
      <c r="AO820" s="95">
        <f xml:space="preserve"> Inputs_TS!AO$316</f>
        <v>0.05</v>
      </c>
      <c r="AP820" s="95">
        <f xml:space="preserve"> Inputs_TS!AP$316</f>
        <v>0.05</v>
      </c>
      <c r="AQ820" s="95">
        <f xml:space="preserve"> Inputs_TS!AQ$316</f>
        <v>0.05</v>
      </c>
      <c r="AR820" s="95">
        <f xml:space="preserve"> Inputs_TS!AR$316</f>
        <v>0.05</v>
      </c>
      <c r="AS820" s="95">
        <f xml:space="preserve"> Inputs_TS!AS$316</f>
        <v>0.05</v>
      </c>
    </row>
    <row r="821" spans="1:45" ht="15" customHeight="1" x14ac:dyDescent="0.3">
      <c r="I821" s="116"/>
      <c r="AL821" s="42"/>
      <c r="AM821" s="42"/>
      <c r="AN821" s="42"/>
      <c r="AO821" s="42"/>
      <c r="AP821" s="42"/>
      <c r="AQ821" s="42"/>
      <c r="AR821" s="42"/>
      <c r="AS821" s="42"/>
    </row>
    <row r="822" spans="1:45" ht="15" customHeight="1" x14ac:dyDescent="0.3">
      <c r="E822" s="104" t="str">
        <f xml:space="preserve"> Inputs_Con!E$100</f>
        <v>Include Import Duties in forecast (1 = yes)</v>
      </c>
      <c r="F822" s="61">
        <f xml:space="preserve"> Inputs_Con!F$100</f>
        <v>1</v>
      </c>
      <c r="G822" s="61" t="str">
        <f xml:space="preserve"> Inputs_Con!G$100</f>
        <v>flag</v>
      </c>
      <c r="I822" s="116"/>
      <c r="AL822" s="42"/>
      <c r="AM822" s="42"/>
      <c r="AN822" s="42"/>
      <c r="AO822" s="42"/>
      <c r="AP822" s="42"/>
      <c r="AQ822" s="42"/>
      <c r="AR822" s="42"/>
      <c r="AS822" s="42"/>
    </row>
    <row r="823" spans="1:45" ht="15" customHeight="1" x14ac:dyDescent="0.3">
      <c r="A823" s="778"/>
      <c r="B823" s="778"/>
      <c r="C823" s="779"/>
      <c r="D823" s="408"/>
      <c r="E823" s="408" t="s">
        <v>736</v>
      </c>
      <c r="F823" s="408"/>
      <c r="G823" s="408" t="s">
        <v>346</v>
      </c>
      <c r="H823" s="408"/>
      <c r="I823" s="408">
        <f>SUM(K823:AS823)</f>
        <v>378.04054337098842</v>
      </c>
      <c r="J823" s="408">
        <f xml:space="preserve"> SUM(Q823:AV823)</f>
        <v>378.04054337098842</v>
      </c>
      <c r="K823" s="408">
        <f xml:space="preserve"> K820 * K818 * $F822</f>
        <v>0</v>
      </c>
      <c r="L823" s="408">
        <f t="shared" ref="L823:O823" si="720" xml:space="preserve"> L820 * L818 * $F822</f>
        <v>0</v>
      </c>
      <c r="M823" s="408">
        <f t="shared" si="720"/>
        <v>0</v>
      </c>
      <c r="N823" s="408">
        <f t="shared" si="720"/>
        <v>0</v>
      </c>
      <c r="O823" s="408">
        <f t="shared" si="720"/>
        <v>0</v>
      </c>
      <c r="P823" s="408">
        <f t="shared" ref="P823:AS823" si="721" xml:space="preserve"> P820 * P818 * $F822</f>
        <v>0</v>
      </c>
      <c r="Q823" s="408">
        <f t="shared" si="721"/>
        <v>0</v>
      </c>
      <c r="R823" s="408">
        <f t="shared" si="721"/>
        <v>0</v>
      </c>
      <c r="S823" s="408">
        <f t="shared" si="721"/>
        <v>0</v>
      </c>
      <c r="T823" s="408">
        <f t="shared" si="721"/>
        <v>0</v>
      </c>
      <c r="U823" s="408">
        <f t="shared" si="721"/>
        <v>0</v>
      </c>
      <c r="V823" s="408">
        <f t="shared" si="721"/>
        <v>4.9504272399999998</v>
      </c>
      <c r="W823" s="408">
        <f t="shared" si="721"/>
        <v>18.157969999999999</v>
      </c>
      <c r="X823" s="408">
        <f t="shared" si="721"/>
        <v>40.621609999999997</v>
      </c>
      <c r="Y823" s="408">
        <f t="shared" si="721"/>
        <v>3.393662</v>
      </c>
      <c r="Z823" s="408">
        <f t="shared" si="721"/>
        <v>15.932733392105598</v>
      </c>
      <c r="AA823" s="408">
        <f t="shared" si="721"/>
        <v>40.119290999999997</v>
      </c>
      <c r="AB823" s="408">
        <f t="shared" si="721"/>
        <v>28.136993692495412</v>
      </c>
      <c r="AC823" s="408">
        <f t="shared" si="721"/>
        <v>26.703387214366145</v>
      </c>
      <c r="AD823" s="408">
        <f t="shared" si="721"/>
        <v>24.969724598274951</v>
      </c>
      <c r="AE823" s="408">
        <f t="shared" si="721"/>
        <v>25.582095712023037</v>
      </c>
      <c r="AF823" s="408">
        <f t="shared" si="721"/>
        <v>26.123840906482748</v>
      </c>
      <c r="AG823" s="408">
        <f t="shared" si="721"/>
        <v>26.689653262034955</v>
      </c>
      <c r="AH823" s="408">
        <f t="shared" si="721"/>
        <v>27.265627506584487</v>
      </c>
      <c r="AI823" s="408">
        <f t="shared" si="721"/>
        <v>28.152218845480022</v>
      </c>
      <c r="AJ823" s="408">
        <f t="shared" si="721"/>
        <v>26.043506640619956</v>
      </c>
      <c r="AK823" s="408">
        <f t="shared" si="721"/>
        <v>15.197801360521035</v>
      </c>
      <c r="AL823" s="408">
        <f t="shared" si="721"/>
        <v>0</v>
      </c>
      <c r="AM823" s="408">
        <f t="shared" si="721"/>
        <v>0</v>
      </c>
      <c r="AN823" s="408">
        <f t="shared" si="721"/>
        <v>0</v>
      </c>
      <c r="AO823" s="408">
        <f t="shared" si="721"/>
        <v>0</v>
      </c>
      <c r="AP823" s="408">
        <f t="shared" si="721"/>
        <v>0</v>
      </c>
      <c r="AQ823" s="408">
        <f t="shared" si="721"/>
        <v>0</v>
      </c>
      <c r="AR823" s="408">
        <f t="shared" si="721"/>
        <v>0</v>
      </c>
      <c r="AS823" s="408">
        <f t="shared" si="721"/>
        <v>0</v>
      </c>
    </row>
    <row r="824" spans="1:45" ht="15" customHeight="1" x14ac:dyDescent="0.3">
      <c r="A824" s="505"/>
      <c r="B824" s="506"/>
      <c r="C824" s="507"/>
      <c r="D824" s="339"/>
      <c r="E824" s="339"/>
      <c r="F824" s="339"/>
      <c r="G824" s="339"/>
      <c r="H824" s="339"/>
      <c r="I824" s="339"/>
      <c r="J824" s="339"/>
      <c r="K824" s="339"/>
      <c r="L824" s="339"/>
      <c r="M824" s="339"/>
      <c r="N824" s="339"/>
      <c r="O824" s="339"/>
      <c r="P824" s="339"/>
      <c r="Q824" s="339"/>
      <c r="R824" s="339"/>
      <c r="S824" s="339"/>
      <c r="T824" s="339"/>
      <c r="U824" s="339"/>
      <c r="V824" s="339"/>
      <c r="W824" s="339"/>
      <c r="X824" s="339"/>
      <c r="Y824" s="339"/>
      <c r="Z824" s="339"/>
      <c r="AA824" s="339"/>
      <c r="AB824" s="339"/>
      <c r="AC824" s="339"/>
      <c r="AD824" s="339"/>
      <c r="AE824" s="339"/>
      <c r="AF824" s="339"/>
      <c r="AG824" s="339"/>
      <c r="AH824" s="339"/>
      <c r="AI824" s="339"/>
      <c r="AJ824" s="339"/>
      <c r="AK824" s="339"/>
      <c r="AL824" s="339"/>
      <c r="AM824" s="339"/>
      <c r="AN824" s="339"/>
      <c r="AO824" s="339"/>
      <c r="AP824" s="339"/>
      <c r="AQ824" s="339"/>
      <c r="AR824" s="339"/>
      <c r="AS824" s="339"/>
    </row>
    <row r="825" spans="1:45" ht="15" customHeight="1" collapsed="1" x14ac:dyDescent="0.3">
      <c r="A825" s="15" t="s">
        <v>982</v>
      </c>
      <c r="B825" s="119"/>
      <c r="C825" s="120"/>
      <c r="D825" s="121"/>
      <c r="E825" s="119"/>
      <c r="F825" s="119"/>
      <c r="G825" s="119"/>
      <c r="H825" s="119"/>
      <c r="I825" s="119"/>
      <c r="J825" s="16"/>
      <c r="K825" s="16"/>
      <c r="L825" s="16"/>
      <c r="M825" s="16"/>
      <c r="N825" s="16"/>
      <c r="O825" s="16"/>
      <c r="P825" s="16"/>
      <c r="Q825" s="16"/>
      <c r="R825" s="16"/>
      <c r="S825" s="16"/>
      <c r="T825" s="16"/>
      <c r="U825" s="16"/>
      <c r="V825" s="16"/>
      <c r="W825" s="16"/>
      <c r="X825" s="16"/>
      <c r="Y825" s="16"/>
      <c r="Z825" s="16"/>
      <c r="AA825" s="16"/>
      <c r="AB825" s="16"/>
      <c r="AC825" s="16"/>
      <c r="AD825" s="16"/>
      <c r="AE825" s="16"/>
      <c r="AF825" s="16"/>
      <c r="AG825" s="16"/>
      <c r="AH825" s="16"/>
      <c r="AI825" s="16"/>
      <c r="AJ825" s="16"/>
      <c r="AK825" s="16"/>
      <c r="AL825" s="16"/>
      <c r="AM825" s="16"/>
      <c r="AN825" s="16"/>
      <c r="AO825" s="16"/>
      <c r="AP825" s="16"/>
      <c r="AQ825" s="16"/>
      <c r="AR825" s="16"/>
      <c r="AS825" s="16"/>
    </row>
    <row r="826" spans="1:45" ht="15" customHeight="1" x14ac:dyDescent="0.3">
      <c r="A826" s="505"/>
      <c r="B826" s="506"/>
      <c r="C826" s="507"/>
      <c r="D826" s="339"/>
      <c r="E826" s="339"/>
      <c r="F826" s="339"/>
      <c r="G826" s="339"/>
      <c r="H826" s="339"/>
      <c r="I826" s="339"/>
      <c r="J826" s="339"/>
      <c r="K826" s="339"/>
      <c r="L826" s="339"/>
      <c r="M826" s="339"/>
      <c r="N826" s="339"/>
      <c r="O826" s="339"/>
      <c r="P826" s="339"/>
      <c r="Q826" s="339"/>
      <c r="R826" s="339"/>
      <c r="S826" s="339"/>
      <c r="T826" s="339"/>
      <c r="U826" s="339"/>
      <c r="V826" s="339"/>
      <c r="W826" s="339"/>
      <c r="X826" s="339"/>
      <c r="Y826" s="339"/>
      <c r="Z826" s="339"/>
      <c r="AA826" s="339"/>
      <c r="AB826" s="339"/>
      <c r="AC826" s="339"/>
      <c r="AD826" s="339"/>
      <c r="AE826" s="339"/>
      <c r="AF826" s="339"/>
      <c r="AG826" s="339"/>
      <c r="AH826" s="339"/>
      <c r="AI826" s="339"/>
      <c r="AJ826" s="339"/>
      <c r="AK826" s="339"/>
      <c r="AL826" s="339"/>
      <c r="AM826" s="339"/>
      <c r="AN826" s="339"/>
      <c r="AO826" s="339"/>
      <c r="AP826" s="339"/>
      <c r="AQ826" s="339"/>
      <c r="AR826" s="339"/>
      <c r="AS826" s="339"/>
    </row>
    <row r="827" spans="1:45" ht="15" customHeight="1" x14ac:dyDescent="0.3">
      <c r="A827" s="505"/>
      <c r="B827" s="506" t="s">
        <v>537</v>
      </c>
      <c r="C827" s="507"/>
      <c r="D827" s="339"/>
      <c r="E827" s="339"/>
      <c r="F827" s="339"/>
      <c r="G827" s="339"/>
      <c r="H827" s="339"/>
      <c r="I827" s="339"/>
      <c r="J827" s="339"/>
      <c r="K827" s="339"/>
      <c r="L827" s="339"/>
      <c r="M827" s="339"/>
      <c r="N827" s="339"/>
      <c r="O827" s="339"/>
      <c r="P827" s="339"/>
      <c r="Q827" s="339"/>
      <c r="R827" s="339"/>
      <c r="S827" s="339"/>
      <c r="T827" s="339"/>
      <c r="U827" s="339"/>
      <c r="V827" s="339"/>
      <c r="W827" s="339"/>
      <c r="X827" s="339"/>
      <c r="Y827" s="339"/>
      <c r="Z827" s="339"/>
      <c r="AA827" s="339"/>
      <c r="AB827" s="339"/>
      <c r="AC827" s="339"/>
      <c r="AD827" s="339"/>
      <c r="AE827" s="339"/>
      <c r="AF827" s="339"/>
      <c r="AG827" s="339"/>
      <c r="AH827" s="339"/>
      <c r="AI827" s="339"/>
      <c r="AJ827" s="339"/>
      <c r="AK827" s="339"/>
      <c r="AL827" s="339"/>
      <c r="AM827" s="339"/>
      <c r="AN827" s="339"/>
      <c r="AO827" s="339"/>
      <c r="AP827" s="339"/>
      <c r="AQ827" s="339"/>
      <c r="AR827" s="339"/>
      <c r="AS827" s="339"/>
    </row>
    <row r="828" spans="1:45" ht="15" customHeight="1" x14ac:dyDescent="0.3">
      <c r="E828" s="538" t="str">
        <f xml:space="preserve"> E$520</f>
        <v>Operating costs, including Sens.</v>
      </c>
      <c r="F828" s="538" t="str">
        <f t="shared" ref="F828:AS828" si="722" xml:space="preserve"> F$520</f>
        <v>FS</v>
      </c>
      <c r="G828" s="538" t="str">
        <f t="shared" si="722"/>
        <v>$ mn</v>
      </c>
      <c r="H828" s="538">
        <f t="shared" si="722"/>
        <v>0</v>
      </c>
      <c r="I828" s="538">
        <f t="shared" si="722"/>
        <v>6417.4732060838423</v>
      </c>
      <c r="J828" s="538">
        <f t="shared" si="722"/>
        <v>0</v>
      </c>
      <c r="K828" s="538">
        <f t="shared" si="722"/>
        <v>0</v>
      </c>
      <c r="L828" s="538">
        <f t="shared" si="722"/>
        <v>0</v>
      </c>
      <c r="M828" s="538">
        <f t="shared" si="722"/>
        <v>0</v>
      </c>
      <c r="N828" s="538">
        <f t="shared" si="722"/>
        <v>0</v>
      </c>
      <c r="O828" s="538">
        <f t="shared" si="722"/>
        <v>0</v>
      </c>
      <c r="P828" s="538">
        <f t="shared" si="722"/>
        <v>0</v>
      </c>
      <c r="Q828" s="538">
        <f t="shared" si="722"/>
        <v>0</v>
      </c>
      <c r="R828" s="538">
        <f t="shared" si="722"/>
        <v>0</v>
      </c>
      <c r="S828" s="538">
        <f t="shared" si="722"/>
        <v>0</v>
      </c>
      <c r="T828" s="538">
        <f t="shared" si="722"/>
        <v>0</v>
      </c>
      <c r="U828" s="538">
        <f t="shared" si="722"/>
        <v>0</v>
      </c>
      <c r="V828" s="538">
        <f t="shared" si="722"/>
        <v>92.547447899999995</v>
      </c>
      <c r="W828" s="538">
        <f t="shared" si="722"/>
        <v>111.20828203000001</v>
      </c>
      <c r="X828" s="538">
        <f t="shared" si="722"/>
        <v>222.95433410956798</v>
      </c>
      <c r="Y828" s="538">
        <f t="shared" si="722"/>
        <v>275.07933724392001</v>
      </c>
      <c r="Z828" s="538">
        <f t="shared" si="722"/>
        <v>236.842377442112</v>
      </c>
      <c r="AA828" s="538">
        <f t="shared" si="722"/>
        <v>521.23181416247598</v>
      </c>
      <c r="AB828" s="538">
        <f t="shared" si="722"/>
        <v>458.85614080454303</v>
      </c>
      <c r="AC828" s="538">
        <f t="shared" si="722"/>
        <v>498.26409575079998</v>
      </c>
      <c r="AD828" s="538">
        <f t="shared" si="722"/>
        <v>499.39449196549901</v>
      </c>
      <c r="AE828" s="538">
        <f t="shared" si="722"/>
        <v>511.64191424046072</v>
      </c>
      <c r="AF828" s="538">
        <f t="shared" si="722"/>
        <v>522.47681812965493</v>
      </c>
      <c r="AG828" s="538">
        <f t="shared" si="722"/>
        <v>533.79306524069909</v>
      </c>
      <c r="AH828" s="538">
        <f t="shared" si="722"/>
        <v>545.3125501316897</v>
      </c>
      <c r="AI828" s="538">
        <f t="shared" si="722"/>
        <v>563.04437690960037</v>
      </c>
      <c r="AJ828" s="538">
        <f t="shared" si="722"/>
        <v>520.87013281239911</v>
      </c>
      <c r="AK828" s="538">
        <f t="shared" si="722"/>
        <v>303.9560272104207</v>
      </c>
      <c r="AL828" s="538">
        <f t="shared" si="722"/>
        <v>0</v>
      </c>
      <c r="AM828" s="538">
        <f t="shared" si="722"/>
        <v>0</v>
      </c>
      <c r="AN828" s="538">
        <f t="shared" si="722"/>
        <v>0</v>
      </c>
      <c r="AO828" s="538">
        <f t="shared" si="722"/>
        <v>0</v>
      </c>
      <c r="AP828" s="538">
        <f t="shared" si="722"/>
        <v>0</v>
      </c>
      <c r="AQ828" s="538">
        <f t="shared" si="722"/>
        <v>0</v>
      </c>
      <c r="AR828" s="538">
        <f t="shared" si="722"/>
        <v>0</v>
      </c>
      <c r="AS828" s="538">
        <f t="shared" si="722"/>
        <v>0</v>
      </c>
    </row>
    <row r="829" spans="1:45" ht="15" customHeight="1" x14ac:dyDescent="0.3">
      <c r="E829" s="538" t="str">
        <f t="shared" ref="E829:AS829" si="723" xml:space="preserve"> E$566</f>
        <v>Capital costs, including Sens.</v>
      </c>
      <c r="F829" s="538" t="str">
        <f t="shared" si="723"/>
        <v>FS</v>
      </c>
      <c r="G829" s="538" t="str">
        <f t="shared" si="723"/>
        <v>$ mn</v>
      </c>
      <c r="H829" s="538">
        <f t="shared" si="723"/>
        <v>0</v>
      </c>
      <c r="I829" s="538">
        <f t="shared" si="723"/>
        <v>831.24520052188814</v>
      </c>
      <c r="J829" s="538">
        <f t="shared" si="723"/>
        <v>0</v>
      </c>
      <c r="K829" s="538">
        <f t="shared" si="723"/>
        <v>0</v>
      </c>
      <c r="L829" s="538">
        <f t="shared" si="723"/>
        <v>0</v>
      </c>
      <c r="M829" s="538">
        <f t="shared" si="723"/>
        <v>0</v>
      </c>
      <c r="N829" s="538">
        <f t="shared" si="723"/>
        <v>0</v>
      </c>
      <c r="O829" s="538">
        <f t="shared" si="723"/>
        <v>0</v>
      </c>
      <c r="P829" s="538">
        <f t="shared" si="723"/>
        <v>0</v>
      </c>
      <c r="Q829" s="538">
        <f t="shared" si="723"/>
        <v>0</v>
      </c>
      <c r="R829" s="538">
        <f t="shared" si="723"/>
        <v>0</v>
      </c>
      <c r="S829" s="538">
        <f t="shared" si="723"/>
        <v>0</v>
      </c>
      <c r="T829" s="538">
        <f t="shared" si="723"/>
        <v>0</v>
      </c>
      <c r="U829" s="538">
        <f t="shared" si="723"/>
        <v>0</v>
      </c>
      <c r="V829" s="538">
        <f t="shared" si="723"/>
        <v>245.02819335000001</v>
      </c>
      <c r="W829" s="538">
        <f t="shared" si="723"/>
        <v>111.33372773000001</v>
      </c>
      <c r="X829" s="538">
        <f t="shared" si="723"/>
        <v>148.28970892000001</v>
      </c>
      <c r="Y829" s="538">
        <f t="shared" si="723"/>
        <v>4.7877627</v>
      </c>
      <c r="Z829" s="538">
        <f t="shared" si="723"/>
        <v>81.812290399999995</v>
      </c>
      <c r="AA829" s="538">
        <f t="shared" si="723"/>
        <v>100.30613584</v>
      </c>
      <c r="AB829" s="538">
        <f t="shared" si="723"/>
        <v>103.88373304536523</v>
      </c>
      <c r="AC829" s="538">
        <f t="shared" si="723"/>
        <v>35.80364853652285</v>
      </c>
      <c r="AD829" s="538">
        <f t="shared" si="723"/>
        <v>0</v>
      </c>
      <c r="AE829" s="538">
        <f t="shared" si="723"/>
        <v>0</v>
      </c>
      <c r="AF829" s="538">
        <f t="shared" si="723"/>
        <v>0</v>
      </c>
      <c r="AG829" s="538">
        <f t="shared" si="723"/>
        <v>0</v>
      </c>
      <c r="AH829" s="538">
        <f t="shared" si="723"/>
        <v>0</v>
      </c>
      <c r="AI829" s="538">
        <f t="shared" si="723"/>
        <v>0</v>
      </c>
      <c r="AJ829" s="538">
        <f t="shared" si="723"/>
        <v>0</v>
      </c>
      <c r="AK829" s="538">
        <f t="shared" si="723"/>
        <v>0</v>
      </c>
      <c r="AL829" s="538">
        <f t="shared" si="723"/>
        <v>0</v>
      </c>
      <c r="AM829" s="538">
        <f t="shared" si="723"/>
        <v>0</v>
      </c>
      <c r="AN829" s="538">
        <f t="shared" si="723"/>
        <v>0</v>
      </c>
      <c r="AO829" s="538">
        <f t="shared" si="723"/>
        <v>0</v>
      </c>
      <c r="AP829" s="538">
        <f t="shared" si="723"/>
        <v>0</v>
      </c>
      <c r="AQ829" s="538">
        <f t="shared" si="723"/>
        <v>0</v>
      </c>
      <c r="AR829" s="538">
        <f t="shared" si="723"/>
        <v>0</v>
      </c>
      <c r="AS829" s="538">
        <f t="shared" si="723"/>
        <v>0</v>
      </c>
    </row>
    <row r="830" spans="1:45" ht="15" customHeight="1" x14ac:dyDescent="0.3">
      <c r="E830" s="538" t="str">
        <f xml:space="preserve"> E$655</f>
        <v>Project costs</v>
      </c>
      <c r="F830" s="538">
        <f t="shared" ref="F830:AS830" si="724" xml:space="preserve"> F$655</f>
        <v>0</v>
      </c>
      <c r="G830" s="538" t="str">
        <f t="shared" si="724"/>
        <v>$ mn</v>
      </c>
      <c r="H830" s="538">
        <f t="shared" si="724"/>
        <v>0</v>
      </c>
      <c r="I830" s="538">
        <f t="shared" si="724"/>
        <v>7248.7184066057316</v>
      </c>
      <c r="J830" s="538">
        <f t="shared" si="724"/>
        <v>0</v>
      </c>
      <c r="K830" s="538">
        <f t="shared" si="724"/>
        <v>0</v>
      </c>
      <c r="L830" s="538">
        <f t="shared" si="724"/>
        <v>0</v>
      </c>
      <c r="M830" s="538">
        <f t="shared" si="724"/>
        <v>0</v>
      </c>
      <c r="N830" s="538">
        <f t="shared" si="724"/>
        <v>0</v>
      </c>
      <c r="O830" s="538">
        <f t="shared" si="724"/>
        <v>0</v>
      </c>
      <c r="P830" s="538">
        <f t="shared" si="724"/>
        <v>0</v>
      </c>
      <c r="Q830" s="538">
        <f t="shared" si="724"/>
        <v>0</v>
      </c>
      <c r="R830" s="538">
        <f t="shared" si="724"/>
        <v>0</v>
      </c>
      <c r="S830" s="538">
        <f t="shared" si="724"/>
        <v>0</v>
      </c>
      <c r="T830" s="538">
        <f t="shared" si="724"/>
        <v>0</v>
      </c>
      <c r="U830" s="538">
        <f t="shared" si="724"/>
        <v>0</v>
      </c>
      <c r="V830" s="538">
        <f t="shared" si="724"/>
        <v>337.57564124999999</v>
      </c>
      <c r="W830" s="538">
        <f t="shared" si="724"/>
        <v>222.54200976000001</v>
      </c>
      <c r="X830" s="538">
        <f t="shared" si="724"/>
        <v>371.24404302956799</v>
      </c>
      <c r="Y830" s="538">
        <f t="shared" si="724"/>
        <v>279.86709994391998</v>
      </c>
      <c r="Z830" s="538">
        <f t="shared" si="724"/>
        <v>318.65466784211196</v>
      </c>
      <c r="AA830" s="538">
        <f t="shared" si="724"/>
        <v>621.53795000247601</v>
      </c>
      <c r="AB830" s="538">
        <f t="shared" si="724"/>
        <v>562.73987384990824</v>
      </c>
      <c r="AC830" s="538">
        <f t="shared" si="724"/>
        <v>534.06774428732285</v>
      </c>
      <c r="AD830" s="538">
        <f t="shared" si="724"/>
        <v>499.39449196549901</v>
      </c>
      <c r="AE830" s="538">
        <f t="shared" si="724"/>
        <v>511.64191424046072</v>
      </c>
      <c r="AF830" s="538">
        <f t="shared" si="724"/>
        <v>522.47681812965493</v>
      </c>
      <c r="AG830" s="538">
        <f t="shared" si="724"/>
        <v>533.79306524069909</v>
      </c>
      <c r="AH830" s="538">
        <f t="shared" si="724"/>
        <v>545.3125501316897</v>
      </c>
      <c r="AI830" s="538">
        <f t="shared" si="724"/>
        <v>563.04437690960037</v>
      </c>
      <c r="AJ830" s="538">
        <f t="shared" si="724"/>
        <v>520.87013281239911</v>
      </c>
      <c r="AK830" s="538">
        <f t="shared" si="724"/>
        <v>303.9560272104207</v>
      </c>
      <c r="AL830" s="538">
        <f t="shared" si="724"/>
        <v>0</v>
      </c>
      <c r="AM830" s="538">
        <f t="shared" si="724"/>
        <v>0</v>
      </c>
      <c r="AN830" s="538">
        <f t="shared" si="724"/>
        <v>0</v>
      </c>
      <c r="AO830" s="538">
        <f t="shared" si="724"/>
        <v>0</v>
      </c>
      <c r="AP830" s="538">
        <f t="shared" si="724"/>
        <v>0</v>
      </c>
      <c r="AQ830" s="538">
        <f t="shared" si="724"/>
        <v>0</v>
      </c>
      <c r="AR830" s="538">
        <f t="shared" si="724"/>
        <v>0</v>
      </c>
      <c r="AS830" s="538">
        <f t="shared" si="724"/>
        <v>0</v>
      </c>
    </row>
    <row r="831" spans="1:45" ht="15" customHeight="1" x14ac:dyDescent="0.3">
      <c r="A831" s="505"/>
      <c r="B831" s="506"/>
      <c r="C831" s="507"/>
      <c r="D831" s="339"/>
      <c r="E831" s="339"/>
      <c r="F831" s="339"/>
      <c r="G831" s="339"/>
      <c r="H831" s="339"/>
      <c r="I831" s="339"/>
      <c r="J831" s="339"/>
      <c r="K831" s="339"/>
      <c r="L831" s="339"/>
      <c r="M831" s="339"/>
      <c r="N831" s="339"/>
      <c r="O831" s="339"/>
      <c r="P831" s="339"/>
      <c r="Q831" s="339"/>
      <c r="R831" s="339"/>
      <c r="S831" s="339"/>
      <c r="T831" s="339"/>
      <c r="U831" s="339"/>
      <c r="V831" s="339"/>
      <c r="W831" s="339"/>
      <c r="X831" s="339"/>
      <c r="Y831" s="339"/>
      <c r="Z831" s="339"/>
      <c r="AA831" s="339"/>
      <c r="AB831" s="339"/>
      <c r="AC831" s="339"/>
      <c r="AD831" s="339"/>
      <c r="AE831" s="339"/>
      <c r="AF831" s="339"/>
      <c r="AG831" s="339"/>
      <c r="AH831" s="339"/>
      <c r="AI831" s="339"/>
      <c r="AJ831" s="339"/>
      <c r="AK831" s="339"/>
      <c r="AL831" s="339"/>
      <c r="AM831" s="339"/>
      <c r="AN831" s="339"/>
      <c r="AO831" s="339"/>
      <c r="AP831" s="339"/>
      <c r="AQ831" s="339"/>
      <c r="AR831" s="339"/>
      <c r="AS831" s="339"/>
    </row>
    <row r="832" spans="1:45" ht="15" customHeight="1" x14ac:dyDescent="0.3">
      <c r="A832" s="505"/>
      <c r="B832" s="506"/>
      <c r="C832" s="507"/>
      <c r="D832" s="339"/>
      <c r="E832" s="339" t="s">
        <v>1010</v>
      </c>
      <c r="F832" s="1031">
        <v>0.5</v>
      </c>
      <c r="G832" s="339" t="s">
        <v>34</v>
      </c>
      <c r="H832" s="339"/>
      <c r="I832" s="339"/>
      <c r="J832" s="339"/>
      <c r="K832" s="339"/>
      <c r="L832" s="339"/>
      <c r="M832" s="339"/>
      <c r="N832" s="339"/>
      <c r="O832" s="339"/>
      <c r="P832" s="339"/>
      <c r="Q832" s="339"/>
      <c r="R832" s="339"/>
      <c r="S832" s="339"/>
      <c r="T832" s="339"/>
      <c r="U832" s="339"/>
      <c r="V832" s="339"/>
      <c r="W832" s="339"/>
      <c r="X832" s="339"/>
      <c r="Y832" s="339"/>
      <c r="Z832" s="339"/>
      <c r="AA832" s="339"/>
      <c r="AB832" s="339"/>
      <c r="AC832" s="339"/>
      <c r="AD832" s="339"/>
      <c r="AE832" s="339"/>
      <c r="AF832" s="339"/>
      <c r="AG832" s="339"/>
      <c r="AH832" s="339"/>
      <c r="AI832" s="339"/>
      <c r="AJ832" s="339"/>
      <c r="AK832" s="339"/>
      <c r="AL832" s="339"/>
      <c r="AM832" s="339"/>
      <c r="AN832" s="339"/>
      <c r="AO832" s="339"/>
      <c r="AP832" s="339"/>
      <c r="AQ832" s="339"/>
      <c r="AR832" s="339"/>
      <c r="AS832" s="339"/>
    </row>
    <row r="833" spans="1:45" ht="15" customHeight="1" x14ac:dyDescent="0.3">
      <c r="A833" s="505"/>
      <c r="B833" s="506"/>
      <c r="C833" s="507"/>
      <c r="D833" s="339"/>
      <c r="E833" s="339" t="s">
        <v>1011</v>
      </c>
      <c r="F833" s="1031">
        <v>0.7</v>
      </c>
      <c r="G833" s="339" t="s">
        <v>34</v>
      </c>
      <c r="H833" s="339"/>
      <c r="I833" s="339"/>
      <c r="J833" s="339"/>
      <c r="K833" s="339"/>
      <c r="L833" s="339"/>
      <c r="M833" s="339"/>
      <c r="N833" s="339"/>
      <c r="O833" s="339"/>
      <c r="P833" s="339"/>
      <c r="Q833" s="339"/>
      <c r="R833" s="339"/>
      <c r="S833" s="339"/>
      <c r="T833" s="339"/>
      <c r="U833" s="339"/>
      <c r="V833" s="339"/>
      <c r="W833" s="339"/>
      <c r="X833" s="339"/>
      <c r="Y833" s="339"/>
      <c r="Z833" s="339"/>
      <c r="AA833" s="339"/>
      <c r="AB833" s="339"/>
      <c r="AC833" s="339"/>
      <c r="AD833" s="339"/>
      <c r="AE833" s="339"/>
      <c r="AF833" s="339"/>
      <c r="AG833" s="339"/>
      <c r="AH833" s="339"/>
      <c r="AI833" s="339"/>
      <c r="AJ833" s="339"/>
      <c r="AK833" s="339"/>
      <c r="AL833" s="339"/>
      <c r="AM833" s="339"/>
      <c r="AN833" s="339"/>
      <c r="AO833" s="339"/>
      <c r="AP833" s="339"/>
      <c r="AQ833" s="339"/>
      <c r="AR833" s="339"/>
      <c r="AS833" s="339"/>
    </row>
    <row r="834" spans="1:45" ht="15" customHeight="1" x14ac:dyDescent="0.3">
      <c r="A834" s="505"/>
      <c r="B834" s="506"/>
      <c r="C834" s="507"/>
      <c r="D834" s="339"/>
      <c r="E834" s="339"/>
      <c r="F834" s="339"/>
      <c r="G834" s="339"/>
      <c r="H834" s="339"/>
      <c r="I834" s="339"/>
      <c r="J834" s="339"/>
      <c r="K834" s="339"/>
      <c r="L834" s="339"/>
      <c r="M834" s="339"/>
      <c r="N834" s="339"/>
      <c r="O834" s="339"/>
      <c r="P834" s="339"/>
      <c r="Q834" s="339"/>
      <c r="R834" s="339"/>
      <c r="S834" s="339"/>
      <c r="T834" s="339"/>
      <c r="U834" s="339"/>
      <c r="V834" s="339"/>
      <c r="W834" s="339"/>
      <c r="X834" s="339"/>
      <c r="Y834" s="339"/>
      <c r="Z834" s="339"/>
      <c r="AA834" s="339"/>
      <c r="AB834" s="339"/>
      <c r="AC834" s="339"/>
      <c r="AD834" s="339"/>
      <c r="AE834" s="339"/>
      <c r="AF834" s="339"/>
      <c r="AG834" s="339"/>
      <c r="AH834" s="339"/>
      <c r="AI834" s="339"/>
      <c r="AJ834" s="339"/>
      <c r="AK834" s="339"/>
      <c r="AL834" s="339"/>
      <c r="AM834" s="339"/>
      <c r="AN834" s="339"/>
      <c r="AO834" s="339"/>
      <c r="AP834" s="339"/>
      <c r="AQ834" s="339"/>
      <c r="AR834" s="339"/>
      <c r="AS834" s="339"/>
    </row>
    <row r="835" spans="1:45" ht="15" customHeight="1" x14ac:dyDescent="0.3">
      <c r="A835" s="505"/>
      <c r="B835" s="506"/>
      <c r="C835" s="507"/>
      <c r="D835" s="339"/>
      <c r="E835" s="339" t="s">
        <v>1012</v>
      </c>
      <c r="F835" s="1031">
        <v>0.25</v>
      </c>
      <c r="G835" s="339" t="s">
        <v>34</v>
      </c>
      <c r="H835" s="339"/>
      <c r="I835" s="339"/>
      <c r="J835" s="339"/>
      <c r="K835" s="339"/>
      <c r="L835" s="339"/>
      <c r="M835" s="339"/>
      <c r="N835" s="339"/>
      <c r="O835" s="339"/>
      <c r="P835" s="339"/>
      <c r="Q835" s="339"/>
      <c r="R835" s="339"/>
      <c r="S835" s="339"/>
      <c r="T835" s="339"/>
      <c r="U835" s="339"/>
      <c r="V835" s="339"/>
      <c r="W835" s="339"/>
      <c r="X835" s="339"/>
      <c r="Y835" s="339"/>
      <c r="Z835" s="339"/>
      <c r="AA835" s="339"/>
      <c r="AB835" s="339"/>
      <c r="AC835" s="339"/>
      <c r="AD835" s="339"/>
      <c r="AE835" s="339"/>
      <c r="AF835" s="339"/>
      <c r="AG835" s="339"/>
      <c r="AH835" s="339"/>
      <c r="AI835" s="339"/>
      <c r="AJ835" s="339"/>
      <c r="AK835" s="339"/>
      <c r="AL835" s="339"/>
      <c r="AM835" s="339"/>
      <c r="AN835" s="339"/>
      <c r="AO835" s="339"/>
      <c r="AP835" s="339"/>
      <c r="AQ835" s="339"/>
      <c r="AR835" s="339"/>
      <c r="AS835" s="339"/>
    </row>
    <row r="836" spans="1:45" ht="15" customHeight="1" x14ac:dyDescent="0.3">
      <c r="A836" s="505"/>
      <c r="B836" s="506"/>
      <c r="C836" s="507"/>
      <c r="D836" s="339"/>
      <c r="E836" s="339" t="s">
        <v>1013</v>
      </c>
      <c r="F836" s="1031">
        <v>0.4</v>
      </c>
      <c r="G836" s="339" t="s">
        <v>34</v>
      </c>
      <c r="H836" s="339"/>
      <c r="I836" s="339"/>
      <c r="J836" s="339"/>
      <c r="K836" s="339"/>
      <c r="L836" s="339"/>
      <c r="M836" s="339"/>
      <c r="N836" s="339"/>
      <c r="O836" s="339"/>
      <c r="P836" s="339"/>
      <c r="Q836" s="339"/>
      <c r="R836" s="339"/>
      <c r="S836" s="339"/>
      <c r="T836" s="339"/>
      <c r="U836" s="339"/>
      <c r="V836" s="339"/>
      <c r="W836" s="339"/>
      <c r="X836" s="339"/>
      <c r="Y836" s="339"/>
      <c r="Z836" s="339"/>
      <c r="AA836" s="339"/>
      <c r="AB836" s="339"/>
      <c r="AC836" s="339"/>
      <c r="AD836" s="339"/>
      <c r="AE836" s="339"/>
      <c r="AF836" s="339"/>
      <c r="AG836" s="339"/>
      <c r="AH836" s="339"/>
      <c r="AI836" s="339"/>
      <c r="AJ836" s="339"/>
      <c r="AK836" s="339"/>
      <c r="AL836" s="339"/>
      <c r="AM836" s="339"/>
      <c r="AN836" s="339"/>
      <c r="AO836" s="339"/>
      <c r="AP836" s="339"/>
      <c r="AQ836" s="339"/>
      <c r="AR836" s="339"/>
      <c r="AS836" s="339"/>
    </row>
    <row r="837" spans="1:45" ht="15" customHeight="1" x14ac:dyDescent="0.3">
      <c r="A837" s="505"/>
      <c r="B837" s="506"/>
      <c r="C837" s="507"/>
      <c r="D837" s="339"/>
      <c r="E837" s="339"/>
      <c r="F837" s="339"/>
      <c r="G837" s="339"/>
      <c r="H837" s="339"/>
      <c r="I837" s="339"/>
      <c r="J837" s="339"/>
      <c r="K837" s="339"/>
      <c r="L837" s="339"/>
      <c r="M837" s="339"/>
      <c r="N837" s="339"/>
      <c r="O837" s="339"/>
      <c r="P837" s="339"/>
      <c r="Q837" s="339"/>
      <c r="R837" s="339"/>
      <c r="S837" s="339"/>
      <c r="T837" s="339"/>
      <c r="U837" s="339"/>
      <c r="V837" s="339"/>
      <c r="W837" s="339"/>
      <c r="X837" s="339"/>
      <c r="Y837" s="339"/>
      <c r="Z837" s="339"/>
      <c r="AA837" s="339"/>
      <c r="AB837" s="339"/>
      <c r="AC837" s="339"/>
      <c r="AD837" s="339"/>
      <c r="AE837" s="339"/>
      <c r="AF837" s="339"/>
      <c r="AG837" s="339"/>
      <c r="AH837" s="339"/>
      <c r="AI837" s="339"/>
      <c r="AJ837" s="339"/>
      <c r="AK837" s="339"/>
      <c r="AL837" s="339"/>
      <c r="AM837" s="339"/>
      <c r="AN837" s="339"/>
      <c r="AO837" s="339"/>
      <c r="AP837" s="339"/>
      <c r="AQ837" s="339"/>
      <c r="AR837" s="339"/>
      <c r="AS837" s="339"/>
    </row>
    <row r="838" spans="1:45" ht="15" customHeight="1" x14ac:dyDescent="0.3">
      <c r="A838" s="505"/>
      <c r="B838" s="506"/>
      <c r="C838" s="507"/>
      <c r="D838" s="339"/>
      <c r="E838" s="339" t="s">
        <v>1014</v>
      </c>
      <c r="F838" s="1031">
        <v>0.5</v>
      </c>
      <c r="G838" s="339" t="s">
        <v>34</v>
      </c>
      <c r="H838" s="339"/>
      <c r="I838" s="339"/>
      <c r="J838" s="339"/>
      <c r="K838" s="339"/>
      <c r="L838" s="339"/>
      <c r="M838" s="339"/>
      <c r="N838" s="339"/>
      <c r="O838" s="339"/>
      <c r="P838" s="339"/>
      <c r="Q838" s="339"/>
      <c r="R838" s="339"/>
      <c r="S838" s="339"/>
      <c r="T838" s="339"/>
      <c r="U838" s="339"/>
      <c r="V838" s="339"/>
      <c r="W838" s="339"/>
      <c r="X838" s="339"/>
      <c r="Y838" s="339"/>
      <c r="Z838" s="339"/>
      <c r="AA838" s="339"/>
      <c r="AB838" s="339"/>
      <c r="AC838" s="339"/>
      <c r="AD838" s="339"/>
      <c r="AE838" s="339"/>
      <c r="AF838" s="339"/>
      <c r="AG838" s="339"/>
      <c r="AH838" s="339"/>
      <c r="AI838" s="339"/>
      <c r="AJ838" s="339"/>
      <c r="AK838" s="339"/>
      <c r="AL838" s="339"/>
      <c r="AM838" s="339"/>
      <c r="AN838" s="339"/>
      <c r="AO838" s="339"/>
      <c r="AP838" s="339"/>
      <c r="AQ838" s="339"/>
      <c r="AR838" s="339"/>
      <c r="AS838" s="339"/>
    </row>
    <row r="839" spans="1:45" ht="15" customHeight="1" x14ac:dyDescent="0.3">
      <c r="A839" s="505"/>
      <c r="B839" s="506"/>
      <c r="C839" s="507"/>
      <c r="D839" s="339"/>
      <c r="E839" s="339"/>
      <c r="F839" s="339"/>
      <c r="G839" s="339"/>
      <c r="H839" s="339"/>
      <c r="I839" s="339"/>
      <c r="J839" s="339"/>
      <c r="K839" s="339"/>
      <c r="L839" s="339"/>
      <c r="M839" s="339"/>
      <c r="N839" s="339"/>
      <c r="O839" s="339"/>
      <c r="P839" s="339"/>
      <c r="Q839" s="339"/>
      <c r="R839" s="339"/>
      <c r="S839" s="339"/>
      <c r="T839" s="339"/>
      <c r="U839" s="339"/>
      <c r="V839" s="339"/>
      <c r="W839" s="339"/>
      <c r="X839" s="339"/>
      <c r="Y839" s="339"/>
      <c r="Z839" s="339"/>
      <c r="AA839" s="339"/>
      <c r="AB839" s="339"/>
      <c r="AC839" s="339"/>
      <c r="AD839" s="339"/>
      <c r="AE839" s="339"/>
      <c r="AF839" s="339"/>
      <c r="AG839" s="339"/>
      <c r="AH839" s="339"/>
      <c r="AI839" s="339"/>
      <c r="AJ839" s="339"/>
      <c r="AK839" s="339"/>
      <c r="AL839" s="339"/>
      <c r="AM839" s="339"/>
      <c r="AN839" s="339"/>
      <c r="AO839" s="339"/>
      <c r="AP839" s="339"/>
      <c r="AQ839" s="339"/>
      <c r="AR839" s="339"/>
      <c r="AS839" s="339"/>
    </row>
    <row r="840" spans="1:45" ht="15" customHeight="1" x14ac:dyDescent="0.3">
      <c r="A840" s="505"/>
      <c r="B840" s="506"/>
      <c r="C840" s="507"/>
      <c r="D840" s="339"/>
      <c r="E840" s="339" t="s">
        <v>1015</v>
      </c>
      <c r="F840" s="339"/>
      <c r="G840" s="339" t="s">
        <v>346</v>
      </c>
      <c r="H840" s="339"/>
      <c r="I840" s="339">
        <f xml:space="preserve"> SUM(L840:AS840)</f>
        <v>401.09207538024015</v>
      </c>
      <c r="K840" s="339">
        <f t="shared" ref="K840:AS840" si="725" xml:space="preserve"> K828 * $F832 * $F835 * $F838</f>
        <v>0</v>
      </c>
      <c r="L840" s="339">
        <f t="shared" si="725"/>
        <v>0</v>
      </c>
      <c r="M840" s="339">
        <f t="shared" si="725"/>
        <v>0</v>
      </c>
      <c r="N840" s="339">
        <f t="shared" si="725"/>
        <v>0</v>
      </c>
      <c r="O840" s="339">
        <f t="shared" si="725"/>
        <v>0</v>
      </c>
      <c r="P840" s="339">
        <f t="shared" si="725"/>
        <v>0</v>
      </c>
      <c r="Q840" s="339">
        <f t="shared" si="725"/>
        <v>0</v>
      </c>
      <c r="R840" s="339">
        <f t="shared" si="725"/>
        <v>0</v>
      </c>
      <c r="S840" s="339">
        <f t="shared" si="725"/>
        <v>0</v>
      </c>
      <c r="T840" s="339">
        <f t="shared" si="725"/>
        <v>0</v>
      </c>
      <c r="U840" s="339">
        <f t="shared" si="725"/>
        <v>0</v>
      </c>
      <c r="V840" s="339">
        <f t="shared" si="725"/>
        <v>5.7842154937499997</v>
      </c>
      <c r="W840" s="339">
        <f t="shared" si="725"/>
        <v>6.9505176268750004</v>
      </c>
      <c r="X840" s="339">
        <f t="shared" si="725"/>
        <v>13.934645881847999</v>
      </c>
      <c r="Y840" s="339">
        <f t="shared" si="725"/>
        <v>17.192458577745001</v>
      </c>
      <c r="Z840" s="339">
        <f t="shared" si="725"/>
        <v>14.802648590132</v>
      </c>
      <c r="AA840" s="339">
        <f t="shared" si="725"/>
        <v>32.576988385154749</v>
      </c>
      <c r="AB840" s="339">
        <f t="shared" si="725"/>
        <v>28.678508800283939</v>
      </c>
      <c r="AC840" s="339">
        <f t="shared" si="725"/>
        <v>31.141505984424999</v>
      </c>
      <c r="AD840" s="339">
        <f t="shared" si="725"/>
        <v>31.212155747843688</v>
      </c>
      <c r="AE840" s="339">
        <f t="shared" si="725"/>
        <v>31.977619640028795</v>
      </c>
      <c r="AF840" s="339">
        <f t="shared" si="725"/>
        <v>32.654801133103433</v>
      </c>
      <c r="AG840" s="339">
        <f t="shared" si="725"/>
        <v>33.362066577543693</v>
      </c>
      <c r="AH840" s="339">
        <f t="shared" si="725"/>
        <v>34.082034383230607</v>
      </c>
      <c r="AI840" s="339">
        <f t="shared" si="725"/>
        <v>35.190273556850023</v>
      </c>
      <c r="AJ840" s="339">
        <f t="shared" si="725"/>
        <v>32.554383300774944</v>
      </c>
      <c r="AK840" s="339">
        <f t="shared" si="725"/>
        <v>18.997251700651294</v>
      </c>
      <c r="AL840" s="339">
        <f t="shared" si="725"/>
        <v>0</v>
      </c>
      <c r="AM840" s="339">
        <f t="shared" si="725"/>
        <v>0</v>
      </c>
      <c r="AN840" s="339">
        <f t="shared" si="725"/>
        <v>0</v>
      </c>
      <c r="AO840" s="339">
        <f t="shared" si="725"/>
        <v>0</v>
      </c>
      <c r="AP840" s="339">
        <f t="shared" si="725"/>
        <v>0</v>
      </c>
      <c r="AQ840" s="339">
        <f t="shared" si="725"/>
        <v>0</v>
      </c>
      <c r="AR840" s="339">
        <f t="shared" si="725"/>
        <v>0</v>
      </c>
      <c r="AS840" s="339">
        <f t="shared" si="725"/>
        <v>0</v>
      </c>
    </row>
    <row r="841" spans="1:45" ht="15" customHeight="1" x14ac:dyDescent="0.3">
      <c r="A841" s="505"/>
      <c r="B841" s="506"/>
      <c r="C841" s="507"/>
      <c r="D841" s="339"/>
      <c r="E841" s="339" t="s">
        <v>1016</v>
      </c>
      <c r="F841" s="339"/>
      <c r="G841" s="339" t="s">
        <v>346</v>
      </c>
      <c r="H841" s="339"/>
      <c r="I841" s="339">
        <f t="shared" ref="I841:I842" si="726" xml:space="preserve"> SUM(L841:AS841)</f>
        <v>116.37432807306433</v>
      </c>
      <c r="K841" s="339">
        <f t="shared" ref="K841:AS841" si="727" xml:space="preserve"> K829 * $F833 * $F836 * $F838</f>
        <v>0</v>
      </c>
      <c r="L841" s="339">
        <f t="shared" si="727"/>
        <v>0</v>
      </c>
      <c r="M841" s="339">
        <f t="shared" si="727"/>
        <v>0</v>
      </c>
      <c r="N841" s="339">
        <f t="shared" si="727"/>
        <v>0</v>
      </c>
      <c r="O841" s="339">
        <f t="shared" si="727"/>
        <v>0</v>
      </c>
      <c r="P841" s="339">
        <f t="shared" si="727"/>
        <v>0</v>
      </c>
      <c r="Q841" s="339">
        <f t="shared" si="727"/>
        <v>0</v>
      </c>
      <c r="R841" s="339">
        <f t="shared" si="727"/>
        <v>0</v>
      </c>
      <c r="S841" s="339">
        <f t="shared" si="727"/>
        <v>0</v>
      </c>
      <c r="T841" s="339">
        <f t="shared" si="727"/>
        <v>0</v>
      </c>
      <c r="U841" s="339">
        <f t="shared" si="727"/>
        <v>0</v>
      </c>
      <c r="V841" s="339">
        <f t="shared" si="727"/>
        <v>34.303947068999996</v>
      </c>
      <c r="W841" s="339">
        <f t="shared" si="727"/>
        <v>15.586721882200003</v>
      </c>
      <c r="X841" s="339">
        <f t="shared" si="727"/>
        <v>20.760559248800003</v>
      </c>
      <c r="Y841" s="339">
        <f t="shared" si="727"/>
        <v>0.67028677800000003</v>
      </c>
      <c r="Z841" s="339">
        <f t="shared" si="727"/>
        <v>11.453720656</v>
      </c>
      <c r="AA841" s="339">
        <f t="shared" si="727"/>
        <v>14.042859017599998</v>
      </c>
      <c r="AB841" s="339">
        <f t="shared" si="727"/>
        <v>14.543722626351133</v>
      </c>
      <c r="AC841" s="339">
        <f t="shared" si="727"/>
        <v>5.0125107951131991</v>
      </c>
      <c r="AD841" s="339">
        <f t="shared" si="727"/>
        <v>0</v>
      </c>
      <c r="AE841" s="339">
        <f t="shared" si="727"/>
        <v>0</v>
      </c>
      <c r="AF841" s="339">
        <f t="shared" si="727"/>
        <v>0</v>
      </c>
      <c r="AG841" s="339">
        <f t="shared" si="727"/>
        <v>0</v>
      </c>
      <c r="AH841" s="339">
        <f t="shared" si="727"/>
        <v>0</v>
      </c>
      <c r="AI841" s="339">
        <f t="shared" si="727"/>
        <v>0</v>
      </c>
      <c r="AJ841" s="339">
        <f t="shared" si="727"/>
        <v>0</v>
      </c>
      <c r="AK841" s="339">
        <f t="shared" si="727"/>
        <v>0</v>
      </c>
      <c r="AL841" s="339">
        <f t="shared" si="727"/>
        <v>0</v>
      </c>
      <c r="AM841" s="339">
        <f t="shared" si="727"/>
        <v>0</v>
      </c>
      <c r="AN841" s="339">
        <f t="shared" si="727"/>
        <v>0</v>
      </c>
      <c r="AO841" s="339">
        <f t="shared" si="727"/>
        <v>0</v>
      </c>
      <c r="AP841" s="339">
        <f t="shared" si="727"/>
        <v>0</v>
      </c>
      <c r="AQ841" s="339">
        <f t="shared" si="727"/>
        <v>0</v>
      </c>
      <c r="AR841" s="339">
        <f t="shared" si="727"/>
        <v>0</v>
      </c>
      <c r="AS841" s="339">
        <f t="shared" si="727"/>
        <v>0</v>
      </c>
    </row>
    <row r="842" spans="1:45" ht="15" customHeight="1" x14ac:dyDescent="0.3">
      <c r="A842" s="505"/>
      <c r="B842" s="506"/>
      <c r="C842" s="507"/>
      <c r="D842" s="339"/>
      <c r="E842" s="339" t="s">
        <v>1017</v>
      </c>
      <c r="F842" s="339"/>
      <c r="G842" s="339" t="s">
        <v>346</v>
      </c>
      <c r="H842" s="339"/>
      <c r="I842" s="339">
        <f t="shared" si="726"/>
        <v>517.46640345330445</v>
      </c>
      <c r="K842" s="339">
        <f t="shared" ref="K842:AS842" si="728">SUM(K840:K841)</f>
        <v>0</v>
      </c>
      <c r="L842" s="339">
        <f t="shared" si="728"/>
        <v>0</v>
      </c>
      <c r="M842" s="339">
        <f t="shared" si="728"/>
        <v>0</v>
      </c>
      <c r="N842" s="339">
        <f t="shared" si="728"/>
        <v>0</v>
      </c>
      <c r="O842" s="339">
        <f t="shared" si="728"/>
        <v>0</v>
      </c>
      <c r="P842" s="339">
        <f t="shared" si="728"/>
        <v>0</v>
      </c>
      <c r="Q842" s="339">
        <f t="shared" si="728"/>
        <v>0</v>
      </c>
      <c r="R842" s="339">
        <f t="shared" si="728"/>
        <v>0</v>
      </c>
      <c r="S842" s="339">
        <f t="shared" si="728"/>
        <v>0</v>
      </c>
      <c r="T842" s="339">
        <f t="shared" si="728"/>
        <v>0</v>
      </c>
      <c r="U842" s="339">
        <f t="shared" si="728"/>
        <v>0</v>
      </c>
      <c r="V842" s="339">
        <f t="shared" si="728"/>
        <v>40.088162562749993</v>
      </c>
      <c r="W842" s="339">
        <f t="shared" si="728"/>
        <v>22.537239509075004</v>
      </c>
      <c r="X842" s="339">
        <f t="shared" si="728"/>
        <v>34.695205130648006</v>
      </c>
      <c r="Y842" s="339">
        <f t="shared" si="728"/>
        <v>17.862745355745002</v>
      </c>
      <c r="Z842" s="339">
        <f t="shared" si="728"/>
        <v>26.256369246132</v>
      </c>
      <c r="AA842" s="339">
        <f t="shared" si="728"/>
        <v>46.619847402754743</v>
      </c>
      <c r="AB842" s="339">
        <f t="shared" si="728"/>
        <v>43.222231426635076</v>
      </c>
      <c r="AC842" s="339">
        <f t="shared" si="728"/>
        <v>36.154016779538196</v>
      </c>
      <c r="AD842" s="339">
        <f t="shared" si="728"/>
        <v>31.212155747843688</v>
      </c>
      <c r="AE842" s="339">
        <f t="shared" si="728"/>
        <v>31.977619640028795</v>
      </c>
      <c r="AF842" s="339">
        <f t="shared" si="728"/>
        <v>32.654801133103433</v>
      </c>
      <c r="AG842" s="339">
        <f t="shared" si="728"/>
        <v>33.362066577543693</v>
      </c>
      <c r="AH842" s="339">
        <f t="shared" si="728"/>
        <v>34.082034383230607</v>
      </c>
      <c r="AI842" s="339">
        <f t="shared" si="728"/>
        <v>35.190273556850023</v>
      </c>
      <c r="AJ842" s="339">
        <f t="shared" si="728"/>
        <v>32.554383300774944</v>
      </c>
      <c r="AK842" s="339">
        <f t="shared" si="728"/>
        <v>18.997251700651294</v>
      </c>
      <c r="AL842" s="339">
        <f t="shared" si="728"/>
        <v>0</v>
      </c>
      <c r="AM842" s="339">
        <f t="shared" si="728"/>
        <v>0</v>
      </c>
      <c r="AN842" s="339">
        <f t="shared" si="728"/>
        <v>0</v>
      </c>
      <c r="AO842" s="339">
        <f t="shared" si="728"/>
        <v>0</v>
      </c>
      <c r="AP842" s="339">
        <f t="shared" si="728"/>
        <v>0</v>
      </c>
      <c r="AQ842" s="339">
        <f t="shared" si="728"/>
        <v>0</v>
      </c>
      <c r="AR842" s="339">
        <f t="shared" si="728"/>
        <v>0</v>
      </c>
      <c r="AS842" s="339">
        <f t="shared" si="728"/>
        <v>0</v>
      </c>
    </row>
    <row r="843" spans="1:45" ht="15" customHeight="1" x14ac:dyDescent="0.3">
      <c r="A843" s="505"/>
      <c r="B843" s="506"/>
      <c r="C843" s="507"/>
      <c r="D843" s="339"/>
      <c r="E843" s="339"/>
      <c r="F843" s="339"/>
      <c r="G843" s="339"/>
      <c r="H843" s="339"/>
      <c r="I843" s="339"/>
      <c r="J843" s="339"/>
      <c r="K843" s="339"/>
      <c r="L843" s="339"/>
      <c r="M843" s="339"/>
      <c r="N843" s="339"/>
      <c r="O843" s="339"/>
      <c r="P843" s="339"/>
      <c r="Q843" s="339"/>
      <c r="R843" s="339"/>
      <c r="S843" s="339"/>
      <c r="T843" s="339"/>
      <c r="U843" s="339"/>
      <c r="V843" s="339"/>
      <c r="W843" s="339"/>
      <c r="X843" s="339"/>
      <c r="Y843" s="339"/>
      <c r="Z843" s="339"/>
      <c r="AA843" s="339"/>
      <c r="AB843" s="339"/>
      <c r="AC843" s="339"/>
      <c r="AD843" s="339"/>
      <c r="AE843" s="339"/>
      <c r="AF843" s="339"/>
      <c r="AG843" s="339"/>
      <c r="AH843" s="339"/>
      <c r="AI843" s="339"/>
      <c r="AJ843" s="339"/>
      <c r="AK843" s="339"/>
      <c r="AL843" s="339"/>
      <c r="AM843" s="339"/>
      <c r="AN843" s="339"/>
      <c r="AO843" s="339"/>
      <c r="AP843" s="339"/>
      <c r="AQ843" s="339"/>
      <c r="AR843" s="339"/>
      <c r="AS843" s="339"/>
    </row>
    <row r="844" spans="1:45" ht="15" customHeight="1" x14ac:dyDescent="0.3">
      <c r="A844" s="505"/>
      <c r="B844" s="506"/>
      <c r="C844" s="507"/>
      <c r="D844" s="339"/>
      <c r="E844" s="980" t="str">
        <f xml:space="preserve"> Inputs_Con!E$112</f>
        <v>WHT rate non-resident services</v>
      </c>
      <c r="F844" s="1033">
        <f xml:space="preserve"> Inputs_Con!F$112</f>
        <v>0.14000000000000001</v>
      </c>
      <c r="G844" s="177" t="str">
        <f xml:space="preserve"> Inputs_Con!G$112</f>
        <v>%</v>
      </c>
      <c r="H844" s="339"/>
      <c r="I844" s="339"/>
      <c r="J844" s="339"/>
      <c r="K844" s="339"/>
      <c r="L844" s="339"/>
      <c r="M844" s="339"/>
      <c r="N844" s="339"/>
      <c r="O844" s="339"/>
      <c r="P844" s="339"/>
      <c r="Q844" s="339"/>
      <c r="R844" s="339"/>
      <c r="S844" s="339"/>
      <c r="T844" s="339"/>
      <c r="U844" s="339"/>
      <c r="V844" s="339"/>
      <c r="W844" s="339"/>
      <c r="X844" s="339"/>
      <c r="Y844" s="339"/>
      <c r="Z844" s="339"/>
      <c r="AA844" s="339"/>
      <c r="AB844" s="339"/>
      <c r="AC844" s="339"/>
      <c r="AD844" s="339"/>
      <c r="AE844" s="339"/>
      <c r="AF844" s="339"/>
      <c r="AG844" s="339"/>
      <c r="AH844" s="339"/>
      <c r="AI844" s="339"/>
      <c r="AJ844" s="339"/>
      <c r="AK844" s="339"/>
      <c r="AL844" s="339"/>
      <c r="AM844" s="339"/>
      <c r="AN844" s="339"/>
      <c r="AO844" s="339"/>
      <c r="AP844" s="339"/>
      <c r="AQ844" s="339"/>
      <c r="AR844" s="339"/>
      <c r="AS844" s="339"/>
    </row>
    <row r="845" spans="1:45" ht="15" customHeight="1" x14ac:dyDescent="0.3">
      <c r="A845" s="505"/>
      <c r="B845" s="506"/>
      <c r="C845" s="507"/>
      <c r="D845" s="339"/>
      <c r="E845" s="339"/>
      <c r="F845" s="339"/>
      <c r="G845" s="339"/>
      <c r="H845" s="339"/>
      <c r="I845" s="339"/>
      <c r="J845" s="339"/>
      <c r="K845" s="339"/>
      <c r="L845" s="339"/>
      <c r="M845" s="339"/>
      <c r="N845" s="339"/>
      <c r="O845" s="339"/>
      <c r="P845" s="339"/>
      <c r="Q845" s="339"/>
      <c r="R845" s="339"/>
      <c r="S845" s="339"/>
      <c r="T845" s="339"/>
      <c r="U845" s="339"/>
      <c r="V845" s="339"/>
      <c r="W845" s="339"/>
      <c r="X845" s="339"/>
      <c r="Y845" s="339"/>
      <c r="Z845" s="339"/>
      <c r="AA845" s="339"/>
      <c r="AB845" s="339"/>
      <c r="AC845" s="339"/>
      <c r="AD845" s="339"/>
      <c r="AE845" s="339"/>
      <c r="AF845" s="339"/>
      <c r="AG845" s="339"/>
      <c r="AH845" s="339"/>
      <c r="AI845" s="339"/>
      <c r="AJ845" s="339"/>
      <c r="AK845" s="339"/>
      <c r="AL845" s="339"/>
      <c r="AM845" s="339"/>
      <c r="AN845" s="339"/>
      <c r="AO845" s="339"/>
      <c r="AP845" s="339"/>
      <c r="AQ845" s="339"/>
      <c r="AR845" s="339"/>
      <c r="AS845" s="339"/>
    </row>
    <row r="846" spans="1:45" ht="15" customHeight="1" x14ac:dyDescent="0.3">
      <c r="A846" s="505"/>
      <c r="B846" s="506"/>
      <c r="C846" s="507"/>
      <c r="D846" s="339"/>
      <c r="E846" s="339" t="s">
        <v>1018</v>
      </c>
      <c r="F846" s="339"/>
      <c r="G846" s="339" t="s">
        <v>346</v>
      </c>
      <c r="H846" s="339"/>
      <c r="I846" s="339">
        <f xml:space="preserve"> SUM(K846:AS846)</f>
        <v>56.152890553233632</v>
      </c>
      <c r="J846" s="339"/>
      <c r="K846" s="339">
        <f t="shared" ref="K846:AS846" si="729" xml:space="preserve"> K840 * $F844</f>
        <v>0</v>
      </c>
      <c r="L846" s="339">
        <f t="shared" si="729"/>
        <v>0</v>
      </c>
      <c r="M846" s="339">
        <f t="shared" si="729"/>
        <v>0</v>
      </c>
      <c r="N846" s="339">
        <f t="shared" si="729"/>
        <v>0</v>
      </c>
      <c r="O846" s="339">
        <f t="shared" si="729"/>
        <v>0</v>
      </c>
      <c r="P846" s="339">
        <f t="shared" si="729"/>
        <v>0</v>
      </c>
      <c r="Q846" s="339">
        <f t="shared" si="729"/>
        <v>0</v>
      </c>
      <c r="R846" s="339">
        <f t="shared" si="729"/>
        <v>0</v>
      </c>
      <c r="S846" s="339">
        <f t="shared" si="729"/>
        <v>0</v>
      </c>
      <c r="T846" s="339">
        <f t="shared" si="729"/>
        <v>0</v>
      </c>
      <c r="U846" s="339">
        <f t="shared" si="729"/>
        <v>0</v>
      </c>
      <c r="V846" s="339">
        <f t="shared" si="729"/>
        <v>0.80979016912500001</v>
      </c>
      <c r="W846" s="339">
        <f t="shared" si="729"/>
        <v>0.97307246776250012</v>
      </c>
      <c r="X846" s="339">
        <f t="shared" si="729"/>
        <v>1.9508504234587201</v>
      </c>
      <c r="Y846" s="339">
        <f t="shared" si="729"/>
        <v>2.4069442008843005</v>
      </c>
      <c r="Z846" s="339">
        <f t="shared" si="729"/>
        <v>2.0723708026184799</v>
      </c>
      <c r="AA846" s="339">
        <f t="shared" si="729"/>
        <v>4.5607783739216652</v>
      </c>
      <c r="AB846" s="339">
        <f t="shared" si="729"/>
        <v>4.0149912320397521</v>
      </c>
      <c r="AC846" s="339">
        <f t="shared" si="729"/>
        <v>4.3598108378195004</v>
      </c>
      <c r="AD846" s="339">
        <f t="shared" si="729"/>
        <v>4.3697018046981171</v>
      </c>
      <c r="AE846" s="339">
        <f t="shared" si="729"/>
        <v>4.4768667496040315</v>
      </c>
      <c r="AF846" s="339">
        <f t="shared" si="729"/>
        <v>4.5716721586344811</v>
      </c>
      <c r="AG846" s="339">
        <f t="shared" si="729"/>
        <v>4.6706893208561171</v>
      </c>
      <c r="AH846" s="339">
        <f t="shared" si="729"/>
        <v>4.7714848136522852</v>
      </c>
      <c r="AI846" s="339">
        <f t="shared" si="729"/>
        <v>4.9266382979590038</v>
      </c>
      <c r="AJ846" s="339">
        <f t="shared" si="729"/>
        <v>4.5576136621084924</v>
      </c>
      <c r="AK846" s="339">
        <f t="shared" si="729"/>
        <v>2.6596152380911815</v>
      </c>
      <c r="AL846" s="339">
        <f t="shared" si="729"/>
        <v>0</v>
      </c>
      <c r="AM846" s="339">
        <f t="shared" si="729"/>
        <v>0</v>
      </c>
      <c r="AN846" s="339">
        <f t="shared" si="729"/>
        <v>0</v>
      </c>
      <c r="AO846" s="339">
        <f t="shared" si="729"/>
        <v>0</v>
      </c>
      <c r="AP846" s="339">
        <f t="shared" si="729"/>
        <v>0</v>
      </c>
      <c r="AQ846" s="339">
        <f t="shared" si="729"/>
        <v>0</v>
      </c>
      <c r="AR846" s="339">
        <f t="shared" si="729"/>
        <v>0</v>
      </c>
      <c r="AS846" s="339">
        <f t="shared" si="729"/>
        <v>0</v>
      </c>
    </row>
    <row r="847" spans="1:45" ht="15" customHeight="1" x14ac:dyDescent="0.3">
      <c r="A847" s="505"/>
      <c r="B847" s="506"/>
      <c r="C847" s="507"/>
      <c r="D847" s="339"/>
      <c r="E847" s="339" t="s">
        <v>1019</v>
      </c>
      <c r="F847" s="339"/>
      <c r="G847" s="339" t="s">
        <v>346</v>
      </c>
      <c r="H847" s="339"/>
      <c r="I847" s="339">
        <f xml:space="preserve"> SUM(K847:AS847)</f>
        <v>16.292405930229009</v>
      </c>
      <c r="J847" s="339"/>
      <c r="K847" s="339">
        <f t="shared" ref="K847:AS847" si="730" xml:space="preserve"> K841 * $F844</f>
        <v>0</v>
      </c>
      <c r="L847" s="339">
        <f t="shared" si="730"/>
        <v>0</v>
      </c>
      <c r="M847" s="339">
        <f t="shared" si="730"/>
        <v>0</v>
      </c>
      <c r="N847" s="339">
        <f t="shared" si="730"/>
        <v>0</v>
      </c>
      <c r="O847" s="339">
        <f t="shared" si="730"/>
        <v>0</v>
      </c>
      <c r="P847" s="339">
        <f t="shared" si="730"/>
        <v>0</v>
      </c>
      <c r="Q847" s="339">
        <f t="shared" si="730"/>
        <v>0</v>
      </c>
      <c r="R847" s="339">
        <f t="shared" si="730"/>
        <v>0</v>
      </c>
      <c r="S847" s="339">
        <f t="shared" si="730"/>
        <v>0</v>
      </c>
      <c r="T847" s="339">
        <f t="shared" si="730"/>
        <v>0</v>
      </c>
      <c r="U847" s="339">
        <f t="shared" si="730"/>
        <v>0</v>
      </c>
      <c r="V847" s="339">
        <f t="shared" si="730"/>
        <v>4.8025525896600003</v>
      </c>
      <c r="W847" s="339">
        <f t="shared" si="730"/>
        <v>2.1821410635080007</v>
      </c>
      <c r="X847" s="339">
        <f t="shared" si="730"/>
        <v>2.9064782948320009</v>
      </c>
      <c r="Y847" s="339">
        <f t="shared" si="730"/>
        <v>9.3840148920000019E-2</v>
      </c>
      <c r="Z847" s="339">
        <f t="shared" si="730"/>
        <v>1.6035208918400001</v>
      </c>
      <c r="AA847" s="339">
        <f t="shared" si="730"/>
        <v>1.9660002624639998</v>
      </c>
      <c r="AB847" s="339">
        <f t="shared" si="730"/>
        <v>2.0361211676891591</v>
      </c>
      <c r="AC847" s="339">
        <f t="shared" si="730"/>
        <v>0.7017515113158479</v>
      </c>
      <c r="AD847" s="339">
        <f t="shared" si="730"/>
        <v>0</v>
      </c>
      <c r="AE847" s="339">
        <f t="shared" si="730"/>
        <v>0</v>
      </c>
      <c r="AF847" s="339">
        <f t="shared" si="730"/>
        <v>0</v>
      </c>
      <c r="AG847" s="339">
        <f t="shared" si="730"/>
        <v>0</v>
      </c>
      <c r="AH847" s="339">
        <f t="shared" si="730"/>
        <v>0</v>
      </c>
      <c r="AI847" s="339">
        <f t="shared" si="730"/>
        <v>0</v>
      </c>
      <c r="AJ847" s="339">
        <f t="shared" si="730"/>
        <v>0</v>
      </c>
      <c r="AK847" s="339">
        <f t="shared" si="730"/>
        <v>0</v>
      </c>
      <c r="AL847" s="339">
        <f t="shared" si="730"/>
        <v>0</v>
      </c>
      <c r="AM847" s="339">
        <f t="shared" si="730"/>
        <v>0</v>
      </c>
      <c r="AN847" s="339">
        <f t="shared" si="730"/>
        <v>0</v>
      </c>
      <c r="AO847" s="339">
        <f t="shared" si="730"/>
        <v>0</v>
      </c>
      <c r="AP847" s="339">
        <f t="shared" si="730"/>
        <v>0</v>
      </c>
      <c r="AQ847" s="339">
        <f t="shared" si="730"/>
        <v>0</v>
      </c>
      <c r="AR847" s="339">
        <f t="shared" si="730"/>
        <v>0</v>
      </c>
      <c r="AS847" s="339">
        <f t="shared" si="730"/>
        <v>0</v>
      </c>
    </row>
    <row r="848" spans="1:45" s="70" customFormat="1" ht="15" customHeight="1" x14ac:dyDescent="0.3">
      <c r="A848" s="778"/>
      <c r="B848" s="778"/>
      <c r="C848" s="779"/>
      <c r="D848" s="408"/>
      <c r="E848" s="850" t="s">
        <v>1020</v>
      </c>
      <c r="F848" s="850"/>
      <c r="G848" s="850" t="s">
        <v>346</v>
      </c>
      <c r="H848" s="850"/>
      <c r="I848" s="850">
        <f xml:space="preserve"> SUM(K848:AS848)</f>
        <v>72.445296483462641</v>
      </c>
      <c r="J848" s="850"/>
      <c r="K848" s="850">
        <f t="shared" ref="K848:AS848" si="731">SUM(K846:K847)</f>
        <v>0</v>
      </c>
      <c r="L848" s="850">
        <f t="shared" si="731"/>
        <v>0</v>
      </c>
      <c r="M848" s="850">
        <f t="shared" si="731"/>
        <v>0</v>
      </c>
      <c r="N848" s="850">
        <f t="shared" si="731"/>
        <v>0</v>
      </c>
      <c r="O848" s="850">
        <f t="shared" si="731"/>
        <v>0</v>
      </c>
      <c r="P848" s="850">
        <f t="shared" si="731"/>
        <v>0</v>
      </c>
      <c r="Q848" s="850">
        <f t="shared" si="731"/>
        <v>0</v>
      </c>
      <c r="R848" s="850">
        <f t="shared" si="731"/>
        <v>0</v>
      </c>
      <c r="S848" s="850">
        <f t="shared" si="731"/>
        <v>0</v>
      </c>
      <c r="T848" s="850">
        <f t="shared" si="731"/>
        <v>0</v>
      </c>
      <c r="U848" s="850">
        <f t="shared" si="731"/>
        <v>0</v>
      </c>
      <c r="V848" s="850">
        <f t="shared" si="731"/>
        <v>5.6123427587850001</v>
      </c>
      <c r="W848" s="850">
        <f t="shared" si="731"/>
        <v>3.1552135312705007</v>
      </c>
      <c r="X848" s="850">
        <f t="shared" si="731"/>
        <v>4.857328718290721</v>
      </c>
      <c r="Y848" s="850">
        <f t="shared" si="731"/>
        <v>2.5007843498043005</v>
      </c>
      <c r="Z848" s="850">
        <f t="shared" si="731"/>
        <v>3.6758916944584801</v>
      </c>
      <c r="AA848" s="850">
        <f t="shared" si="731"/>
        <v>6.5267786363856652</v>
      </c>
      <c r="AB848" s="850">
        <f t="shared" si="731"/>
        <v>6.0511123997289111</v>
      </c>
      <c r="AC848" s="850">
        <f t="shared" si="731"/>
        <v>5.0615623491353485</v>
      </c>
      <c r="AD848" s="850">
        <f t="shared" si="731"/>
        <v>4.3697018046981171</v>
      </c>
      <c r="AE848" s="850">
        <f t="shared" si="731"/>
        <v>4.4768667496040315</v>
      </c>
      <c r="AF848" s="850">
        <f t="shared" si="731"/>
        <v>4.5716721586344811</v>
      </c>
      <c r="AG848" s="850">
        <f t="shared" si="731"/>
        <v>4.6706893208561171</v>
      </c>
      <c r="AH848" s="850">
        <f t="shared" si="731"/>
        <v>4.7714848136522852</v>
      </c>
      <c r="AI848" s="850">
        <f t="shared" si="731"/>
        <v>4.9266382979590038</v>
      </c>
      <c r="AJ848" s="850">
        <f t="shared" si="731"/>
        <v>4.5576136621084924</v>
      </c>
      <c r="AK848" s="850">
        <f t="shared" si="731"/>
        <v>2.6596152380911815</v>
      </c>
      <c r="AL848" s="850">
        <f t="shared" si="731"/>
        <v>0</v>
      </c>
      <c r="AM848" s="850">
        <f t="shared" si="731"/>
        <v>0</v>
      </c>
      <c r="AN848" s="850">
        <f t="shared" si="731"/>
        <v>0</v>
      </c>
      <c r="AO848" s="850">
        <f t="shared" si="731"/>
        <v>0</v>
      </c>
      <c r="AP848" s="850">
        <f t="shared" si="731"/>
        <v>0</v>
      </c>
      <c r="AQ848" s="850">
        <f t="shared" si="731"/>
        <v>0</v>
      </c>
      <c r="AR848" s="850">
        <f t="shared" si="731"/>
        <v>0</v>
      </c>
      <c r="AS848" s="850">
        <f t="shared" si="731"/>
        <v>0</v>
      </c>
    </row>
    <row r="849" spans="1:45" ht="15" customHeight="1" x14ac:dyDescent="0.3">
      <c r="A849" s="505"/>
      <c r="B849" s="506"/>
      <c r="C849" s="507"/>
      <c r="D849" s="339"/>
      <c r="E849" s="841"/>
      <c r="F849" s="841"/>
      <c r="G849" s="841"/>
      <c r="H849" s="339"/>
      <c r="I849" s="339"/>
      <c r="J849" s="339"/>
      <c r="K849" s="339"/>
      <c r="L849" s="339"/>
      <c r="M849" s="339"/>
      <c r="N849" s="339"/>
      <c r="O849" s="339"/>
      <c r="P849" s="339"/>
      <c r="Q849" s="339"/>
      <c r="R849" s="339"/>
      <c r="S849" s="339"/>
      <c r="T849" s="339"/>
      <c r="U849" s="339"/>
      <c r="V849" s="339"/>
      <c r="W849" s="339"/>
      <c r="X849" s="339"/>
      <c r="Y849" s="339"/>
      <c r="Z849" s="339"/>
      <c r="AA849" s="339"/>
      <c r="AB849" s="339"/>
      <c r="AC849" s="339"/>
      <c r="AD849" s="339"/>
      <c r="AE849" s="339"/>
      <c r="AF849" s="339"/>
      <c r="AG849" s="339"/>
      <c r="AH849" s="339"/>
      <c r="AI849" s="339"/>
      <c r="AJ849" s="339"/>
      <c r="AK849" s="339"/>
      <c r="AL849" s="339"/>
      <c r="AM849" s="339"/>
      <c r="AN849" s="339"/>
      <c r="AO849" s="339"/>
      <c r="AP849" s="339"/>
      <c r="AQ849" s="339"/>
      <c r="AR849" s="339"/>
      <c r="AS849" s="339"/>
    </row>
    <row r="850" spans="1:45" ht="15" customHeight="1" collapsed="1" x14ac:dyDescent="0.3">
      <c r="A850" s="15" t="s">
        <v>686</v>
      </c>
      <c r="B850" s="119"/>
      <c r="C850" s="120"/>
      <c r="D850" s="121"/>
      <c r="E850" s="119"/>
      <c r="F850" s="119"/>
      <c r="G850" s="119"/>
      <c r="H850" s="119"/>
      <c r="I850" s="119"/>
      <c r="J850" s="16"/>
      <c r="K850" s="16"/>
      <c r="L850" s="16"/>
      <c r="M850" s="16"/>
      <c r="N850" s="16"/>
      <c r="O850" s="16"/>
      <c r="P850" s="16"/>
      <c r="Q850" s="16"/>
      <c r="R850" s="16"/>
      <c r="S850" s="16"/>
      <c r="T850" s="16"/>
      <c r="U850" s="16"/>
      <c r="V850" s="16"/>
      <c r="W850" s="16"/>
      <c r="X850" s="16"/>
      <c r="Y850" s="16"/>
      <c r="Z850" s="16"/>
      <c r="AA850" s="16"/>
      <c r="AB850" s="16"/>
      <c r="AC850" s="16"/>
      <c r="AD850" s="16"/>
      <c r="AE850" s="16"/>
      <c r="AF850" s="16"/>
      <c r="AG850" s="16"/>
      <c r="AH850" s="16"/>
      <c r="AI850" s="16"/>
      <c r="AJ850" s="16"/>
      <c r="AK850" s="16"/>
      <c r="AL850" s="16"/>
      <c r="AM850" s="16"/>
      <c r="AN850" s="16"/>
      <c r="AO850" s="16"/>
      <c r="AP850" s="16"/>
      <c r="AQ850" s="16"/>
      <c r="AR850" s="16"/>
      <c r="AS850" s="16"/>
    </row>
    <row r="851" spans="1:45" ht="15" customHeight="1" x14ac:dyDescent="0.3">
      <c r="I851" s="116"/>
      <c r="AL851" s="42"/>
      <c r="AM851" s="42"/>
      <c r="AN851" s="42"/>
      <c r="AO851" s="42"/>
      <c r="AP851" s="42"/>
      <c r="AQ851" s="42"/>
      <c r="AR851" s="42"/>
      <c r="AS851" s="42"/>
    </row>
    <row r="852" spans="1:45" ht="15" customHeight="1" x14ac:dyDescent="0.3">
      <c r="B852" s="112" t="s">
        <v>537</v>
      </c>
      <c r="I852" s="116"/>
      <c r="AL852" s="42"/>
      <c r="AM852" s="42"/>
      <c r="AN852" s="42"/>
      <c r="AO852" s="42"/>
      <c r="AP852" s="42"/>
      <c r="AQ852" s="42"/>
      <c r="AR852" s="42"/>
      <c r="AS852" s="42"/>
    </row>
    <row r="853" spans="1:45" ht="15" customHeight="1" x14ac:dyDescent="0.3">
      <c r="E853" s="538" t="str">
        <f xml:space="preserve"> E$520</f>
        <v>Operating costs, including Sens.</v>
      </c>
      <c r="F853" s="538" t="str">
        <f t="shared" ref="F853:O853" si="732" xml:space="preserve"> F$520</f>
        <v>FS</v>
      </c>
      <c r="G853" s="538" t="str">
        <f t="shared" si="732"/>
        <v>$ mn</v>
      </c>
      <c r="H853" s="538">
        <f t="shared" si="732"/>
        <v>0</v>
      </c>
      <c r="I853" s="538">
        <f t="shared" si="732"/>
        <v>6417.4732060838423</v>
      </c>
      <c r="J853" s="538">
        <f t="shared" si="732"/>
        <v>0</v>
      </c>
      <c r="K853" s="538">
        <f t="shared" si="732"/>
        <v>0</v>
      </c>
      <c r="L853" s="538">
        <f t="shared" si="732"/>
        <v>0</v>
      </c>
      <c r="M853" s="538">
        <f t="shared" si="732"/>
        <v>0</v>
      </c>
      <c r="N853" s="538">
        <f t="shared" si="732"/>
        <v>0</v>
      </c>
      <c r="O853" s="538">
        <f t="shared" si="732"/>
        <v>0</v>
      </c>
      <c r="P853" s="538">
        <f t="shared" ref="P853:AS853" si="733" xml:space="preserve"> P$520</f>
        <v>0</v>
      </c>
      <c r="Q853" s="538">
        <f t="shared" si="733"/>
        <v>0</v>
      </c>
      <c r="R853" s="538">
        <f t="shared" si="733"/>
        <v>0</v>
      </c>
      <c r="S853" s="538">
        <f t="shared" si="733"/>
        <v>0</v>
      </c>
      <c r="T853" s="538">
        <f t="shared" si="733"/>
        <v>0</v>
      </c>
      <c r="U853" s="538">
        <f t="shared" si="733"/>
        <v>0</v>
      </c>
      <c r="V853" s="538">
        <f t="shared" si="733"/>
        <v>92.547447899999995</v>
      </c>
      <c r="W853" s="538">
        <f t="shared" si="733"/>
        <v>111.20828203000001</v>
      </c>
      <c r="X853" s="538">
        <f t="shared" si="733"/>
        <v>222.95433410956798</v>
      </c>
      <c r="Y853" s="538">
        <f t="shared" si="733"/>
        <v>275.07933724392001</v>
      </c>
      <c r="Z853" s="538">
        <f t="shared" si="733"/>
        <v>236.842377442112</v>
      </c>
      <c r="AA853" s="538">
        <f t="shared" si="733"/>
        <v>521.23181416247598</v>
      </c>
      <c r="AB853" s="538">
        <f t="shared" si="733"/>
        <v>458.85614080454303</v>
      </c>
      <c r="AC853" s="538">
        <f t="shared" si="733"/>
        <v>498.26409575079998</v>
      </c>
      <c r="AD853" s="538">
        <f t="shared" si="733"/>
        <v>499.39449196549901</v>
      </c>
      <c r="AE853" s="538">
        <f t="shared" si="733"/>
        <v>511.64191424046072</v>
      </c>
      <c r="AF853" s="538">
        <f t="shared" si="733"/>
        <v>522.47681812965493</v>
      </c>
      <c r="AG853" s="538">
        <f t="shared" si="733"/>
        <v>533.79306524069909</v>
      </c>
      <c r="AH853" s="538">
        <f t="shared" si="733"/>
        <v>545.3125501316897</v>
      </c>
      <c r="AI853" s="538">
        <f t="shared" si="733"/>
        <v>563.04437690960037</v>
      </c>
      <c r="AJ853" s="538">
        <f t="shared" si="733"/>
        <v>520.87013281239911</v>
      </c>
      <c r="AK853" s="538">
        <f t="shared" si="733"/>
        <v>303.9560272104207</v>
      </c>
      <c r="AL853" s="538">
        <f t="shared" si="733"/>
        <v>0</v>
      </c>
      <c r="AM853" s="538">
        <f t="shared" si="733"/>
        <v>0</v>
      </c>
      <c r="AN853" s="538">
        <f t="shared" si="733"/>
        <v>0</v>
      </c>
      <c r="AO853" s="538">
        <f t="shared" si="733"/>
        <v>0</v>
      </c>
      <c r="AP853" s="538">
        <f t="shared" si="733"/>
        <v>0</v>
      </c>
      <c r="AQ853" s="538">
        <f t="shared" si="733"/>
        <v>0</v>
      </c>
      <c r="AR853" s="538">
        <f t="shared" si="733"/>
        <v>0</v>
      </c>
      <c r="AS853" s="538">
        <f t="shared" si="733"/>
        <v>0</v>
      </c>
    </row>
    <row r="854" spans="1:45" ht="15" customHeight="1" x14ac:dyDescent="0.3">
      <c r="I854" s="116"/>
      <c r="AL854" s="42"/>
      <c r="AM854" s="42"/>
      <c r="AN854" s="42"/>
      <c r="AO854" s="42"/>
      <c r="AP854" s="42"/>
      <c r="AQ854" s="42"/>
      <c r="AR854" s="42"/>
      <c r="AS854" s="42"/>
    </row>
    <row r="855" spans="1:45" ht="15" customHeight="1" x14ac:dyDescent="0.3">
      <c r="E855" s="104" t="str">
        <f xml:space="preserve"> Inputs_TS!E$325</f>
        <v>Payroll taxes: combined actual and forecast</v>
      </c>
      <c r="F855" s="104">
        <f xml:space="preserve"> Inputs_TS!F$325</f>
        <v>0</v>
      </c>
      <c r="G855" s="104" t="str">
        <f xml:space="preserve"> Inputs_TS!G$325</f>
        <v>% opex</v>
      </c>
      <c r="H855" s="104">
        <f xml:space="preserve"> Inputs_TS!H$325</f>
        <v>0</v>
      </c>
      <c r="I855" s="104">
        <f xml:space="preserve"> Inputs_TS!I$325</f>
        <v>0</v>
      </c>
      <c r="J855" s="104">
        <f xml:space="preserve"> Inputs_TS!J$325</f>
        <v>0</v>
      </c>
      <c r="K855" s="104">
        <f xml:space="preserve"> Inputs_TS!K$325</f>
        <v>0.04</v>
      </c>
      <c r="L855" s="104">
        <f xml:space="preserve"> Inputs_TS!L$325</f>
        <v>0.04</v>
      </c>
      <c r="M855" s="104">
        <f xml:space="preserve"> Inputs_TS!M$325</f>
        <v>0.04</v>
      </c>
      <c r="N855" s="104">
        <f xml:space="preserve"> Inputs_TS!N$325</f>
        <v>0.04</v>
      </c>
      <c r="O855" s="104">
        <f xml:space="preserve"> Inputs_TS!O$325</f>
        <v>0.04</v>
      </c>
      <c r="P855" s="104">
        <f xml:space="preserve"> Inputs_TS!P$325</f>
        <v>0.04</v>
      </c>
      <c r="Q855" s="104">
        <f xml:space="preserve"> Inputs_TS!Q$325</f>
        <v>0.04</v>
      </c>
      <c r="R855" s="104">
        <f xml:space="preserve"> Inputs_TS!R$325</f>
        <v>0.04</v>
      </c>
      <c r="S855" s="104">
        <f xml:space="preserve"> Inputs_TS!S$325</f>
        <v>0.04</v>
      </c>
      <c r="T855" s="104">
        <f xml:space="preserve"> Inputs_TS!T$325</f>
        <v>0.04</v>
      </c>
      <c r="U855" s="104">
        <f xml:space="preserve"> Inputs_TS!U$325</f>
        <v>0.04</v>
      </c>
      <c r="V855" s="104">
        <f xml:space="preserve"> Inputs_TS!V$325</f>
        <v>0.04</v>
      </c>
      <c r="W855" s="104">
        <f xml:space="preserve"> Inputs_TS!W$325</f>
        <v>0.04</v>
      </c>
      <c r="X855" s="104">
        <f xml:space="preserve"> Inputs_TS!X$325</f>
        <v>0.04</v>
      </c>
      <c r="Y855" s="104">
        <f xml:space="preserve"> Inputs_TS!Y$325</f>
        <v>0.04</v>
      </c>
      <c r="Z855" s="104">
        <f xml:space="preserve"> Inputs_TS!Z$325</f>
        <v>0.04</v>
      </c>
      <c r="AA855" s="104">
        <f xml:space="preserve"> Inputs_TS!AA$325</f>
        <v>0.04</v>
      </c>
      <c r="AB855" s="104">
        <f xml:space="preserve"> Inputs_TS!AB$325</f>
        <v>0.04</v>
      </c>
      <c r="AC855" s="104">
        <f xml:space="preserve"> Inputs_TS!AC$325</f>
        <v>0.04</v>
      </c>
      <c r="AD855" s="104">
        <f xml:space="preserve"> Inputs_TS!AD$325</f>
        <v>0.04</v>
      </c>
      <c r="AE855" s="104">
        <f xml:space="preserve"> Inputs_TS!AE$325</f>
        <v>0.04</v>
      </c>
      <c r="AF855" s="104">
        <f xml:space="preserve"> Inputs_TS!AF$325</f>
        <v>0.04</v>
      </c>
      <c r="AG855" s="104">
        <f xml:space="preserve"> Inputs_TS!AG$325</f>
        <v>0.04</v>
      </c>
      <c r="AH855" s="104">
        <f xml:space="preserve"> Inputs_TS!AH$325</f>
        <v>0.04</v>
      </c>
      <c r="AI855" s="104">
        <f xml:space="preserve"> Inputs_TS!AI$325</f>
        <v>0.04</v>
      </c>
      <c r="AJ855" s="104">
        <f xml:space="preserve"> Inputs_TS!AJ$325</f>
        <v>0.04</v>
      </c>
      <c r="AK855" s="104">
        <f xml:space="preserve"> Inputs_TS!AK$325</f>
        <v>0.04</v>
      </c>
      <c r="AL855" s="104">
        <f xml:space="preserve"> Inputs_TS!AL$325</f>
        <v>0.04</v>
      </c>
      <c r="AM855" s="104">
        <f xml:space="preserve"> Inputs_TS!AM$325</f>
        <v>0.04</v>
      </c>
      <c r="AN855" s="104">
        <f xml:space="preserve"> Inputs_TS!AN$325</f>
        <v>0.04</v>
      </c>
      <c r="AO855" s="104">
        <f xml:space="preserve"> Inputs_TS!AO$325</f>
        <v>0.04</v>
      </c>
      <c r="AP855" s="104">
        <f xml:space="preserve"> Inputs_TS!AP$325</f>
        <v>0.04</v>
      </c>
      <c r="AQ855" s="104">
        <f xml:space="preserve"> Inputs_TS!AQ$325</f>
        <v>0.04</v>
      </c>
      <c r="AR855" s="104">
        <f xml:space="preserve"> Inputs_TS!AR$325</f>
        <v>0.04</v>
      </c>
      <c r="AS855" s="104">
        <f xml:space="preserve"> Inputs_TS!AS$325</f>
        <v>0.04</v>
      </c>
    </row>
    <row r="856" spans="1:45" ht="15" customHeight="1" x14ac:dyDescent="0.3">
      <c r="I856" s="116"/>
      <c r="AL856" s="42"/>
      <c r="AM856" s="42"/>
      <c r="AN856" s="42"/>
      <c r="AO856" s="42"/>
      <c r="AP856" s="42"/>
      <c r="AQ856" s="42"/>
      <c r="AR856" s="42"/>
      <c r="AS856" s="42"/>
    </row>
    <row r="857" spans="1:45" ht="15" customHeight="1" x14ac:dyDescent="0.3">
      <c r="E857" s="61" t="str">
        <f xml:space="preserve"> Inputs_Con!E$116</f>
        <v>Include Payroll taxes in forecast (1 = yes)</v>
      </c>
      <c r="F857" s="362">
        <f xml:space="preserve"> Inputs_Con!F$116</f>
        <v>1</v>
      </c>
      <c r="G857" s="104" t="str">
        <f xml:space="preserve"> Inputs_Con!G$116</f>
        <v>flag</v>
      </c>
      <c r="I857" s="116"/>
      <c r="AL857" s="42"/>
      <c r="AM857" s="42"/>
      <c r="AN857" s="42"/>
      <c r="AO857" s="42"/>
      <c r="AP857" s="42"/>
      <c r="AQ857" s="42"/>
      <c r="AR857" s="42"/>
      <c r="AS857" s="42"/>
    </row>
    <row r="858" spans="1:45" ht="15" customHeight="1" x14ac:dyDescent="0.3">
      <c r="A858" s="778"/>
      <c r="B858" s="778"/>
      <c r="C858" s="779"/>
      <c r="D858" s="408"/>
      <c r="E858" s="408" t="s">
        <v>733</v>
      </c>
      <c r="F858" s="408"/>
      <c r="G858" s="408" t="s">
        <v>346</v>
      </c>
      <c r="H858" s="408"/>
      <c r="I858" s="408">
        <f>SUM(K858:AS858)</f>
        <v>256.69892824335369</v>
      </c>
      <c r="J858" s="408"/>
      <c r="K858" s="408">
        <f t="shared" ref="K858:O858" si="734">K853 * K855 * $F857</f>
        <v>0</v>
      </c>
      <c r="L858" s="408">
        <f t="shared" si="734"/>
        <v>0</v>
      </c>
      <c r="M858" s="408">
        <f t="shared" si="734"/>
        <v>0</v>
      </c>
      <c r="N858" s="408">
        <f t="shared" si="734"/>
        <v>0</v>
      </c>
      <c r="O858" s="408">
        <f t="shared" si="734"/>
        <v>0</v>
      </c>
      <c r="P858" s="408">
        <f t="shared" ref="P858:AS858" si="735">P853 * P855 * $F857</f>
        <v>0</v>
      </c>
      <c r="Q858" s="408">
        <f t="shared" si="735"/>
        <v>0</v>
      </c>
      <c r="R858" s="408">
        <f t="shared" si="735"/>
        <v>0</v>
      </c>
      <c r="S858" s="408">
        <f t="shared" si="735"/>
        <v>0</v>
      </c>
      <c r="T858" s="408">
        <f t="shared" si="735"/>
        <v>0</v>
      </c>
      <c r="U858" s="408">
        <f t="shared" si="735"/>
        <v>0</v>
      </c>
      <c r="V858" s="408">
        <f t="shared" si="735"/>
        <v>3.7018979160000001</v>
      </c>
      <c r="W858" s="408">
        <f t="shared" si="735"/>
        <v>4.4483312812000007</v>
      </c>
      <c r="X858" s="408">
        <f t="shared" si="735"/>
        <v>8.918173364382719</v>
      </c>
      <c r="Y858" s="408">
        <f t="shared" si="735"/>
        <v>11.003173489756801</v>
      </c>
      <c r="Z858" s="408">
        <f t="shared" si="735"/>
        <v>9.4736950976844803</v>
      </c>
      <c r="AA858" s="408">
        <f t="shared" si="735"/>
        <v>20.849272566499039</v>
      </c>
      <c r="AB858" s="408">
        <f t="shared" si="735"/>
        <v>18.354245632181723</v>
      </c>
      <c r="AC858" s="408">
        <f t="shared" si="735"/>
        <v>19.930563830032</v>
      </c>
      <c r="AD858" s="408">
        <f t="shared" si="735"/>
        <v>19.975779678619961</v>
      </c>
      <c r="AE858" s="408">
        <f t="shared" si="735"/>
        <v>20.465676569618431</v>
      </c>
      <c r="AF858" s="408">
        <f t="shared" si="735"/>
        <v>20.899072725186198</v>
      </c>
      <c r="AG858" s="408">
        <f t="shared" si="735"/>
        <v>21.351722609627963</v>
      </c>
      <c r="AH858" s="408">
        <f t="shared" si="735"/>
        <v>21.812502005267589</v>
      </c>
      <c r="AI858" s="408">
        <f t="shared" si="735"/>
        <v>22.521775076384014</v>
      </c>
      <c r="AJ858" s="408">
        <f t="shared" si="735"/>
        <v>20.834805312495966</v>
      </c>
      <c r="AK858" s="408">
        <f t="shared" si="735"/>
        <v>12.158241088416828</v>
      </c>
      <c r="AL858" s="408">
        <f t="shared" si="735"/>
        <v>0</v>
      </c>
      <c r="AM858" s="408">
        <f t="shared" si="735"/>
        <v>0</v>
      </c>
      <c r="AN858" s="408">
        <f t="shared" si="735"/>
        <v>0</v>
      </c>
      <c r="AO858" s="408">
        <f t="shared" si="735"/>
        <v>0</v>
      </c>
      <c r="AP858" s="408">
        <f t="shared" si="735"/>
        <v>0</v>
      </c>
      <c r="AQ858" s="408">
        <f t="shared" si="735"/>
        <v>0</v>
      </c>
      <c r="AR858" s="408">
        <f t="shared" si="735"/>
        <v>0</v>
      </c>
      <c r="AS858" s="408">
        <f t="shared" si="735"/>
        <v>0</v>
      </c>
    </row>
    <row r="859" spans="1:45" ht="15" customHeight="1" x14ac:dyDescent="0.3">
      <c r="I859" s="116"/>
      <c r="AL859" s="42"/>
      <c r="AM859" s="42"/>
      <c r="AN859" s="42"/>
      <c r="AO859" s="42"/>
      <c r="AP859" s="42"/>
      <c r="AQ859" s="42"/>
      <c r="AR859" s="42"/>
      <c r="AS859" s="42"/>
    </row>
    <row r="860" spans="1:45" ht="15" customHeight="1" collapsed="1" x14ac:dyDescent="0.3">
      <c r="A860" s="15" t="s">
        <v>687</v>
      </c>
      <c r="B860" s="119"/>
      <c r="C860" s="120"/>
      <c r="D860" s="121"/>
      <c r="E860" s="119"/>
      <c r="F860" s="119"/>
      <c r="G860" s="119"/>
      <c r="H860" s="119"/>
      <c r="I860" s="119"/>
      <c r="J860" s="16"/>
      <c r="K860" s="16"/>
      <c r="L860" s="16"/>
      <c r="M860" s="16"/>
      <c r="N860" s="16"/>
      <c r="O860" s="16"/>
      <c r="P860" s="16"/>
      <c r="Q860" s="16"/>
      <c r="R860" s="16"/>
      <c r="S860" s="16"/>
      <c r="T860" s="16"/>
      <c r="U860" s="16"/>
      <c r="V860" s="16"/>
      <c r="W860" s="16"/>
      <c r="X860" s="16"/>
      <c r="Y860" s="16"/>
      <c r="Z860" s="16"/>
      <c r="AA860" s="16"/>
      <c r="AB860" s="16"/>
      <c r="AC860" s="16"/>
      <c r="AD860" s="16"/>
      <c r="AE860" s="16"/>
      <c r="AF860" s="16"/>
      <c r="AG860" s="16"/>
      <c r="AH860" s="16"/>
      <c r="AI860" s="16"/>
      <c r="AJ860" s="16"/>
      <c r="AK860" s="16"/>
      <c r="AL860" s="16"/>
      <c r="AM860" s="16"/>
      <c r="AN860" s="16"/>
      <c r="AO860" s="16"/>
      <c r="AP860" s="16"/>
      <c r="AQ860" s="16"/>
      <c r="AR860" s="16"/>
      <c r="AS860" s="16"/>
    </row>
    <row r="861" spans="1:45" ht="15" customHeight="1" x14ac:dyDescent="0.3">
      <c r="I861" s="116"/>
      <c r="AL861" s="42"/>
      <c r="AM861" s="42"/>
      <c r="AN861" s="42"/>
      <c r="AO861" s="42"/>
      <c r="AP861" s="42"/>
      <c r="AQ861" s="42"/>
      <c r="AR861" s="42"/>
      <c r="AS861" s="42"/>
    </row>
    <row r="862" spans="1:45" ht="15" customHeight="1" x14ac:dyDescent="0.3">
      <c r="A862" s="150"/>
      <c r="B862" s="150"/>
      <c r="C862" s="151"/>
      <c r="D862" s="104"/>
      <c r="E862" s="557" t="str">
        <f xml:space="preserve"> EITI_Rev!E$24</f>
        <v>Signature Bonus (EITI)</v>
      </c>
      <c r="F862" s="557" t="str">
        <f xml:space="preserve"> EITI_Rev!F$24</f>
        <v>yes</v>
      </c>
      <c r="G862" s="557" t="str">
        <f xml:space="preserve"> EITI_Rev!G$24</f>
        <v>$ mn</v>
      </c>
      <c r="H862" s="557">
        <f xml:space="preserve"> EITI_Rev!H$24</f>
        <v>0</v>
      </c>
      <c r="I862" s="557">
        <f xml:space="preserve"> EITI_Rev!I$24</f>
        <v>42.679182000000004</v>
      </c>
      <c r="J862" s="557">
        <f xml:space="preserve"> EITI_Rev!J$24</f>
        <v>0</v>
      </c>
      <c r="K862" s="557">
        <f xml:space="preserve"> EITI_Rev!K$24</f>
        <v>0</v>
      </c>
      <c r="L862" s="557">
        <f xml:space="preserve"> EITI_Rev!L$24</f>
        <v>0</v>
      </c>
      <c r="M862" s="557">
        <f xml:space="preserve"> EITI_Rev!M$24</f>
        <v>0</v>
      </c>
      <c r="N862" s="557">
        <f xml:space="preserve"> EITI_Rev!N$24</f>
        <v>0</v>
      </c>
      <c r="O862" s="557">
        <f xml:space="preserve"> EITI_Rev!O$24</f>
        <v>0</v>
      </c>
      <c r="P862" s="557">
        <f xml:space="preserve"> EITI_Rev!P$24</f>
        <v>0</v>
      </c>
      <c r="Q862" s="557">
        <f xml:space="preserve"> EITI_Rev!Q$24</f>
        <v>0</v>
      </c>
      <c r="R862" s="557">
        <f xml:space="preserve"> EITI_Rev!R$24</f>
        <v>0</v>
      </c>
      <c r="S862" s="557">
        <f xml:space="preserve"> EITI_Rev!S$24</f>
        <v>0</v>
      </c>
      <c r="T862" s="557">
        <f xml:space="preserve"> EITI_Rev!T$24</f>
        <v>0</v>
      </c>
      <c r="U862" s="557">
        <f xml:space="preserve"> EITI_Rev!U$24</f>
        <v>0</v>
      </c>
      <c r="V862" s="557">
        <f xml:space="preserve"> EITI_Rev!V$24</f>
        <v>2.7</v>
      </c>
      <c r="W862" s="557">
        <f xml:space="preserve"> EITI_Rev!W$24</f>
        <v>8.1</v>
      </c>
      <c r="X862" s="557">
        <f xml:space="preserve"> EITI_Rev!X$24</f>
        <v>5.4</v>
      </c>
      <c r="Y862" s="557">
        <f xml:space="preserve"> EITI_Rev!Y$24</f>
        <v>0</v>
      </c>
      <c r="Z862" s="557">
        <f xml:space="preserve"> EITI_Rev!Z$24</f>
        <v>0</v>
      </c>
      <c r="AA862" s="557">
        <f xml:space="preserve"> EITI_Rev!AA$24</f>
        <v>26.479182000000002</v>
      </c>
      <c r="AB862" s="557">
        <f xml:space="preserve"> EITI_Rev!AB$24</f>
        <v>0</v>
      </c>
      <c r="AC862" s="557">
        <f xml:space="preserve"> EITI_Rev!AC$24</f>
        <v>0</v>
      </c>
      <c r="AD862" s="557">
        <f xml:space="preserve"> EITI_Rev!AD$24</f>
        <v>0</v>
      </c>
      <c r="AE862" s="557">
        <f xml:space="preserve"> EITI_Rev!AE$24</f>
        <v>0</v>
      </c>
      <c r="AF862" s="557">
        <f xml:space="preserve"> EITI_Rev!AF$24</f>
        <v>0</v>
      </c>
      <c r="AG862" s="557">
        <f xml:space="preserve"> EITI_Rev!AG$24</f>
        <v>0</v>
      </c>
      <c r="AH862" s="557">
        <f xml:space="preserve"> EITI_Rev!AH$24</f>
        <v>0</v>
      </c>
      <c r="AI862" s="557">
        <f xml:space="preserve"> EITI_Rev!AI$24</f>
        <v>0</v>
      </c>
      <c r="AJ862" s="557">
        <f xml:space="preserve"> EITI_Rev!AJ$24</f>
        <v>0</v>
      </c>
      <c r="AK862" s="557">
        <f xml:space="preserve"> EITI_Rev!AK$24</f>
        <v>0</v>
      </c>
      <c r="AL862" s="557">
        <f xml:space="preserve"> EITI_Rev!AL$24</f>
        <v>0</v>
      </c>
      <c r="AM862" s="557">
        <f xml:space="preserve"> EITI_Rev!AM$24</f>
        <v>0</v>
      </c>
      <c r="AN862" s="557">
        <f xml:space="preserve"> EITI_Rev!AN$24</f>
        <v>0</v>
      </c>
      <c r="AO862" s="557">
        <f xml:space="preserve"> EITI_Rev!AO$24</f>
        <v>0</v>
      </c>
      <c r="AP862" s="557">
        <f xml:space="preserve"> EITI_Rev!AP$24</f>
        <v>0</v>
      </c>
      <c r="AQ862" s="557">
        <f xml:space="preserve"> EITI_Rev!AQ$24</f>
        <v>0</v>
      </c>
      <c r="AR862" s="557">
        <f xml:space="preserve"> EITI_Rev!AR$24</f>
        <v>0</v>
      </c>
      <c r="AS862" s="557">
        <f xml:space="preserve"> EITI_Rev!AS$24</f>
        <v>0</v>
      </c>
    </row>
    <row r="863" spans="1:45" ht="15" customHeight="1" x14ac:dyDescent="0.3">
      <c r="E863" s="169" t="str">
        <f xml:space="preserve"> E$858</f>
        <v>Payroll taxes (included in costs)</v>
      </c>
      <c r="F863" s="169">
        <f t="shared" ref="F863:O863" si="736" xml:space="preserve"> F$858</f>
        <v>0</v>
      </c>
      <c r="G863" s="169" t="str">
        <f t="shared" si="736"/>
        <v>$ mn</v>
      </c>
      <c r="H863" s="169">
        <f t="shared" si="736"/>
        <v>0</v>
      </c>
      <c r="I863" s="169">
        <f t="shared" si="736"/>
        <v>256.69892824335369</v>
      </c>
      <c r="J863" s="169">
        <f t="shared" si="736"/>
        <v>0</v>
      </c>
      <c r="K863" s="169">
        <f t="shared" si="736"/>
        <v>0</v>
      </c>
      <c r="L863" s="169">
        <f t="shared" si="736"/>
        <v>0</v>
      </c>
      <c r="M863" s="169">
        <f t="shared" si="736"/>
        <v>0</v>
      </c>
      <c r="N863" s="169">
        <f t="shared" si="736"/>
        <v>0</v>
      </c>
      <c r="O863" s="169">
        <f t="shared" si="736"/>
        <v>0</v>
      </c>
      <c r="P863" s="169">
        <f t="shared" ref="P863:AS863" si="737" xml:space="preserve"> P$858</f>
        <v>0</v>
      </c>
      <c r="Q863" s="169">
        <f t="shared" si="737"/>
        <v>0</v>
      </c>
      <c r="R863" s="169">
        <f t="shared" si="737"/>
        <v>0</v>
      </c>
      <c r="S863" s="169">
        <f t="shared" si="737"/>
        <v>0</v>
      </c>
      <c r="T863" s="169">
        <f t="shared" si="737"/>
        <v>0</v>
      </c>
      <c r="U863" s="169">
        <f t="shared" si="737"/>
        <v>0</v>
      </c>
      <c r="V863" s="169">
        <f t="shared" si="737"/>
        <v>3.7018979160000001</v>
      </c>
      <c r="W863" s="169">
        <f t="shared" si="737"/>
        <v>4.4483312812000007</v>
      </c>
      <c r="X863" s="169">
        <f t="shared" si="737"/>
        <v>8.918173364382719</v>
      </c>
      <c r="Y863" s="169">
        <f t="shared" si="737"/>
        <v>11.003173489756801</v>
      </c>
      <c r="Z863" s="169">
        <f t="shared" si="737"/>
        <v>9.4736950976844803</v>
      </c>
      <c r="AA863" s="169">
        <f t="shared" si="737"/>
        <v>20.849272566499039</v>
      </c>
      <c r="AB863" s="169">
        <f t="shared" si="737"/>
        <v>18.354245632181723</v>
      </c>
      <c r="AC863" s="169">
        <f t="shared" si="737"/>
        <v>19.930563830032</v>
      </c>
      <c r="AD863" s="169">
        <f t="shared" si="737"/>
        <v>19.975779678619961</v>
      </c>
      <c r="AE863" s="169">
        <f t="shared" si="737"/>
        <v>20.465676569618431</v>
      </c>
      <c r="AF863" s="169">
        <f t="shared" si="737"/>
        <v>20.899072725186198</v>
      </c>
      <c r="AG863" s="169">
        <f t="shared" si="737"/>
        <v>21.351722609627963</v>
      </c>
      <c r="AH863" s="169">
        <f t="shared" si="737"/>
        <v>21.812502005267589</v>
      </c>
      <c r="AI863" s="169">
        <f t="shared" si="737"/>
        <v>22.521775076384014</v>
      </c>
      <c r="AJ863" s="169">
        <f t="shared" si="737"/>
        <v>20.834805312495966</v>
      </c>
      <c r="AK863" s="169">
        <f t="shared" si="737"/>
        <v>12.158241088416828</v>
      </c>
      <c r="AL863" s="169">
        <f t="shared" si="737"/>
        <v>0</v>
      </c>
      <c r="AM863" s="169">
        <f t="shared" si="737"/>
        <v>0</v>
      </c>
      <c r="AN863" s="169">
        <f t="shared" si="737"/>
        <v>0</v>
      </c>
      <c r="AO863" s="169">
        <f t="shared" si="737"/>
        <v>0</v>
      </c>
      <c r="AP863" s="169">
        <f t="shared" si="737"/>
        <v>0</v>
      </c>
      <c r="AQ863" s="169">
        <f t="shared" si="737"/>
        <v>0</v>
      </c>
      <c r="AR863" s="169">
        <f t="shared" si="737"/>
        <v>0</v>
      </c>
      <c r="AS863" s="169">
        <f t="shared" si="737"/>
        <v>0</v>
      </c>
    </row>
    <row r="864" spans="1:45" ht="15" customHeight="1" x14ac:dyDescent="0.3">
      <c r="E864" s="169" t="str">
        <f xml:space="preserve"> E$823</f>
        <v>Import duties (included in costs)</v>
      </c>
      <c r="F864" s="169">
        <f t="shared" ref="F864:O864" si="738" xml:space="preserve"> F$823</f>
        <v>0</v>
      </c>
      <c r="G864" s="169" t="str">
        <f t="shared" si="738"/>
        <v>$ mn</v>
      </c>
      <c r="H864" s="169">
        <f t="shared" si="738"/>
        <v>0</v>
      </c>
      <c r="I864" s="169">
        <f t="shared" si="738"/>
        <v>378.04054337098842</v>
      </c>
      <c r="J864" s="169">
        <f t="shared" si="738"/>
        <v>378.04054337098842</v>
      </c>
      <c r="K864" s="169">
        <f t="shared" si="738"/>
        <v>0</v>
      </c>
      <c r="L864" s="169">
        <f t="shared" si="738"/>
        <v>0</v>
      </c>
      <c r="M864" s="169">
        <f t="shared" si="738"/>
        <v>0</v>
      </c>
      <c r="N864" s="169">
        <f t="shared" si="738"/>
        <v>0</v>
      </c>
      <c r="O864" s="169">
        <f t="shared" si="738"/>
        <v>0</v>
      </c>
      <c r="P864" s="169">
        <f t="shared" ref="P864:AS864" si="739" xml:space="preserve"> P$823</f>
        <v>0</v>
      </c>
      <c r="Q864" s="169">
        <f t="shared" si="739"/>
        <v>0</v>
      </c>
      <c r="R864" s="169">
        <f t="shared" si="739"/>
        <v>0</v>
      </c>
      <c r="S864" s="169">
        <f t="shared" si="739"/>
        <v>0</v>
      </c>
      <c r="T864" s="169">
        <f t="shared" si="739"/>
        <v>0</v>
      </c>
      <c r="U864" s="169">
        <f t="shared" si="739"/>
        <v>0</v>
      </c>
      <c r="V864" s="169">
        <f t="shared" si="739"/>
        <v>4.9504272399999998</v>
      </c>
      <c r="W864" s="169">
        <f t="shared" si="739"/>
        <v>18.157969999999999</v>
      </c>
      <c r="X864" s="169">
        <f t="shared" si="739"/>
        <v>40.621609999999997</v>
      </c>
      <c r="Y864" s="169">
        <f t="shared" si="739"/>
        <v>3.393662</v>
      </c>
      <c r="Z864" s="169">
        <f t="shared" si="739"/>
        <v>15.932733392105598</v>
      </c>
      <c r="AA864" s="169">
        <f t="shared" si="739"/>
        <v>40.119290999999997</v>
      </c>
      <c r="AB864" s="169">
        <f t="shared" si="739"/>
        <v>28.136993692495412</v>
      </c>
      <c r="AC864" s="169">
        <f t="shared" si="739"/>
        <v>26.703387214366145</v>
      </c>
      <c r="AD864" s="169">
        <f t="shared" si="739"/>
        <v>24.969724598274951</v>
      </c>
      <c r="AE864" s="169">
        <f t="shared" si="739"/>
        <v>25.582095712023037</v>
      </c>
      <c r="AF864" s="169">
        <f t="shared" si="739"/>
        <v>26.123840906482748</v>
      </c>
      <c r="AG864" s="169">
        <f t="shared" si="739"/>
        <v>26.689653262034955</v>
      </c>
      <c r="AH864" s="169">
        <f t="shared" si="739"/>
        <v>27.265627506584487</v>
      </c>
      <c r="AI864" s="169">
        <f t="shared" si="739"/>
        <v>28.152218845480022</v>
      </c>
      <c r="AJ864" s="169">
        <f t="shared" si="739"/>
        <v>26.043506640619956</v>
      </c>
      <c r="AK864" s="169">
        <f t="shared" si="739"/>
        <v>15.197801360521035</v>
      </c>
      <c r="AL864" s="169">
        <f t="shared" si="739"/>
        <v>0</v>
      </c>
      <c r="AM864" s="169">
        <f t="shared" si="739"/>
        <v>0</v>
      </c>
      <c r="AN864" s="169">
        <f t="shared" si="739"/>
        <v>0</v>
      </c>
      <c r="AO864" s="169">
        <f t="shared" si="739"/>
        <v>0</v>
      </c>
      <c r="AP864" s="169">
        <f t="shared" si="739"/>
        <v>0</v>
      </c>
      <c r="AQ864" s="169">
        <f t="shared" si="739"/>
        <v>0</v>
      </c>
      <c r="AR864" s="169">
        <f t="shared" si="739"/>
        <v>0</v>
      </c>
      <c r="AS864" s="169">
        <f t="shared" si="739"/>
        <v>0</v>
      </c>
    </row>
    <row r="865" spans="1:45" ht="15" customHeight="1" x14ac:dyDescent="0.3">
      <c r="E865" s="169" t="str">
        <f xml:space="preserve"> E$848</f>
        <v>WHT on non-resident services</v>
      </c>
      <c r="F865" s="169">
        <f t="shared" ref="F865:AS865" si="740" xml:space="preserve"> F$848</f>
        <v>0</v>
      </c>
      <c r="G865" s="169" t="str">
        <f t="shared" si="740"/>
        <v>$ mn</v>
      </c>
      <c r="H865" s="169">
        <f t="shared" si="740"/>
        <v>0</v>
      </c>
      <c r="I865" s="169">
        <f t="shared" si="740"/>
        <v>72.445296483462641</v>
      </c>
      <c r="J865" s="169">
        <f t="shared" si="740"/>
        <v>0</v>
      </c>
      <c r="K865" s="169">
        <f t="shared" si="740"/>
        <v>0</v>
      </c>
      <c r="L865" s="169">
        <f t="shared" si="740"/>
        <v>0</v>
      </c>
      <c r="M865" s="169">
        <f t="shared" si="740"/>
        <v>0</v>
      </c>
      <c r="N865" s="169">
        <f t="shared" si="740"/>
        <v>0</v>
      </c>
      <c r="O865" s="169">
        <f t="shared" si="740"/>
        <v>0</v>
      </c>
      <c r="P865" s="169">
        <f t="shared" si="740"/>
        <v>0</v>
      </c>
      <c r="Q865" s="169">
        <f t="shared" si="740"/>
        <v>0</v>
      </c>
      <c r="R865" s="169">
        <f t="shared" si="740"/>
        <v>0</v>
      </c>
      <c r="S865" s="169">
        <f t="shared" si="740"/>
        <v>0</v>
      </c>
      <c r="T865" s="169">
        <f t="shared" si="740"/>
        <v>0</v>
      </c>
      <c r="U865" s="169">
        <f t="shared" si="740"/>
        <v>0</v>
      </c>
      <c r="V865" s="169">
        <f t="shared" si="740"/>
        <v>5.6123427587850001</v>
      </c>
      <c r="W865" s="169">
        <f t="shared" si="740"/>
        <v>3.1552135312705007</v>
      </c>
      <c r="X865" s="169">
        <f t="shared" si="740"/>
        <v>4.857328718290721</v>
      </c>
      <c r="Y865" s="169">
        <f t="shared" si="740"/>
        <v>2.5007843498043005</v>
      </c>
      <c r="Z865" s="169">
        <f t="shared" si="740"/>
        <v>3.6758916944584801</v>
      </c>
      <c r="AA865" s="169">
        <f t="shared" si="740"/>
        <v>6.5267786363856652</v>
      </c>
      <c r="AB865" s="169">
        <f t="shared" si="740"/>
        <v>6.0511123997289111</v>
      </c>
      <c r="AC865" s="169">
        <f t="shared" si="740"/>
        <v>5.0615623491353485</v>
      </c>
      <c r="AD865" s="169">
        <f t="shared" si="740"/>
        <v>4.3697018046981171</v>
      </c>
      <c r="AE865" s="169">
        <f t="shared" si="740"/>
        <v>4.4768667496040315</v>
      </c>
      <c r="AF865" s="169">
        <f t="shared" si="740"/>
        <v>4.5716721586344811</v>
      </c>
      <c r="AG865" s="169">
        <f t="shared" si="740"/>
        <v>4.6706893208561171</v>
      </c>
      <c r="AH865" s="169">
        <f t="shared" si="740"/>
        <v>4.7714848136522852</v>
      </c>
      <c r="AI865" s="169">
        <f t="shared" si="740"/>
        <v>4.9266382979590038</v>
      </c>
      <c r="AJ865" s="169">
        <f t="shared" si="740"/>
        <v>4.5576136621084924</v>
      </c>
      <c r="AK865" s="169">
        <f t="shared" si="740"/>
        <v>2.6596152380911815</v>
      </c>
      <c r="AL865" s="169">
        <f t="shared" si="740"/>
        <v>0</v>
      </c>
      <c r="AM865" s="169">
        <f t="shared" si="740"/>
        <v>0</v>
      </c>
      <c r="AN865" s="169">
        <f t="shared" si="740"/>
        <v>0</v>
      </c>
      <c r="AO865" s="169">
        <f t="shared" si="740"/>
        <v>0</v>
      </c>
      <c r="AP865" s="169">
        <f t="shared" si="740"/>
        <v>0</v>
      </c>
      <c r="AQ865" s="169">
        <f t="shared" si="740"/>
        <v>0</v>
      </c>
      <c r="AR865" s="169">
        <f t="shared" si="740"/>
        <v>0</v>
      </c>
      <c r="AS865" s="169">
        <f t="shared" si="740"/>
        <v>0</v>
      </c>
    </row>
    <row r="866" spans="1:45" ht="15" customHeight="1" x14ac:dyDescent="0.3">
      <c r="A866" s="791"/>
      <c r="B866" s="792"/>
      <c r="C866" s="793"/>
      <c r="D866" s="556"/>
      <c r="E866" s="556" t="s">
        <v>737</v>
      </c>
      <c r="F866" s="556"/>
      <c r="G866" s="556" t="s">
        <v>346</v>
      </c>
      <c r="H866" s="556"/>
      <c r="I866" s="556">
        <f>SUM(K866:AS866)</f>
        <v>749.86395009780472</v>
      </c>
      <c r="J866" s="556"/>
      <c r="K866" s="556">
        <f>SUM(K862:K865)</f>
        <v>0</v>
      </c>
      <c r="L866" s="556">
        <f t="shared" ref="L866:AS866" si="741">SUM(L862:L865)</f>
        <v>0</v>
      </c>
      <c r="M866" s="556">
        <f t="shared" si="741"/>
        <v>0</v>
      </c>
      <c r="N866" s="556">
        <f t="shared" si="741"/>
        <v>0</v>
      </c>
      <c r="O866" s="556">
        <f t="shared" si="741"/>
        <v>0</v>
      </c>
      <c r="P866" s="556">
        <f t="shared" si="741"/>
        <v>0</v>
      </c>
      <c r="Q866" s="556">
        <f t="shared" si="741"/>
        <v>0</v>
      </c>
      <c r="R866" s="556">
        <f t="shared" si="741"/>
        <v>0</v>
      </c>
      <c r="S866" s="556">
        <f t="shared" si="741"/>
        <v>0</v>
      </c>
      <c r="T866" s="556">
        <f t="shared" si="741"/>
        <v>0</v>
      </c>
      <c r="U866" s="556">
        <f t="shared" si="741"/>
        <v>0</v>
      </c>
      <c r="V866" s="556">
        <f t="shared" si="741"/>
        <v>16.964667914785</v>
      </c>
      <c r="W866" s="556">
        <f t="shared" si="741"/>
        <v>33.861514812470496</v>
      </c>
      <c r="X866" s="556">
        <f t="shared" si="741"/>
        <v>59.797112082673443</v>
      </c>
      <c r="Y866" s="556">
        <f t="shared" si="741"/>
        <v>16.897619839561102</v>
      </c>
      <c r="Z866" s="556">
        <f t="shared" si="741"/>
        <v>29.082320184248559</v>
      </c>
      <c r="AA866" s="556">
        <f t="shared" si="741"/>
        <v>93.974524202884709</v>
      </c>
      <c r="AB866" s="556">
        <f t="shared" si="741"/>
        <v>52.542351724406046</v>
      </c>
      <c r="AC866" s="556">
        <f t="shared" si="741"/>
        <v>51.695513393533496</v>
      </c>
      <c r="AD866" s="556">
        <f t="shared" si="741"/>
        <v>49.315206081593026</v>
      </c>
      <c r="AE866" s="556">
        <f t="shared" si="741"/>
        <v>50.524639031245499</v>
      </c>
      <c r="AF866" s="556">
        <f t="shared" si="741"/>
        <v>51.594585790303427</v>
      </c>
      <c r="AG866" s="556">
        <f t="shared" si="741"/>
        <v>52.712065192519042</v>
      </c>
      <c r="AH866" s="556">
        <f t="shared" si="741"/>
        <v>53.849614325504362</v>
      </c>
      <c r="AI866" s="556">
        <f t="shared" si="741"/>
        <v>55.600632219823041</v>
      </c>
      <c r="AJ866" s="556">
        <f t="shared" si="741"/>
        <v>51.43592561522442</v>
      </c>
      <c r="AK866" s="556">
        <f t="shared" si="741"/>
        <v>30.015657687029044</v>
      </c>
      <c r="AL866" s="556">
        <f t="shared" si="741"/>
        <v>0</v>
      </c>
      <c r="AM866" s="556">
        <f t="shared" si="741"/>
        <v>0</v>
      </c>
      <c r="AN866" s="556">
        <f t="shared" si="741"/>
        <v>0</v>
      </c>
      <c r="AO866" s="556">
        <f t="shared" si="741"/>
        <v>0</v>
      </c>
      <c r="AP866" s="556">
        <f t="shared" si="741"/>
        <v>0</v>
      </c>
      <c r="AQ866" s="556">
        <f t="shared" si="741"/>
        <v>0</v>
      </c>
      <c r="AR866" s="556">
        <f t="shared" si="741"/>
        <v>0</v>
      </c>
      <c r="AS866" s="556">
        <f t="shared" si="741"/>
        <v>0</v>
      </c>
    </row>
    <row r="867" spans="1:45" ht="15" customHeight="1" x14ac:dyDescent="0.3">
      <c r="I867" s="116"/>
      <c r="AL867" s="42"/>
      <c r="AM867" s="42"/>
      <c r="AN867" s="42"/>
      <c r="AO867" s="42"/>
      <c r="AP867" s="42"/>
      <c r="AQ867" s="42"/>
      <c r="AR867" s="42"/>
      <c r="AS867" s="42"/>
    </row>
    <row r="868" spans="1:45" ht="15" customHeight="1" collapsed="1" x14ac:dyDescent="0.3">
      <c r="A868" s="15" t="s">
        <v>333</v>
      </c>
      <c r="B868" s="119"/>
      <c r="C868" s="120"/>
      <c r="D868" s="121"/>
      <c r="E868" s="119"/>
      <c r="F868" s="119"/>
      <c r="G868" s="119"/>
      <c r="H868" s="119"/>
      <c r="I868" s="119"/>
      <c r="J868" s="16"/>
      <c r="K868" s="16"/>
      <c r="L868" s="16"/>
      <c r="M868" s="16"/>
      <c r="N868" s="16"/>
      <c r="O868" s="16"/>
      <c r="P868" s="16"/>
      <c r="Q868" s="16"/>
      <c r="R868" s="16"/>
      <c r="S868" s="16"/>
      <c r="T868" s="16"/>
      <c r="U868" s="16"/>
      <c r="V868" s="16"/>
      <c r="W868" s="16"/>
      <c r="X868" s="16"/>
      <c r="Y868" s="16"/>
      <c r="Z868" s="16"/>
      <c r="AA868" s="16"/>
      <c r="AB868" s="16"/>
      <c r="AC868" s="16"/>
      <c r="AD868" s="16"/>
      <c r="AE868" s="16"/>
      <c r="AF868" s="16"/>
      <c r="AG868" s="16"/>
      <c r="AH868" s="16"/>
      <c r="AI868" s="16"/>
      <c r="AJ868" s="16"/>
      <c r="AK868" s="16"/>
      <c r="AL868" s="16"/>
      <c r="AM868" s="16"/>
      <c r="AN868" s="16"/>
      <c r="AO868" s="16"/>
      <c r="AP868" s="16"/>
      <c r="AQ868" s="16"/>
      <c r="AR868" s="16"/>
      <c r="AS868" s="16"/>
    </row>
    <row r="869" spans="1:45" ht="15" customHeight="1" x14ac:dyDescent="0.3">
      <c r="I869" s="116"/>
      <c r="AL869" s="42"/>
      <c r="AM869" s="42"/>
      <c r="AN869" s="42"/>
      <c r="AO869" s="42"/>
      <c r="AP869" s="42"/>
      <c r="AQ869" s="42"/>
      <c r="AR869" s="42"/>
      <c r="AS869" s="42"/>
    </row>
    <row r="870" spans="1:45" ht="15" customHeight="1" x14ac:dyDescent="0.3">
      <c r="B870" s="112" t="s">
        <v>592</v>
      </c>
      <c r="I870" s="116"/>
      <c r="AL870" s="42"/>
      <c r="AM870" s="42"/>
      <c r="AN870" s="42"/>
      <c r="AO870" s="42"/>
      <c r="AP870" s="42"/>
      <c r="AQ870" s="42"/>
      <c r="AR870" s="42"/>
      <c r="AS870" s="42"/>
    </row>
    <row r="871" spans="1:45" ht="15" customHeight="1" x14ac:dyDescent="0.3">
      <c r="I871" s="116"/>
      <c r="AL871" s="42"/>
      <c r="AM871" s="42"/>
      <c r="AN871" s="42"/>
      <c r="AO871" s="42"/>
      <c r="AP871" s="42"/>
      <c r="AQ871" s="42"/>
      <c r="AR871" s="42"/>
      <c r="AS871" s="42"/>
    </row>
    <row r="872" spans="1:45" ht="15" customHeight="1" x14ac:dyDescent="0.3">
      <c r="E872" s="104" t="str">
        <f xml:space="preserve"> COMMUS_23FS_Model!E$394</f>
        <v>JIN Cheng loan 2018: drawdown</v>
      </c>
      <c r="F872" s="104">
        <f xml:space="preserve"> COMMUS_23FS_Model!F$394</f>
        <v>0</v>
      </c>
      <c r="G872" s="104" t="str">
        <f xml:space="preserve"> COMMUS_23FS_Model!G$394</f>
        <v>$ mn</v>
      </c>
      <c r="H872" s="104" t="str">
        <f xml:space="preserve"> COMMUS_23FS_Model!H$394</f>
        <v>M</v>
      </c>
      <c r="I872" s="104">
        <f xml:space="preserve"> COMMUS_23FS_Model!I$394</f>
        <v>200</v>
      </c>
      <c r="J872" s="104">
        <f xml:space="preserve"> COMMUS_23FS_Model!J$394</f>
        <v>0</v>
      </c>
      <c r="K872" s="104">
        <f xml:space="preserve"> COMMUS_23FS_Model!K$394</f>
        <v>0</v>
      </c>
      <c r="L872" s="104">
        <f xml:space="preserve"> COMMUS_23FS_Model!L$394</f>
        <v>0</v>
      </c>
      <c r="M872" s="104">
        <f xml:space="preserve"> COMMUS_23FS_Model!M$394</f>
        <v>0</v>
      </c>
      <c r="N872" s="104">
        <f xml:space="preserve"> COMMUS_23FS_Model!N$394</f>
        <v>0</v>
      </c>
      <c r="O872" s="104">
        <f xml:space="preserve"> COMMUS_23FS_Model!O$394</f>
        <v>0</v>
      </c>
      <c r="P872" s="104">
        <f xml:space="preserve"> COMMUS_23FS_Model!P$394</f>
        <v>0</v>
      </c>
      <c r="Q872" s="104">
        <f xml:space="preserve"> COMMUS_23FS_Model!Q$394</f>
        <v>0</v>
      </c>
      <c r="R872" s="104">
        <f xml:space="preserve"> COMMUS_23FS_Model!R$394</f>
        <v>0</v>
      </c>
      <c r="S872" s="104">
        <f xml:space="preserve"> COMMUS_23FS_Model!S$394</f>
        <v>0</v>
      </c>
      <c r="T872" s="104">
        <f xml:space="preserve"> COMMUS_23FS_Model!T$394</f>
        <v>0</v>
      </c>
      <c r="U872" s="104">
        <f xml:space="preserve"> COMMUS_23FS_Model!U$394</f>
        <v>0</v>
      </c>
      <c r="V872" s="104">
        <f xml:space="preserve"> COMMUS_23FS_Model!V$394</f>
        <v>0</v>
      </c>
      <c r="W872" s="104">
        <f xml:space="preserve"> COMMUS_23FS_Model!W$394</f>
        <v>200</v>
      </c>
      <c r="X872" s="104">
        <f xml:space="preserve"> COMMUS_23FS_Model!X$394</f>
        <v>0</v>
      </c>
      <c r="Y872" s="104">
        <f xml:space="preserve"> COMMUS_23FS_Model!Y$394</f>
        <v>0</v>
      </c>
      <c r="Z872" s="104">
        <f xml:space="preserve"> COMMUS_23FS_Model!Z$394</f>
        <v>0</v>
      </c>
      <c r="AA872" s="104">
        <f xml:space="preserve"> COMMUS_23FS_Model!AA$394</f>
        <v>0</v>
      </c>
      <c r="AB872" s="104">
        <f xml:space="preserve"> COMMUS_23FS_Model!AB$394</f>
        <v>0</v>
      </c>
      <c r="AC872" s="104">
        <f xml:space="preserve"> COMMUS_23FS_Model!AC$394</f>
        <v>0</v>
      </c>
      <c r="AD872" s="104">
        <f xml:space="preserve"> COMMUS_23FS_Model!AD$394</f>
        <v>0</v>
      </c>
      <c r="AE872" s="104">
        <f xml:space="preserve"> COMMUS_23FS_Model!AE$394</f>
        <v>0</v>
      </c>
      <c r="AF872" s="104">
        <f xml:space="preserve"> COMMUS_23FS_Model!AF$394</f>
        <v>0</v>
      </c>
      <c r="AG872" s="104">
        <f xml:space="preserve"> COMMUS_23FS_Model!AG$394</f>
        <v>0</v>
      </c>
      <c r="AH872" s="104">
        <f xml:space="preserve"> COMMUS_23FS_Model!AH$394</f>
        <v>0</v>
      </c>
      <c r="AI872" s="104">
        <f xml:space="preserve"> COMMUS_23FS_Model!AI$394</f>
        <v>0</v>
      </c>
      <c r="AJ872" s="104">
        <f xml:space="preserve"> COMMUS_23FS_Model!AJ$394</f>
        <v>0</v>
      </c>
      <c r="AK872" s="104">
        <f xml:space="preserve"> COMMUS_23FS_Model!AK$394</f>
        <v>0</v>
      </c>
      <c r="AL872" s="104">
        <f xml:space="preserve"> COMMUS_23FS_Model!AL$394</f>
        <v>0</v>
      </c>
      <c r="AM872" s="104">
        <f xml:space="preserve"> COMMUS_23FS_Model!AM$394</f>
        <v>0</v>
      </c>
      <c r="AN872" s="104">
        <f xml:space="preserve"> COMMUS_23FS_Model!AN$394</f>
        <v>0</v>
      </c>
      <c r="AO872" s="104">
        <f xml:space="preserve"> COMMUS_23FS_Model!AO$394</f>
        <v>0</v>
      </c>
      <c r="AP872" s="104">
        <f xml:space="preserve"> COMMUS_23FS_Model!AP$394</f>
        <v>0</v>
      </c>
      <c r="AQ872" s="104">
        <f xml:space="preserve"> COMMUS_23FS_Model!AQ$394</f>
        <v>0</v>
      </c>
      <c r="AR872" s="104">
        <f xml:space="preserve"> COMMUS_23FS_Model!AR$394</f>
        <v>0</v>
      </c>
      <c r="AS872" s="104">
        <f xml:space="preserve"> COMMUS_23FS_Model!AS$394</f>
        <v>0</v>
      </c>
    </row>
    <row r="873" spans="1:45" ht="15" customHeight="1" x14ac:dyDescent="0.3">
      <c r="E873" s="104" t="str">
        <f xml:space="preserve"> COMMUS_23FS_Model!E$395</f>
        <v>Gold Mountains loan 2018: drawdown</v>
      </c>
      <c r="F873" s="104">
        <f xml:space="preserve"> COMMUS_23FS_Model!F$395</f>
        <v>0</v>
      </c>
      <c r="G873" s="104" t="str">
        <f xml:space="preserve"> COMMUS_23FS_Model!G$395</f>
        <v>$ mn</v>
      </c>
      <c r="H873" s="104" t="str">
        <f xml:space="preserve"> COMMUS_23FS_Model!H$395</f>
        <v>M</v>
      </c>
      <c r="I873" s="104">
        <f xml:space="preserve"> COMMUS_23FS_Model!I$395</f>
        <v>200</v>
      </c>
      <c r="J873" s="104">
        <f xml:space="preserve"> COMMUS_23FS_Model!J$395</f>
        <v>0</v>
      </c>
      <c r="K873" s="104">
        <f xml:space="preserve"> COMMUS_23FS_Model!K$395</f>
        <v>0</v>
      </c>
      <c r="L873" s="104">
        <f xml:space="preserve"> COMMUS_23FS_Model!L$395</f>
        <v>0</v>
      </c>
      <c r="M873" s="104">
        <f xml:space="preserve"> COMMUS_23FS_Model!M$395</f>
        <v>0</v>
      </c>
      <c r="N873" s="104">
        <f xml:space="preserve"> COMMUS_23FS_Model!N$395</f>
        <v>0</v>
      </c>
      <c r="O873" s="104">
        <f xml:space="preserve"> COMMUS_23FS_Model!O$395</f>
        <v>0</v>
      </c>
      <c r="P873" s="104">
        <f xml:space="preserve"> COMMUS_23FS_Model!P$395</f>
        <v>0</v>
      </c>
      <c r="Q873" s="104">
        <f xml:space="preserve"> COMMUS_23FS_Model!Q$395</f>
        <v>0</v>
      </c>
      <c r="R873" s="104">
        <f xml:space="preserve"> COMMUS_23FS_Model!R$395</f>
        <v>0</v>
      </c>
      <c r="S873" s="104">
        <f xml:space="preserve"> COMMUS_23FS_Model!S$395</f>
        <v>0</v>
      </c>
      <c r="T873" s="104">
        <f xml:space="preserve"> COMMUS_23FS_Model!T$395</f>
        <v>0</v>
      </c>
      <c r="U873" s="104">
        <f xml:space="preserve"> COMMUS_23FS_Model!U$395</f>
        <v>0</v>
      </c>
      <c r="V873" s="104">
        <f xml:space="preserve"> COMMUS_23FS_Model!V$395</f>
        <v>0</v>
      </c>
      <c r="W873" s="104">
        <f xml:space="preserve"> COMMUS_23FS_Model!W$395</f>
        <v>200</v>
      </c>
      <c r="X873" s="104">
        <f xml:space="preserve"> COMMUS_23FS_Model!X$395</f>
        <v>0</v>
      </c>
      <c r="Y873" s="104">
        <f xml:space="preserve"> COMMUS_23FS_Model!Y$395</f>
        <v>0</v>
      </c>
      <c r="Z873" s="104">
        <f xml:space="preserve"> COMMUS_23FS_Model!Z$395</f>
        <v>0</v>
      </c>
      <c r="AA873" s="104">
        <f xml:space="preserve"> COMMUS_23FS_Model!AA$395</f>
        <v>0</v>
      </c>
      <c r="AB873" s="104">
        <f xml:space="preserve"> COMMUS_23FS_Model!AB$395</f>
        <v>0</v>
      </c>
      <c r="AC873" s="104">
        <f xml:space="preserve"> COMMUS_23FS_Model!AC$395</f>
        <v>0</v>
      </c>
      <c r="AD873" s="104">
        <f xml:space="preserve"> COMMUS_23FS_Model!AD$395</f>
        <v>0</v>
      </c>
      <c r="AE873" s="104">
        <f xml:space="preserve"> COMMUS_23FS_Model!AE$395</f>
        <v>0</v>
      </c>
      <c r="AF873" s="104">
        <f xml:space="preserve"> COMMUS_23FS_Model!AF$395</f>
        <v>0</v>
      </c>
      <c r="AG873" s="104">
        <f xml:space="preserve"> COMMUS_23FS_Model!AG$395</f>
        <v>0</v>
      </c>
      <c r="AH873" s="104">
        <f xml:space="preserve"> COMMUS_23FS_Model!AH$395</f>
        <v>0</v>
      </c>
      <c r="AI873" s="104">
        <f xml:space="preserve"> COMMUS_23FS_Model!AI$395</f>
        <v>0</v>
      </c>
      <c r="AJ873" s="104">
        <f xml:space="preserve"> COMMUS_23FS_Model!AJ$395</f>
        <v>0</v>
      </c>
      <c r="AK873" s="104">
        <f xml:space="preserve"> COMMUS_23FS_Model!AK$395</f>
        <v>0</v>
      </c>
      <c r="AL873" s="104">
        <f xml:space="preserve"> COMMUS_23FS_Model!AL$395</f>
        <v>0</v>
      </c>
      <c r="AM873" s="104">
        <f xml:space="preserve"> COMMUS_23FS_Model!AM$395</f>
        <v>0</v>
      </c>
      <c r="AN873" s="104">
        <f xml:space="preserve"> COMMUS_23FS_Model!AN$395</f>
        <v>0</v>
      </c>
      <c r="AO873" s="104">
        <f xml:space="preserve"> COMMUS_23FS_Model!AO$395</f>
        <v>0</v>
      </c>
      <c r="AP873" s="104">
        <f xml:space="preserve"> COMMUS_23FS_Model!AP$395</f>
        <v>0</v>
      </c>
      <c r="AQ873" s="104">
        <f xml:space="preserve"> COMMUS_23FS_Model!AQ$395</f>
        <v>0</v>
      </c>
      <c r="AR873" s="104">
        <f xml:space="preserve"> COMMUS_23FS_Model!AR$395</f>
        <v>0</v>
      </c>
      <c r="AS873" s="104">
        <f xml:space="preserve"> COMMUS_23FS_Model!AS$395</f>
        <v>0</v>
      </c>
    </row>
    <row r="874" spans="1:45" ht="15" customHeight="1" x14ac:dyDescent="0.3">
      <c r="A874" s="123"/>
      <c r="B874" s="123"/>
      <c r="C874" s="124"/>
      <c r="D874" s="109"/>
      <c r="E874" s="574" t="str">
        <f xml:space="preserve"> COMMUS_23FS_Model!E$396</f>
        <v>Interest bearing drawdowns</v>
      </c>
      <c r="F874" s="574">
        <f xml:space="preserve"> COMMUS_23FS_Model!F$396</f>
        <v>0</v>
      </c>
      <c r="G874" s="574" t="str">
        <f xml:space="preserve"> COMMUS_23FS_Model!G$396</f>
        <v>$ mn</v>
      </c>
      <c r="H874" s="574">
        <f xml:space="preserve"> COMMUS_23FS_Model!H$396</f>
        <v>0</v>
      </c>
      <c r="I874" s="574">
        <f xml:space="preserve"> COMMUS_23FS_Model!I$396</f>
        <v>400</v>
      </c>
      <c r="J874" s="574">
        <f xml:space="preserve"> COMMUS_23FS_Model!J$396</f>
        <v>0</v>
      </c>
      <c r="K874" s="574">
        <f xml:space="preserve"> COMMUS_23FS_Model!K$396</f>
        <v>0</v>
      </c>
      <c r="L874" s="574">
        <f xml:space="preserve"> COMMUS_23FS_Model!L$396</f>
        <v>0</v>
      </c>
      <c r="M874" s="574">
        <f xml:space="preserve"> COMMUS_23FS_Model!M$396</f>
        <v>0</v>
      </c>
      <c r="N874" s="574">
        <f xml:space="preserve"> COMMUS_23FS_Model!N$396</f>
        <v>0</v>
      </c>
      <c r="O874" s="574">
        <f xml:space="preserve"> COMMUS_23FS_Model!O$396</f>
        <v>0</v>
      </c>
      <c r="P874" s="574">
        <f xml:space="preserve"> COMMUS_23FS_Model!P$396</f>
        <v>0</v>
      </c>
      <c r="Q874" s="574">
        <f xml:space="preserve"> COMMUS_23FS_Model!Q$396</f>
        <v>0</v>
      </c>
      <c r="R874" s="574">
        <f xml:space="preserve"> COMMUS_23FS_Model!R$396</f>
        <v>0</v>
      </c>
      <c r="S874" s="574">
        <f xml:space="preserve"> COMMUS_23FS_Model!S$396</f>
        <v>0</v>
      </c>
      <c r="T874" s="574">
        <f xml:space="preserve"> COMMUS_23FS_Model!T$396</f>
        <v>0</v>
      </c>
      <c r="U874" s="574">
        <f xml:space="preserve"> COMMUS_23FS_Model!U$396</f>
        <v>0</v>
      </c>
      <c r="V874" s="574">
        <f xml:space="preserve"> COMMUS_23FS_Model!V$396</f>
        <v>0</v>
      </c>
      <c r="W874" s="574">
        <f xml:space="preserve"> COMMUS_23FS_Model!W$396</f>
        <v>400</v>
      </c>
      <c r="X874" s="574">
        <f xml:space="preserve"> COMMUS_23FS_Model!X$396</f>
        <v>0</v>
      </c>
      <c r="Y874" s="574">
        <f xml:space="preserve"> COMMUS_23FS_Model!Y$396</f>
        <v>0</v>
      </c>
      <c r="Z874" s="574">
        <f xml:space="preserve"> COMMUS_23FS_Model!Z$396</f>
        <v>0</v>
      </c>
      <c r="AA874" s="574">
        <f xml:space="preserve"> COMMUS_23FS_Model!AA$396</f>
        <v>0</v>
      </c>
      <c r="AB874" s="574">
        <f xml:space="preserve"> COMMUS_23FS_Model!AB$396</f>
        <v>0</v>
      </c>
      <c r="AC874" s="574">
        <f xml:space="preserve"> COMMUS_23FS_Model!AC$396</f>
        <v>0</v>
      </c>
      <c r="AD874" s="574">
        <f xml:space="preserve"> COMMUS_23FS_Model!AD$396</f>
        <v>0</v>
      </c>
      <c r="AE874" s="574">
        <f xml:space="preserve"> COMMUS_23FS_Model!AE$396</f>
        <v>0</v>
      </c>
      <c r="AF874" s="574">
        <f xml:space="preserve"> COMMUS_23FS_Model!AF$396</f>
        <v>0</v>
      </c>
      <c r="AG874" s="574">
        <f xml:space="preserve"> COMMUS_23FS_Model!AG$396</f>
        <v>0</v>
      </c>
      <c r="AH874" s="574">
        <f xml:space="preserve"> COMMUS_23FS_Model!AH$396</f>
        <v>0</v>
      </c>
      <c r="AI874" s="574">
        <f xml:space="preserve"> COMMUS_23FS_Model!AI$396</f>
        <v>0</v>
      </c>
      <c r="AJ874" s="574">
        <f xml:space="preserve"> COMMUS_23FS_Model!AJ$396</f>
        <v>0</v>
      </c>
      <c r="AK874" s="574">
        <f xml:space="preserve"> COMMUS_23FS_Model!AK$396</f>
        <v>0</v>
      </c>
      <c r="AL874" s="574">
        <f xml:space="preserve"> COMMUS_23FS_Model!AL$396</f>
        <v>0</v>
      </c>
      <c r="AM874" s="574">
        <f xml:space="preserve"> COMMUS_23FS_Model!AM$396</f>
        <v>0</v>
      </c>
      <c r="AN874" s="574">
        <f xml:space="preserve"> COMMUS_23FS_Model!AN$396</f>
        <v>0</v>
      </c>
      <c r="AO874" s="574">
        <f xml:space="preserve"> COMMUS_23FS_Model!AO$396</f>
        <v>0</v>
      </c>
      <c r="AP874" s="574">
        <f xml:space="preserve"> COMMUS_23FS_Model!AP$396</f>
        <v>0</v>
      </c>
      <c r="AQ874" s="574">
        <f xml:space="preserve"> COMMUS_23FS_Model!AQ$396</f>
        <v>0</v>
      </c>
      <c r="AR874" s="574">
        <f xml:space="preserve"> COMMUS_23FS_Model!AR$396</f>
        <v>0</v>
      </c>
      <c r="AS874" s="574">
        <f xml:space="preserve"> COMMUS_23FS_Model!AS$396</f>
        <v>0</v>
      </c>
    </row>
    <row r="875" spans="1:45" ht="15" customHeight="1" x14ac:dyDescent="0.3">
      <c r="E875" s="104"/>
      <c r="F875" s="104"/>
      <c r="G875" s="104"/>
      <c r="H875" s="104"/>
      <c r="I875" s="104"/>
      <c r="J875" s="104"/>
      <c r="K875" s="104"/>
      <c r="L875" s="104"/>
      <c r="M875" s="104"/>
      <c r="N875" s="104"/>
      <c r="O875" s="104"/>
      <c r="P875" s="104"/>
      <c r="Q875" s="104"/>
      <c r="R875" s="104"/>
      <c r="S875" s="104"/>
      <c r="T875" s="104"/>
      <c r="U875" s="104"/>
      <c r="V875" s="104"/>
      <c r="W875" s="104"/>
      <c r="X875" s="104"/>
      <c r="Y875" s="104"/>
      <c r="Z875" s="104"/>
      <c r="AA875" s="104"/>
      <c r="AB875" s="104"/>
      <c r="AC875" s="104"/>
      <c r="AD875" s="104"/>
      <c r="AE875" s="104"/>
      <c r="AF875" s="104"/>
      <c r="AG875" s="104"/>
      <c r="AH875" s="104"/>
      <c r="AI875" s="104"/>
      <c r="AJ875" s="104"/>
      <c r="AK875" s="104"/>
      <c r="AL875" s="104"/>
      <c r="AM875" s="104"/>
      <c r="AN875" s="104"/>
      <c r="AO875" s="104"/>
      <c r="AP875" s="104"/>
      <c r="AQ875" s="104"/>
      <c r="AR875" s="104"/>
      <c r="AS875" s="104"/>
    </row>
    <row r="876" spans="1:45" ht="15" customHeight="1" x14ac:dyDescent="0.3">
      <c r="E876" s="104" t="str">
        <f xml:space="preserve"> COMMUS_23FS_Model!E$398</f>
        <v>JIN Cheng loan 2017: drawdown</v>
      </c>
      <c r="F876" s="104">
        <f xml:space="preserve"> COMMUS_23FS_Model!F$398</f>
        <v>0</v>
      </c>
      <c r="G876" s="104" t="str">
        <f xml:space="preserve"> COMMUS_23FS_Model!G$398</f>
        <v>$ mn</v>
      </c>
      <c r="H876" s="104" t="str">
        <f xml:space="preserve"> COMMUS_23FS_Model!H$398</f>
        <v>M</v>
      </c>
      <c r="I876" s="104">
        <f xml:space="preserve"> COMMUS_23FS_Model!I$398</f>
        <v>99</v>
      </c>
      <c r="J876" s="104">
        <f xml:space="preserve"> COMMUS_23FS_Model!J$398</f>
        <v>0</v>
      </c>
      <c r="K876" s="104">
        <f xml:space="preserve"> COMMUS_23FS_Model!K$398</f>
        <v>0</v>
      </c>
      <c r="L876" s="104">
        <f xml:space="preserve"> COMMUS_23FS_Model!L$398</f>
        <v>0</v>
      </c>
      <c r="M876" s="104">
        <f xml:space="preserve"> COMMUS_23FS_Model!M$398</f>
        <v>0</v>
      </c>
      <c r="N876" s="104">
        <f xml:space="preserve"> COMMUS_23FS_Model!N$398</f>
        <v>0</v>
      </c>
      <c r="O876" s="104">
        <f xml:space="preserve"> COMMUS_23FS_Model!O$398</f>
        <v>0</v>
      </c>
      <c r="P876" s="104">
        <f xml:space="preserve"> COMMUS_23FS_Model!P$398</f>
        <v>0</v>
      </c>
      <c r="Q876" s="104">
        <f xml:space="preserve"> COMMUS_23FS_Model!Q$398</f>
        <v>0</v>
      </c>
      <c r="R876" s="104">
        <f xml:space="preserve"> COMMUS_23FS_Model!R$398</f>
        <v>0</v>
      </c>
      <c r="S876" s="104">
        <f xml:space="preserve"> COMMUS_23FS_Model!S$398</f>
        <v>0</v>
      </c>
      <c r="T876" s="104">
        <f xml:space="preserve"> COMMUS_23FS_Model!T$398</f>
        <v>0</v>
      </c>
      <c r="U876" s="104">
        <f xml:space="preserve"> COMMUS_23FS_Model!U$398</f>
        <v>0</v>
      </c>
      <c r="V876" s="104">
        <f xml:space="preserve"> COMMUS_23FS_Model!V$398</f>
        <v>99</v>
      </c>
      <c r="W876" s="104">
        <f xml:space="preserve"> COMMUS_23FS_Model!W$398</f>
        <v>0</v>
      </c>
      <c r="X876" s="104">
        <f xml:space="preserve"> COMMUS_23FS_Model!X$398</f>
        <v>0</v>
      </c>
      <c r="Y876" s="104">
        <f xml:space="preserve"> COMMUS_23FS_Model!Y$398</f>
        <v>0</v>
      </c>
      <c r="Z876" s="104">
        <f xml:space="preserve"> COMMUS_23FS_Model!Z$398</f>
        <v>0</v>
      </c>
      <c r="AA876" s="104">
        <f xml:space="preserve"> COMMUS_23FS_Model!AA$398</f>
        <v>0</v>
      </c>
      <c r="AB876" s="104">
        <f xml:space="preserve"> COMMUS_23FS_Model!AB$398</f>
        <v>0</v>
      </c>
      <c r="AC876" s="104">
        <f xml:space="preserve"> COMMUS_23FS_Model!AC$398</f>
        <v>0</v>
      </c>
      <c r="AD876" s="104">
        <f xml:space="preserve"> COMMUS_23FS_Model!AD$398</f>
        <v>0</v>
      </c>
      <c r="AE876" s="104">
        <f xml:space="preserve"> COMMUS_23FS_Model!AE$398</f>
        <v>0</v>
      </c>
      <c r="AF876" s="104">
        <f xml:space="preserve"> COMMUS_23FS_Model!AF$398</f>
        <v>0</v>
      </c>
      <c r="AG876" s="104">
        <f xml:space="preserve"> COMMUS_23FS_Model!AG$398</f>
        <v>0</v>
      </c>
      <c r="AH876" s="104">
        <f xml:space="preserve"> COMMUS_23FS_Model!AH$398</f>
        <v>0</v>
      </c>
      <c r="AI876" s="104">
        <f xml:space="preserve"> COMMUS_23FS_Model!AI$398</f>
        <v>0</v>
      </c>
      <c r="AJ876" s="104">
        <f xml:space="preserve"> COMMUS_23FS_Model!AJ$398</f>
        <v>0</v>
      </c>
      <c r="AK876" s="104">
        <f xml:space="preserve"> COMMUS_23FS_Model!AK$398</f>
        <v>0</v>
      </c>
      <c r="AL876" s="104">
        <f xml:space="preserve"> COMMUS_23FS_Model!AL$398</f>
        <v>0</v>
      </c>
      <c r="AM876" s="104">
        <f xml:space="preserve"> COMMUS_23FS_Model!AM$398</f>
        <v>0</v>
      </c>
      <c r="AN876" s="104">
        <f xml:space="preserve"> COMMUS_23FS_Model!AN$398</f>
        <v>0</v>
      </c>
      <c r="AO876" s="104">
        <f xml:space="preserve"> COMMUS_23FS_Model!AO$398</f>
        <v>0</v>
      </c>
      <c r="AP876" s="104">
        <f xml:space="preserve"> COMMUS_23FS_Model!AP$398</f>
        <v>0</v>
      </c>
      <c r="AQ876" s="104">
        <f xml:space="preserve"> COMMUS_23FS_Model!AQ$398</f>
        <v>0</v>
      </c>
      <c r="AR876" s="104">
        <f xml:space="preserve"> COMMUS_23FS_Model!AR$398</f>
        <v>0</v>
      </c>
      <c r="AS876" s="104">
        <f xml:space="preserve"> COMMUS_23FS_Model!AS$398</f>
        <v>0</v>
      </c>
    </row>
    <row r="877" spans="1:45" ht="15" customHeight="1" x14ac:dyDescent="0.3">
      <c r="A877" s="180"/>
      <c r="B877" s="180"/>
      <c r="C877" s="181"/>
      <c r="D877" s="36"/>
      <c r="E877" s="36" t="str">
        <f xml:space="preserve"> E874</f>
        <v>Interest bearing drawdowns</v>
      </c>
      <c r="F877" s="36">
        <f t="shared" ref="F877:O877" si="742" xml:space="preserve"> F874</f>
        <v>0</v>
      </c>
      <c r="G877" s="36" t="str">
        <f t="shared" si="742"/>
        <v>$ mn</v>
      </c>
      <c r="H877" s="36">
        <f t="shared" si="742"/>
        <v>0</v>
      </c>
      <c r="I877" s="36">
        <f t="shared" si="742"/>
        <v>400</v>
      </c>
      <c r="J877" s="36">
        <f t="shared" si="742"/>
        <v>0</v>
      </c>
      <c r="K877" s="36">
        <f t="shared" si="742"/>
        <v>0</v>
      </c>
      <c r="L877" s="36">
        <f t="shared" si="742"/>
        <v>0</v>
      </c>
      <c r="M877" s="36">
        <f t="shared" si="742"/>
        <v>0</v>
      </c>
      <c r="N877" s="36">
        <f t="shared" si="742"/>
        <v>0</v>
      </c>
      <c r="O877" s="36">
        <f t="shared" si="742"/>
        <v>0</v>
      </c>
      <c r="P877" s="36">
        <f xml:space="preserve"> P874</f>
        <v>0</v>
      </c>
      <c r="Q877" s="36">
        <f xml:space="preserve"> Q874</f>
        <v>0</v>
      </c>
      <c r="R877" s="36">
        <f xml:space="preserve"> R874</f>
        <v>0</v>
      </c>
      <c r="S877" s="36">
        <f t="shared" ref="S877:AS877" si="743" xml:space="preserve"> S874</f>
        <v>0</v>
      </c>
      <c r="T877" s="36">
        <f t="shared" si="743"/>
        <v>0</v>
      </c>
      <c r="U877" s="36">
        <f t="shared" si="743"/>
        <v>0</v>
      </c>
      <c r="V877" s="36">
        <f t="shared" si="743"/>
        <v>0</v>
      </c>
      <c r="W877" s="36">
        <f t="shared" si="743"/>
        <v>400</v>
      </c>
      <c r="X877" s="36">
        <f t="shared" si="743"/>
        <v>0</v>
      </c>
      <c r="Y877" s="36">
        <f t="shared" si="743"/>
        <v>0</v>
      </c>
      <c r="Z877" s="36">
        <f t="shared" si="743"/>
        <v>0</v>
      </c>
      <c r="AA877" s="36">
        <f t="shared" si="743"/>
        <v>0</v>
      </c>
      <c r="AB877" s="36">
        <f t="shared" si="743"/>
        <v>0</v>
      </c>
      <c r="AC877" s="36">
        <f t="shared" si="743"/>
        <v>0</v>
      </c>
      <c r="AD877" s="36">
        <f t="shared" si="743"/>
        <v>0</v>
      </c>
      <c r="AE877" s="36">
        <f t="shared" si="743"/>
        <v>0</v>
      </c>
      <c r="AF877" s="36">
        <f t="shared" si="743"/>
        <v>0</v>
      </c>
      <c r="AG877" s="36">
        <f t="shared" si="743"/>
        <v>0</v>
      </c>
      <c r="AH877" s="36">
        <f t="shared" si="743"/>
        <v>0</v>
      </c>
      <c r="AI877" s="36">
        <f t="shared" si="743"/>
        <v>0</v>
      </c>
      <c r="AJ877" s="36">
        <f t="shared" si="743"/>
        <v>0</v>
      </c>
      <c r="AK877" s="36">
        <f t="shared" si="743"/>
        <v>0</v>
      </c>
      <c r="AL877" s="36">
        <f t="shared" si="743"/>
        <v>0</v>
      </c>
      <c r="AM877" s="36">
        <f t="shared" si="743"/>
        <v>0</v>
      </c>
      <c r="AN877" s="36">
        <f t="shared" si="743"/>
        <v>0</v>
      </c>
      <c r="AO877" s="36">
        <f t="shared" si="743"/>
        <v>0</v>
      </c>
      <c r="AP877" s="36">
        <f t="shared" si="743"/>
        <v>0</v>
      </c>
      <c r="AQ877" s="36">
        <f t="shared" si="743"/>
        <v>0</v>
      </c>
      <c r="AR877" s="36">
        <f t="shared" si="743"/>
        <v>0</v>
      </c>
      <c r="AS877" s="36">
        <f t="shared" si="743"/>
        <v>0</v>
      </c>
    </row>
    <row r="878" spans="1:45" ht="15" customHeight="1" x14ac:dyDescent="0.3">
      <c r="A878" s="123"/>
      <c r="B878" s="123"/>
      <c r="C878" s="124"/>
      <c r="D878" s="109"/>
      <c r="E878" s="574" t="str">
        <f xml:space="preserve"> COMMUS_23FS_Model!E$400</f>
        <v>Total drawdowns</v>
      </c>
      <c r="F878" s="574">
        <f xml:space="preserve"> COMMUS_23FS_Model!F$400</f>
        <v>0</v>
      </c>
      <c r="G878" s="574" t="str">
        <f xml:space="preserve"> COMMUS_23FS_Model!G$400</f>
        <v>$ mn</v>
      </c>
      <c r="H878" s="574">
        <f xml:space="preserve"> COMMUS_23FS_Model!H$400</f>
        <v>0</v>
      </c>
      <c r="I878" s="574">
        <f xml:space="preserve"> COMMUS_23FS_Model!I$400</f>
        <v>499</v>
      </c>
      <c r="J878" s="574">
        <f xml:space="preserve"> COMMUS_23FS_Model!J$400</f>
        <v>0</v>
      </c>
      <c r="K878" s="574">
        <f xml:space="preserve"> COMMUS_23FS_Model!K$400</f>
        <v>0</v>
      </c>
      <c r="L878" s="574">
        <f xml:space="preserve"> COMMUS_23FS_Model!L$400</f>
        <v>0</v>
      </c>
      <c r="M878" s="574">
        <f xml:space="preserve"> COMMUS_23FS_Model!M$400</f>
        <v>0</v>
      </c>
      <c r="N878" s="574">
        <f xml:space="preserve"> COMMUS_23FS_Model!N$400</f>
        <v>0</v>
      </c>
      <c r="O878" s="574">
        <f xml:space="preserve"> COMMUS_23FS_Model!O$400</f>
        <v>0</v>
      </c>
      <c r="P878" s="574">
        <f xml:space="preserve"> COMMUS_23FS_Model!P$400</f>
        <v>0</v>
      </c>
      <c r="Q878" s="574">
        <f xml:space="preserve"> COMMUS_23FS_Model!Q$400</f>
        <v>0</v>
      </c>
      <c r="R878" s="574">
        <f xml:space="preserve"> COMMUS_23FS_Model!R$400</f>
        <v>0</v>
      </c>
      <c r="S878" s="574">
        <f xml:space="preserve"> COMMUS_23FS_Model!S$400</f>
        <v>0</v>
      </c>
      <c r="T878" s="574">
        <f xml:space="preserve"> COMMUS_23FS_Model!T$400</f>
        <v>0</v>
      </c>
      <c r="U878" s="574">
        <f xml:space="preserve"> COMMUS_23FS_Model!U$400</f>
        <v>0</v>
      </c>
      <c r="V878" s="574">
        <f xml:space="preserve"> COMMUS_23FS_Model!V$400</f>
        <v>99</v>
      </c>
      <c r="W878" s="574">
        <f xml:space="preserve"> COMMUS_23FS_Model!W$400</f>
        <v>400</v>
      </c>
      <c r="X878" s="574">
        <f xml:space="preserve"> COMMUS_23FS_Model!X$400</f>
        <v>0</v>
      </c>
      <c r="Y878" s="574">
        <f xml:space="preserve"> COMMUS_23FS_Model!Y$400</f>
        <v>0</v>
      </c>
      <c r="Z878" s="574">
        <f xml:space="preserve"> COMMUS_23FS_Model!Z$400</f>
        <v>0</v>
      </c>
      <c r="AA878" s="574">
        <f xml:space="preserve"> COMMUS_23FS_Model!AA$400</f>
        <v>0</v>
      </c>
      <c r="AB878" s="574">
        <f xml:space="preserve"> COMMUS_23FS_Model!AB$400</f>
        <v>0</v>
      </c>
      <c r="AC878" s="574">
        <f xml:space="preserve"> COMMUS_23FS_Model!AC$400</f>
        <v>0</v>
      </c>
      <c r="AD878" s="574">
        <f xml:space="preserve"> COMMUS_23FS_Model!AD$400</f>
        <v>0</v>
      </c>
      <c r="AE878" s="574">
        <f xml:space="preserve"> COMMUS_23FS_Model!AE$400</f>
        <v>0</v>
      </c>
      <c r="AF878" s="574">
        <f xml:space="preserve"> COMMUS_23FS_Model!AF$400</f>
        <v>0</v>
      </c>
      <c r="AG878" s="574">
        <f xml:space="preserve"> COMMUS_23FS_Model!AG$400</f>
        <v>0</v>
      </c>
      <c r="AH878" s="574">
        <f xml:space="preserve"> COMMUS_23FS_Model!AH$400</f>
        <v>0</v>
      </c>
      <c r="AI878" s="574">
        <f xml:space="preserve"> COMMUS_23FS_Model!AI$400</f>
        <v>0</v>
      </c>
      <c r="AJ878" s="574">
        <f xml:space="preserve"> COMMUS_23FS_Model!AJ$400</f>
        <v>0</v>
      </c>
      <c r="AK878" s="574">
        <f xml:space="preserve"> COMMUS_23FS_Model!AK$400</f>
        <v>0</v>
      </c>
      <c r="AL878" s="574">
        <f xml:space="preserve"> COMMUS_23FS_Model!AL$400</f>
        <v>0</v>
      </c>
      <c r="AM878" s="574">
        <f xml:space="preserve"> COMMUS_23FS_Model!AM$400</f>
        <v>0</v>
      </c>
      <c r="AN878" s="574">
        <f xml:space="preserve"> COMMUS_23FS_Model!AN$400</f>
        <v>0</v>
      </c>
      <c r="AO878" s="574">
        <f xml:space="preserve"> COMMUS_23FS_Model!AO$400</f>
        <v>0</v>
      </c>
      <c r="AP878" s="574">
        <f xml:space="preserve"> COMMUS_23FS_Model!AP$400</f>
        <v>0</v>
      </c>
      <c r="AQ878" s="574">
        <f xml:space="preserve"> COMMUS_23FS_Model!AQ$400</f>
        <v>0</v>
      </c>
      <c r="AR878" s="574">
        <f xml:space="preserve"> COMMUS_23FS_Model!AR$400</f>
        <v>0</v>
      </c>
      <c r="AS878" s="574">
        <f xml:space="preserve"> COMMUS_23FS_Model!AS$400</f>
        <v>0</v>
      </c>
    </row>
    <row r="879" spans="1:45" ht="15" customHeight="1" x14ac:dyDescent="0.3">
      <c r="E879" s="104"/>
      <c r="F879" s="104"/>
      <c r="G879" s="104"/>
      <c r="H879" s="104"/>
      <c r="I879" s="104"/>
      <c r="J879" s="104"/>
      <c r="K879" s="104"/>
      <c r="L879" s="104"/>
      <c r="M879" s="104"/>
      <c r="N879" s="104"/>
      <c r="O879" s="104"/>
      <c r="P879" s="104"/>
      <c r="Q879" s="104"/>
      <c r="R879" s="104"/>
      <c r="S879" s="104"/>
      <c r="T879" s="104"/>
      <c r="U879" s="104"/>
      <c r="V879" s="104"/>
      <c r="W879" s="104"/>
      <c r="X879" s="104"/>
      <c r="Y879" s="104"/>
      <c r="Z879" s="104"/>
      <c r="AA879" s="104"/>
      <c r="AB879" s="104"/>
      <c r="AC879" s="104"/>
      <c r="AD879" s="104"/>
      <c r="AE879" s="104"/>
      <c r="AF879" s="104"/>
      <c r="AG879" s="104"/>
      <c r="AH879" s="104"/>
      <c r="AI879" s="104"/>
      <c r="AJ879" s="104"/>
      <c r="AK879" s="104"/>
      <c r="AL879" s="104"/>
      <c r="AM879" s="104"/>
      <c r="AN879" s="104"/>
      <c r="AO879" s="104"/>
      <c r="AP879" s="104"/>
      <c r="AQ879" s="104"/>
      <c r="AR879" s="104"/>
      <c r="AS879" s="104"/>
    </row>
    <row r="880" spans="1:45" ht="15" customHeight="1" x14ac:dyDescent="0.3">
      <c r="E880" s="104" t="str">
        <f xml:space="preserve"> COMMUS_23FS_Model!E$408</f>
        <v>JIN Cheng loan 2017: principal repayment</v>
      </c>
      <c r="F880" s="104">
        <f xml:space="preserve"> COMMUS_23FS_Model!F$408</f>
        <v>0</v>
      </c>
      <c r="G880" s="104" t="str">
        <f xml:space="preserve"> COMMUS_23FS_Model!G$408</f>
        <v>$ mn</v>
      </c>
      <c r="H880" s="104" t="str">
        <f xml:space="preserve"> COMMUS_23FS_Model!H$408</f>
        <v>M</v>
      </c>
      <c r="I880" s="104">
        <f xml:space="preserve"> COMMUS_23FS_Model!I$408</f>
        <v>99</v>
      </c>
      <c r="J880" s="104">
        <f xml:space="preserve"> COMMUS_23FS_Model!J$408</f>
        <v>0</v>
      </c>
      <c r="K880" s="104">
        <f xml:space="preserve"> COMMUS_23FS_Model!K$408</f>
        <v>0</v>
      </c>
      <c r="L880" s="104">
        <f xml:space="preserve"> COMMUS_23FS_Model!L$408</f>
        <v>0</v>
      </c>
      <c r="M880" s="104">
        <f xml:space="preserve"> COMMUS_23FS_Model!M$408</f>
        <v>0</v>
      </c>
      <c r="N880" s="104">
        <f xml:space="preserve"> COMMUS_23FS_Model!N$408</f>
        <v>0</v>
      </c>
      <c r="O880" s="104">
        <f xml:space="preserve"> COMMUS_23FS_Model!O$408</f>
        <v>0</v>
      </c>
      <c r="P880" s="104">
        <f xml:space="preserve"> COMMUS_23FS_Model!P$408</f>
        <v>0</v>
      </c>
      <c r="Q880" s="104">
        <f xml:space="preserve"> COMMUS_23FS_Model!Q$408</f>
        <v>0</v>
      </c>
      <c r="R880" s="104">
        <f xml:space="preserve"> COMMUS_23FS_Model!R$408</f>
        <v>0</v>
      </c>
      <c r="S880" s="104">
        <f xml:space="preserve"> COMMUS_23FS_Model!S$408</f>
        <v>0</v>
      </c>
      <c r="T880" s="104">
        <f xml:space="preserve"> COMMUS_23FS_Model!T$408</f>
        <v>0</v>
      </c>
      <c r="U880" s="104">
        <f xml:space="preserve"> COMMUS_23FS_Model!U$408</f>
        <v>0</v>
      </c>
      <c r="V880" s="104">
        <f xml:space="preserve"> COMMUS_23FS_Model!V$408</f>
        <v>0</v>
      </c>
      <c r="W880" s="104">
        <f xml:space="preserve"> COMMUS_23FS_Model!W$408</f>
        <v>99</v>
      </c>
      <c r="X880" s="104">
        <f xml:space="preserve"> COMMUS_23FS_Model!X$408</f>
        <v>0</v>
      </c>
      <c r="Y880" s="104">
        <f xml:space="preserve"> COMMUS_23FS_Model!Y$408</f>
        <v>0</v>
      </c>
      <c r="Z880" s="104">
        <f xml:space="preserve"> COMMUS_23FS_Model!Z$408</f>
        <v>0</v>
      </c>
      <c r="AA880" s="104">
        <f xml:space="preserve"> COMMUS_23FS_Model!AA$408</f>
        <v>0</v>
      </c>
      <c r="AB880" s="104">
        <f xml:space="preserve"> COMMUS_23FS_Model!AB$408</f>
        <v>0</v>
      </c>
      <c r="AC880" s="104">
        <f xml:space="preserve"> COMMUS_23FS_Model!AC$408</f>
        <v>0</v>
      </c>
      <c r="AD880" s="104">
        <f xml:space="preserve"> COMMUS_23FS_Model!AD$408</f>
        <v>0</v>
      </c>
      <c r="AE880" s="104">
        <f xml:space="preserve"> COMMUS_23FS_Model!AE$408</f>
        <v>0</v>
      </c>
      <c r="AF880" s="104">
        <f xml:space="preserve"> COMMUS_23FS_Model!AF$408</f>
        <v>0</v>
      </c>
      <c r="AG880" s="104">
        <f xml:space="preserve"> COMMUS_23FS_Model!AG$408</f>
        <v>0</v>
      </c>
      <c r="AH880" s="104">
        <f xml:space="preserve"> COMMUS_23FS_Model!AH$408</f>
        <v>0</v>
      </c>
      <c r="AI880" s="104">
        <f xml:space="preserve"> COMMUS_23FS_Model!AI$408</f>
        <v>0</v>
      </c>
      <c r="AJ880" s="104">
        <f xml:space="preserve"> COMMUS_23FS_Model!AJ$408</f>
        <v>0</v>
      </c>
      <c r="AK880" s="104">
        <f xml:space="preserve"> COMMUS_23FS_Model!AK$408</f>
        <v>0</v>
      </c>
      <c r="AL880" s="104">
        <f xml:space="preserve"> COMMUS_23FS_Model!AL$408</f>
        <v>0</v>
      </c>
      <c r="AM880" s="104">
        <f xml:space="preserve"> COMMUS_23FS_Model!AM$408</f>
        <v>0</v>
      </c>
      <c r="AN880" s="104">
        <f xml:space="preserve"> COMMUS_23FS_Model!AN$408</f>
        <v>0</v>
      </c>
      <c r="AO880" s="104">
        <f xml:space="preserve"> COMMUS_23FS_Model!AO$408</f>
        <v>0</v>
      </c>
      <c r="AP880" s="104">
        <f xml:space="preserve"> COMMUS_23FS_Model!AP$408</f>
        <v>0</v>
      </c>
      <c r="AQ880" s="104">
        <f xml:space="preserve"> COMMUS_23FS_Model!AQ$408</f>
        <v>0</v>
      </c>
      <c r="AR880" s="104">
        <f xml:space="preserve"> COMMUS_23FS_Model!AR$408</f>
        <v>0</v>
      </c>
      <c r="AS880" s="104">
        <f xml:space="preserve"> COMMUS_23FS_Model!AS$408</f>
        <v>0</v>
      </c>
    </row>
    <row r="881" spans="1:45" ht="15" customHeight="1" x14ac:dyDescent="0.3">
      <c r="E881" s="104" t="str">
        <f xml:space="preserve"> COMMUS_23FS_Model!E$409</f>
        <v>JIN Cheng loan 2018: principal repayment</v>
      </c>
      <c r="F881" s="104">
        <f xml:space="preserve"> COMMUS_23FS_Model!F$409</f>
        <v>0</v>
      </c>
      <c r="G881" s="104" t="str">
        <f xml:space="preserve"> COMMUS_23FS_Model!G$409</f>
        <v>$ mn</v>
      </c>
      <c r="H881" s="104" t="str">
        <f xml:space="preserve"> COMMUS_23FS_Model!H$409</f>
        <v>M</v>
      </c>
      <c r="I881" s="104">
        <f xml:space="preserve"> COMMUS_23FS_Model!I$409</f>
        <v>200</v>
      </c>
      <c r="J881" s="104">
        <f xml:space="preserve"> COMMUS_23FS_Model!J$409</f>
        <v>0</v>
      </c>
      <c r="K881" s="104">
        <f xml:space="preserve"> COMMUS_23FS_Model!K$409</f>
        <v>0</v>
      </c>
      <c r="L881" s="104">
        <f xml:space="preserve"> COMMUS_23FS_Model!L$409</f>
        <v>0</v>
      </c>
      <c r="M881" s="104">
        <f xml:space="preserve"> COMMUS_23FS_Model!M$409</f>
        <v>0</v>
      </c>
      <c r="N881" s="104">
        <f xml:space="preserve"> COMMUS_23FS_Model!N$409</f>
        <v>0</v>
      </c>
      <c r="O881" s="104">
        <f xml:space="preserve"> COMMUS_23FS_Model!O$409</f>
        <v>0</v>
      </c>
      <c r="P881" s="104">
        <f xml:space="preserve"> COMMUS_23FS_Model!P$409</f>
        <v>0</v>
      </c>
      <c r="Q881" s="104">
        <f xml:space="preserve"> COMMUS_23FS_Model!Q$409</f>
        <v>0</v>
      </c>
      <c r="R881" s="104">
        <f xml:space="preserve"> COMMUS_23FS_Model!R$409</f>
        <v>0</v>
      </c>
      <c r="S881" s="104">
        <f xml:space="preserve"> COMMUS_23FS_Model!S$409</f>
        <v>0</v>
      </c>
      <c r="T881" s="104">
        <f xml:space="preserve"> COMMUS_23FS_Model!T$409</f>
        <v>0</v>
      </c>
      <c r="U881" s="104">
        <f xml:space="preserve"> COMMUS_23FS_Model!U$409</f>
        <v>0</v>
      </c>
      <c r="V881" s="104">
        <f xml:space="preserve"> COMMUS_23FS_Model!V$409</f>
        <v>0</v>
      </c>
      <c r="W881" s="104">
        <f xml:space="preserve"> COMMUS_23FS_Model!W$409</f>
        <v>0</v>
      </c>
      <c r="X881" s="104">
        <f xml:space="preserve"> COMMUS_23FS_Model!X$409</f>
        <v>26</v>
      </c>
      <c r="Y881" s="104">
        <f xml:space="preserve"> COMMUS_23FS_Model!Y$409</f>
        <v>50</v>
      </c>
      <c r="Z881" s="104">
        <f xml:space="preserve"> COMMUS_23FS_Model!Z$409</f>
        <v>49</v>
      </c>
      <c r="AA881" s="104">
        <f xml:space="preserve"> COMMUS_23FS_Model!AA$409</f>
        <v>15</v>
      </c>
      <c r="AB881" s="104">
        <f xml:space="preserve"> COMMUS_23FS_Model!AB$409</f>
        <v>15</v>
      </c>
      <c r="AC881" s="104">
        <f xml:space="preserve"> COMMUS_23FS_Model!AC$409</f>
        <v>15</v>
      </c>
      <c r="AD881" s="104">
        <f xml:space="preserve"> COMMUS_23FS_Model!AD$409</f>
        <v>15</v>
      </c>
      <c r="AE881" s="104">
        <f xml:space="preserve"> COMMUS_23FS_Model!AE$409</f>
        <v>15</v>
      </c>
      <c r="AF881" s="104">
        <f xml:space="preserve"> COMMUS_23FS_Model!AF$409</f>
        <v>0</v>
      </c>
      <c r="AG881" s="104">
        <f xml:space="preserve"> COMMUS_23FS_Model!AG$409</f>
        <v>0</v>
      </c>
      <c r="AH881" s="104">
        <f xml:space="preserve"> COMMUS_23FS_Model!AH$409</f>
        <v>0</v>
      </c>
      <c r="AI881" s="104">
        <f xml:space="preserve"> COMMUS_23FS_Model!AI$409</f>
        <v>0</v>
      </c>
      <c r="AJ881" s="104">
        <f xml:space="preserve"> COMMUS_23FS_Model!AJ$409</f>
        <v>0</v>
      </c>
      <c r="AK881" s="104">
        <f xml:space="preserve"> COMMUS_23FS_Model!AK$409</f>
        <v>0</v>
      </c>
      <c r="AL881" s="104">
        <f xml:space="preserve"> COMMUS_23FS_Model!AL$409</f>
        <v>0</v>
      </c>
      <c r="AM881" s="104">
        <f xml:space="preserve"> COMMUS_23FS_Model!AM$409</f>
        <v>0</v>
      </c>
      <c r="AN881" s="104">
        <f xml:space="preserve"> COMMUS_23FS_Model!AN$409</f>
        <v>0</v>
      </c>
      <c r="AO881" s="104">
        <f xml:space="preserve"> COMMUS_23FS_Model!AO$409</f>
        <v>0</v>
      </c>
      <c r="AP881" s="104">
        <f xml:space="preserve"> COMMUS_23FS_Model!AP$409</f>
        <v>0</v>
      </c>
      <c r="AQ881" s="104">
        <f xml:space="preserve"> COMMUS_23FS_Model!AQ$409</f>
        <v>0</v>
      </c>
      <c r="AR881" s="104">
        <f xml:space="preserve"> COMMUS_23FS_Model!AR$409</f>
        <v>0</v>
      </c>
      <c r="AS881" s="104">
        <f xml:space="preserve"> COMMUS_23FS_Model!AS$409</f>
        <v>0</v>
      </c>
    </row>
    <row r="882" spans="1:45" ht="15" customHeight="1" x14ac:dyDescent="0.3">
      <c r="E882" s="104" t="str">
        <f xml:space="preserve"> COMMUS_23FS_Model!E$410</f>
        <v>Gold Mountains loan 2018: principal repayment</v>
      </c>
      <c r="F882" s="104">
        <f xml:space="preserve"> COMMUS_23FS_Model!F$410</f>
        <v>0</v>
      </c>
      <c r="G882" s="104" t="str">
        <f xml:space="preserve"> COMMUS_23FS_Model!G$410</f>
        <v>$ mn</v>
      </c>
      <c r="H882" s="104" t="str">
        <f xml:space="preserve"> COMMUS_23FS_Model!H$410</f>
        <v>M</v>
      </c>
      <c r="I882" s="104">
        <f xml:space="preserve"> COMMUS_23FS_Model!I$410</f>
        <v>200</v>
      </c>
      <c r="J882" s="104">
        <f xml:space="preserve"> COMMUS_23FS_Model!J$410</f>
        <v>0</v>
      </c>
      <c r="K882" s="104">
        <f xml:space="preserve"> COMMUS_23FS_Model!K$410</f>
        <v>0</v>
      </c>
      <c r="L882" s="104">
        <f xml:space="preserve"> COMMUS_23FS_Model!L$410</f>
        <v>0</v>
      </c>
      <c r="M882" s="104">
        <f xml:space="preserve"> COMMUS_23FS_Model!M$410</f>
        <v>0</v>
      </c>
      <c r="N882" s="104">
        <f xml:space="preserve"> COMMUS_23FS_Model!N$410</f>
        <v>0</v>
      </c>
      <c r="O882" s="104">
        <f xml:space="preserve"> COMMUS_23FS_Model!O$410</f>
        <v>0</v>
      </c>
      <c r="P882" s="104">
        <f xml:space="preserve"> COMMUS_23FS_Model!P$410</f>
        <v>0</v>
      </c>
      <c r="Q882" s="104">
        <f xml:space="preserve"> COMMUS_23FS_Model!Q$410</f>
        <v>0</v>
      </c>
      <c r="R882" s="104">
        <f xml:space="preserve"> COMMUS_23FS_Model!R$410</f>
        <v>0</v>
      </c>
      <c r="S882" s="104">
        <f xml:space="preserve"> COMMUS_23FS_Model!S$410</f>
        <v>0</v>
      </c>
      <c r="T882" s="104">
        <f xml:space="preserve"> COMMUS_23FS_Model!T$410</f>
        <v>0</v>
      </c>
      <c r="U882" s="104">
        <f xml:space="preserve"> COMMUS_23FS_Model!U$410</f>
        <v>0</v>
      </c>
      <c r="V882" s="104">
        <f xml:space="preserve"> COMMUS_23FS_Model!V$410</f>
        <v>0</v>
      </c>
      <c r="W882" s="104">
        <f xml:space="preserve"> COMMUS_23FS_Model!W$410</f>
        <v>0</v>
      </c>
      <c r="X882" s="104">
        <f xml:space="preserve"> COMMUS_23FS_Model!X$410</f>
        <v>30</v>
      </c>
      <c r="Y882" s="104">
        <f xml:space="preserve"> COMMUS_23FS_Model!Y$410</f>
        <v>50</v>
      </c>
      <c r="Z882" s="104">
        <f xml:space="preserve"> COMMUS_23FS_Model!Z$410</f>
        <v>120</v>
      </c>
      <c r="AA882" s="104">
        <f xml:space="preserve"> COMMUS_23FS_Model!AA$410</f>
        <v>0</v>
      </c>
      <c r="AB882" s="104">
        <f xml:space="preserve"> COMMUS_23FS_Model!AB$410</f>
        <v>0</v>
      </c>
      <c r="AC882" s="104">
        <f xml:space="preserve"> COMMUS_23FS_Model!AC$410</f>
        <v>0</v>
      </c>
      <c r="AD882" s="104">
        <f xml:space="preserve"> COMMUS_23FS_Model!AD$410</f>
        <v>0</v>
      </c>
      <c r="AE882" s="104">
        <f xml:space="preserve"> COMMUS_23FS_Model!AE$410</f>
        <v>0</v>
      </c>
      <c r="AF882" s="104">
        <f xml:space="preserve"> COMMUS_23FS_Model!AF$410</f>
        <v>0</v>
      </c>
      <c r="AG882" s="104">
        <f xml:space="preserve"> COMMUS_23FS_Model!AG$410</f>
        <v>0</v>
      </c>
      <c r="AH882" s="104">
        <f xml:space="preserve"> COMMUS_23FS_Model!AH$410</f>
        <v>0</v>
      </c>
      <c r="AI882" s="104">
        <f xml:space="preserve"> COMMUS_23FS_Model!AI$410</f>
        <v>0</v>
      </c>
      <c r="AJ882" s="104">
        <f xml:space="preserve"> COMMUS_23FS_Model!AJ$410</f>
        <v>0</v>
      </c>
      <c r="AK882" s="104">
        <f xml:space="preserve"> COMMUS_23FS_Model!AK$410</f>
        <v>0</v>
      </c>
      <c r="AL882" s="104">
        <f xml:space="preserve"> COMMUS_23FS_Model!AL$410</f>
        <v>0</v>
      </c>
      <c r="AM882" s="104">
        <f xml:space="preserve"> COMMUS_23FS_Model!AM$410</f>
        <v>0</v>
      </c>
      <c r="AN882" s="104">
        <f xml:space="preserve"> COMMUS_23FS_Model!AN$410</f>
        <v>0</v>
      </c>
      <c r="AO882" s="104">
        <f xml:space="preserve"> COMMUS_23FS_Model!AO$410</f>
        <v>0</v>
      </c>
      <c r="AP882" s="104">
        <f xml:space="preserve"> COMMUS_23FS_Model!AP$410</f>
        <v>0</v>
      </c>
      <c r="AQ882" s="104">
        <f xml:space="preserve"> COMMUS_23FS_Model!AQ$410</f>
        <v>0</v>
      </c>
      <c r="AR882" s="104">
        <f xml:space="preserve"> COMMUS_23FS_Model!AR$410</f>
        <v>0</v>
      </c>
      <c r="AS882" s="104">
        <f xml:space="preserve"> COMMUS_23FS_Model!AS$410</f>
        <v>0</v>
      </c>
    </row>
    <row r="883" spans="1:45" ht="15" customHeight="1" x14ac:dyDescent="0.3">
      <c r="A883" s="123"/>
      <c r="B883" s="123"/>
      <c r="C883" s="124"/>
      <c r="D883" s="109"/>
      <c r="E883" s="574" t="str">
        <f xml:space="preserve"> COMMUS_23FS_Model!E$411</f>
        <v>Total principal repayments</v>
      </c>
      <c r="F883" s="574">
        <f xml:space="preserve"> COMMUS_23FS_Model!F$411</f>
        <v>0</v>
      </c>
      <c r="G883" s="574" t="str">
        <f xml:space="preserve"> COMMUS_23FS_Model!G$411</f>
        <v>$ mn</v>
      </c>
      <c r="H883" s="574">
        <f xml:space="preserve"> COMMUS_23FS_Model!H$411</f>
        <v>0</v>
      </c>
      <c r="I883" s="574">
        <f xml:space="preserve"> COMMUS_23FS_Model!I$411</f>
        <v>499</v>
      </c>
      <c r="J883" s="574">
        <f xml:space="preserve"> COMMUS_23FS_Model!J$411</f>
        <v>0</v>
      </c>
      <c r="K883" s="574">
        <f xml:space="preserve"> COMMUS_23FS_Model!K$411</f>
        <v>0</v>
      </c>
      <c r="L883" s="574">
        <f xml:space="preserve"> COMMUS_23FS_Model!L$411</f>
        <v>0</v>
      </c>
      <c r="M883" s="574">
        <f xml:space="preserve"> COMMUS_23FS_Model!M$411</f>
        <v>0</v>
      </c>
      <c r="N883" s="574">
        <f xml:space="preserve"> COMMUS_23FS_Model!N$411</f>
        <v>0</v>
      </c>
      <c r="O883" s="574">
        <f xml:space="preserve"> COMMUS_23FS_Model!O$411</f>
        <v>0</v>
      </c>
      <c r="P883" s="574">
        <f xml:space="preserve"> COMMUS_23FS_Model!P$411</f>
        <v>0</v>
      </c>
      <c r="Q883" s="574">
        <f xml:space="preserve"> COMMUS_23FS_Model!Q$411</f>
        <v>0</v>
      </c>
      <c r="R883" s="574">
        <f xml:space="preserve"> COMMUS_23FS_Model!R$411</f>
        <v>0</v>
      </c>
      <c r="S883" s="574">
        <f xml:space="preserve"> COMMUS_23FS_Model!S$411</f>
        <v>0</v>
      </c>
      <c r="T883" s="574">
        <f xml:space="preserve"> COMMUS_23FS_Model!T$411</f>
        <v>0</v>
      </c>
      <c r="U883" s="574">
        <f xml:space="preserve"> COMMUS_23FS_Model!U$411</f>
        <v>0</v>
      </c>
      <c r="V883" s="574">
        <f xml:space="preserve"> COMMUS_23FS_Model!V$411</f>
        <v>0</v>
      </c>
      <c r="W883" s="574">
        <f xml:space="preserve"> COMMUS_23FS_Model!W$411</f>
        <v>99</v>
      </c>
      <c r="X883" s="574">
        <f xml:space="preserve"> COMMUS_23FS_Model!X$411</f>
        <v>56</v>
      </c>
      <c r="Y883" s="574">
        <f xml:space="preserve"> COMMUS_23FS_Model!Y$411</f>
        <v>100</v>
      </c>
      <c r="Z883" s="574">
        <f xml:space="preserve"> COMMUS_23FS_Model!Z$411</f>
        <v>169</v>
      </c>
      <c r="AA883" s="574">
        <f xml:space="preserve"> COMMUS_23FS_Model!AA$411</f>
        <v>15</v>
      </c>
      <c r="AB883" s="574">
        <f xml:space="preserve"> COMMUS_23FS_Model!AB$411</f>
        <v>15</v>
      </c>
      <c r="AC883" s="574">
        <f xml:space="preserve"> COMMUS_23FS_Model!AC$411</f>
        <v>15</v>
      </c>
      <c r="AD883" s="574">
        <f xml:space="preserve"> COMMUS_23FS_Model!AD$411</f>
        <v>15</v>
      </c>
      <c r="AE883" s="574">
        <f xml:space="preserve"> COMMUS_23FS_Model!AE$411</f>
        <v>15</v>
      </c>
      <c r="AF883" s="574">
        <f xml:space="preserve"> COMMUS_23FS_Model!AF$411</f>
        <v>0</v>
      </c>
      <c r="AG883" s="574">
        <f xml:space="preserve"> COMMUS_23FS_Model!AG$411</f>
        <v>0</v>
      </c>
      <c r="AH883" s="574">
        <f xml:space="preserve"> COMMUS_23FS_Model!AH$411</f>
        <v>0</v>
      </c>
      <c r="AI883" s="574">
        <f xml:space="preserve"> COMMUS_23FS_Model!AI$411</f>
        <v>0</v>
      </c>
      <c r="AJ883" s="574">
        <f xml:space="preserve"> COMMUS_23FS_Model!AJ$411</f>
        <v>0</v>
      </c>
      <c r="AK883" s="574">
        <f xml:space="preserve"> COMMUS_23FS_Model!AK$411</f>
        <v>0</v>
      </c>
      <c r="AL883" s="574">
        <f xml:space="preserve"> COMMUS_23FS_Model!AL$411</f>
        <v>0</v>
      </c>
      <c r="AM883" s="574">
        <f xml:space="preserve"> COMMUS_23FS_Model!AM$411</f>
        <v>0</v>
      </c>
      <c r="AN883" s="574">
        <f xml:space="preserve"> COMMUS_23FS_Model!AN$411</f>
        <v>0</v>
      </c>
      <c r="AO883" s="574">
        <f xml:space="preserve"> COMMUS_23FS_Model!AO$411</f>
        <v>0</v>
      </c>
      <c r="AP883" s="574">
        <f xml:space="preserve"> COMMUS_23FS_Model!AP$411</f>
        <v>0</v>
      </c>
      <c r="AQ883" s="574">
        <f xml:space="preserve"> COMMUS_23FS_Model!AQ$411</f>
        <v>0</v>
      </c>
      <c r="AR883" s="574">
        <f xml:space="preserve"> COMMUS_23FS_Model!AR$411</f>
        <v>0</v>
      </c>
      <c r="AS883" s="574">
        <f xml:space="preserve"> COMMUS_23FS_Model!AS$411</f>
        <v>0</v>
      </c>
    </row>
    <row r="884" spans="1:45" ht="15" customHeight="1" x14ac:dyDescent="0.3">
      <c r="E884" s="104"/>
      <c r="F884" s="104"/>
      <c r="G884" s="104"/>
      <c r="H884" s="104"/>
      <c r="I884" s="104"/>
      <c r="J884" s="104"/>
      <c r="K884" s="104"/>
      <c r="L884" s="104"/>
      <c r="M884" s="104"/>
      <c r="N884" s="104"/>
      <c r="O884" s="104"/>
      <c r="P884" s="104"/>
      <c r="Q884" s="104"/>
      <c r="R884" s="104"/>
      <c r="S884" s="104"/>
      <c r="T884" s="104"/>
      <c r="U884" s="104"/>
      <c r="V884" s="104"/>
      <c r="W884" s="104"/>
      <c r="X884" s="104"/>
      <c r="Y884" s="104"/>
      <c r="Z884" s="104"/>
      <c r="AA884" s="104"/>
      <c r="AB884" s="104"/>
      <c r="AC884" s="104"/>
      <c r="AD884" s="104"/>
      <c r="AE884" s="104"/>
      <c r="AF884" s="104"/>
      <c r="AG884" s="104"/>
      <c r="AH884" s="104"/>
      <c r="AI884" s="104"/>
      <c r="AJ884" s="104"/>
      <c r="AK884" s="104"/>
      <c r="AL884" s="104"/>
      <c r="AM884" s="104"/>
      <c r="AN884" s="104"/>
      <c r="AO884" s="104"/>
      <c r="AP884" s="104"/>
      <c r="AQ884" s="104"/>
      <c r="AR884" s="104"/>
      <c r="AS884" s="104"/>
    </row>
    <row r="885" spans="1:45" ht="15" customHeight="1" x14ac:dyDescent="0.3">
      <c r="B885" s="112" t="s">
        <v>1081</v>
      </c>
      <c r="E885" s="104"/>
      <c r="F885" s="104"/>
      <c r="G885" s="104"/>
      <c r="H885" s="104"/>
      <c r="I885" s="104"/>
      <c r="J885" s="104"/>
      <c r="K885" s="104"/>
      <c r="L885" s="104"/>
      <c r="M885" s="104"/>
      <c r="N885" s="104"/>
      <c r="O885" s="104"/>
      <c r="P885" s="104"/>
      <c r="Q885" s="104"/>
      <c r="R885" s="104"/>
      <c r="S885" s="104"/>
      <c r="T885" s="104"/>
      <c r="U885" s="104"/>
      <c r="V885" s="104"/>
      <c r="W885" s="104"/>
      <c r="X885" s="104"/>
      <c r="Y885" s="104"/>
      <c r="Z885" s="104"/>
      <c r="AA885" s="104"/>
      <c r="AB885" s="104"/>
      <c r="AC885" s="104"/>
      <c r="AD885" s="104"/>
      <c r="AE885" s="104"/>
      <c r="AF885" s="104"/>
      <c r="AG885" s="104"/>
      <c r="AH885" s="104"/>
      <c r="AI885" s="104"/>
      <c r="AJ885" s="104"/>
      <c r="AK885" s="104"/>
      <c r="AL885" s="104"/>
      <c r="AM885" s="104"/>
      <c r="AN885" s="104"/>
      <c r="AO885" s="104"/>
      <c r="AP885" s="104"/>
      <c r="AQ885" s="104"/>
      <c r="AR885" s="104"/>
      <c r="AS885" s="104"/>
    </row>
    <row r="886" spans="1:45" ht="15" customHeight="1" x14ac:dyDescent="0.3">
      <c r="C886" s="113" t="s">
        <v>1090</v>
      </c>
      <c r="E886" s="104"/>
      <c r="F886" s="104"/>
      <c r="G886" s="104"/>
      <c r="H886" s="104"/>
      <c r="I886" s="104"/>
      <c r="J886" s="104"/>
      <c r="K886" s="104"/>
      <c r="L886" s="104"/>
      <c r="M886" s="104"/>
      <c r="N886" s="104"/>
      <c r="O886" s="104"/>
      <c r="P886" s="104"/>
      <c r="Q886" s="104"/>
      <c r="R886" s="104"/>
      <c r="S886" s="104"/>
      <c r="T886" s="104"/>
      <c r="U886" s="104"/>
      <c r="V886" s="104"/>
      <c r="W886" s="104"/>
      <c r="X886" s="104"/>
      <c r="Y886" s="104"/>
      <c r="Z886" s="104"/>
      <c r="AA886" s="104"/>
      <c r="AB886" s="104"/>
      <c r="AC886" s="104"/>
      <c r="AD886" s="104"/>
      <c r="AE886" s="104"/>
      <c r="AF886" s="104"/>
      <c r="AG886" s="104"/>
      <c r="AH886" s="104"/>
      <c r="AI886" s="104"/>
      <c r="AJ886" s="104"/>
      <c r="AK886" s="104"/>
      <c r="AL886" s="104"/>
      <c r="AM886" s="104"/>
      <c r="AN886" s="104"/>
      <c r="AO886" s="104"/>
      <c r="AP886" s="104"/>
      <c r="AQ886" s="104"/>
      <c r="AR886" s="104"/>
      <c r="AS886" s="104"/>
    </row>
    <row r="887" spans="1:45" ht="15" customHeight="1" x14ac:dyDescent="0.3">
      <c r="E887" s="104" t="str">
        <f>COMMUS_23FS_Model!E$421</f>
        <v>Interest charge: FS</v>
      </c>
      <c r="F887" s="104">
        <f>COMMUS_23FS_Model!F$421</f>
        <v>0</v>
      </c>
      <c r="G887" s="104" t="str">
        <f>COMMUS_23FS_Model!G$421</f>
        <v>$ mn</v>
      </c>
      <c r="H887" s="104" t="str">
        <f>COMMUS_23FS_Model!H$421</f>
        <v>M</v>
      </c>
      <c r="I887" s="104">
        <f>COMMUS_23FS_Model!I$421</f>
        <v>39.111939999999997</v>
      </c>
      <c r="J887" s="104">
        <f>COMMUS_23FS_Model!J$421</f>
        <v>0</v>
      </c>
      <c r="K887" s="104">
        <f>COMMUS_23FS_Model!K$421</f>
        <v>0</v>
      </c>
      <c r="L887" s="104">
        <f>COMMUS_23FS_Model!L$421</f>
        <v>0</v>
      </c>
      <c r="M887" s="104">
        <f>COMMUS_23FS_Model!M$421</f>
        <v>0</v>
      </c>
      <c r="N887" s="104">
        <f>COMMUS_23FS_Model!N$421</f>
        <v>0</v>
      </c>
      <c r="O887" s="104">
        <f>COMMUS_23FS_Model!O$421</f>
        <v>0</v>
      </c>
      <c r="P887" s="104">
        <f>COMMUS_23FS_Model!P$421</f>
        <v>0</v>
      </c>
      <c r="Q887" s="104">
        <f>COMMUS_23FS_Model!Q$421</f>
        <v>0</v>
      </c>
      <c r="R887" s="104">
        <f>COMMUS_23FS_Model!R$421</f>
        <v>0</v>
      </c>
      <c r="S887" s="104">
        <f>COMMUS_23FS_Model!S$421</f>
        <v>0</v>
      </c>
      <c r="T887" s="104">
        <f>COMMUS_23FS_Model!T$421</f>
        <v>0</v>
      </c>
      <c r="U887" s="104">
        <f>COMMUS_23FS_Model!U$421</f>
        <v>0</v>
      </c>
      <c r="V887" s="104">
        <f>COMMUS_23FS_Model!V$421</f>
        <v>0</v>
      </c>
      <c r="W887" s="104">
        <f>COMMUS_23FS_Model!W$421</f>
        <v>0</v>
      </c>
      <c r="X887" s="104">
        <f>COMMUS_23FS_Model!X$421</f>
        <v>8.7219999999999995</v>
      </c>
      <c r="Y887" s="104">
        <f>COMMUS_23FS_Model!Y$421</f>
        <v>12.85872</v>
      </c>
      <c r="Z887" s="104">
        <f>COMMUS_23FS_Model!Z$421</f>
        <v>9.1207200000000004</v>
      </c>
      <c r="AA887" s="104">
        <f>COMMUS_23FS_Model!AA$421</f>
        <v>2.8035000000000001</v>
      </c>
      <c r="AB887" s="104">
        <f>COMMUS_23FS_Model!AB$421</f>
        <v>2.2427999999999999</v>
      </c>
      <c r="AC887" s="104">
        <f>COMMUS_23FS_Model!AC$421</f>
        <v>1.6820999999999999</v>
      </c>
      <c r="AD887" s="104">
        <f>COMMUS_23FS_Model!AD$421</f>
        <v>1.1214</v>
      </c>
      <c r="AE887" s="104">
        <f>COMMUS_23FS_Model!AE$421</f>
        <v>0.56069999999999998</v>
      </c>
      <c r="AF887" s="104">
        <f>COMMUS_23FS_Model!AF$421</f>
        <v>0</v>
      </c>
      <c r="AG887" s="104">
        <f>COMMUS_23FS_Model!AG$421</f>
        <v>0</v>
      </c>
      <c r="AH887" s="104">
        <f>COMMUS_23FS_Model!AH$421</f>
        <v>0</v>
      </c>
      <c r="AI887" s="104">
        <f>COMMUS_23FS_Model!AI$421</f>
        <v>0</v>
      </c>
      <c r="AJ887" s="104">
        <f>COMMUS_23FS_Model!AJ$421</f>
        <v>0</v>
      </c>
      <c r="AK887" s="104">
        <f>COMMUS_23FS_Model!AK$421</f>
        <v>0</v>
      </c>
      <c r="AL887" s="104">
        <f>COMMUS_23FS_Model!AL$421</f>
        <v>0</v>
      </c>
      <c r="AM887" s="104">
        <f>COMMUS_23FS_Model!AM$421</f>
        <v>0</v>
      </c>
      <c r="AN887" s="104">
        <f>COMMUS_23FS_Model!AN$421</f>
        <v>0</v>
      </c>
      <c r="AO887" s="104">
        <f>COMMUS_23FS_Model!AO$421</f>
        <v>0</v>
      </c>
      <c r="AP887" s="104">
        <f>COMMUS_23FS_Model!AP$421</f>
        <v>0</v>
      </c>
      <c r="AQ887" s="104">
        <f>COMMUS_23FS_Model!AQ$421</f>
        <v>0</v>
      </c>
      <c r="AR887" s="104">
        <f>COMMUS_23FS_Model!AR$421</f>
        <v>0</v>
      </c>
      <c r="AS887" s="104">
        <f>COMMUS_23FS_Model!AS$421</f>
        <v>0</v>
      </c>
    </row>
    <row r="888" spans="1:45" ht="15" customHeight="1" x14ac:dyDescent="0.3">
      <c r="E888" s="104"/>
      <c r="F888" s="104"/>
      <c r="G888" s="104"/>
      <c r="H888" s="104"/>
      <c r="I888" s="104"/>
      <c r="J888" s="104"/>
      <c r="K888" s="104"/>
      <c r="L888" s="104"/>
      <c r="M888" s="104"/>
      <c r="N888" s="104"/>
      <c r="O888" s="104"/>
      <c r="P888" s="104"/>
      <c r="Q888" s="104"/>
      <c r="R888" s="104"/>
      <c r="S888" s="104"/>
      <c r="T888" s="104"/>
      <c r="U888" s="104"/>
      <c r="V888" s="104"/>
      <c r="W888" s="104"/>
      <c r="X888" s="104"/>
      <c r="Y888" s="104"/>
      <c r="Z888" s="104"/>
      <c r="AA888" s="104"/>
      <c r="AB888" s="104"/>
      <c r="AC888" s="104"/>
      <c r="AD888" s="104"/>
      <c r="AE888" s="104"/>
      <c r="AF888" s="104"/>
      <c r="AG888" s="104"/>
      <c r="AH888" s="104"/>
      <c r="AI888" s="104"/>
      <c r="AJ888" s="104"/>
      <c r="AK888" s="104"/>
      <c r="AL888" s="104"/>
      <c r="AM888" s="104"/>
      <c r="AN888" s="104"/>
      <c r="AO888" s="104"/>
      <c r="AP888" s="104"/>
      <c r="AQ888" s="104"/>
      <c r="AR888" s="104"/>
      <c r="AS888" s="104"/>
    </row>
    <row r="889" spans="1:45" s="143" customFormat="1" ht="15" customHeight="1" x14ac:dyDescent="0.3">
      <c r="A889" s="180"/>
      <c r="B889" s="180"/>
      <c r="C889" s="181"/>
      <c r="D889" s="36"/>
      <c r="E889" s="36" t="s">
        <v>1089</v>
      </c>
      <c r="F889" s="253" t="s">
        <v>552</v>
      </c>
      <c r="G889" s="36" t="s">
        <v>282</v>
      </c>
      <c r="H889" s="36"/>
      <c r="I889" s="36"/>
      <c r="J889" s="36"/>
      <c r="K889" s="36"/>
      <c r="L889" s="36"/>
      <c r="M889" s="36"/>
      <c r="N889" s="36"/>
      <c r="O889" s="36"/>
      <c r="P889" s="36"/>
      <c r="Q889" s="36"/>
      <c r="R889" s="36"/>
      <c r="S889" s="36"/>
      <c r="T889" s="36"/>
      <c r="U889" s="36"/>
      <c r="V889" s="36"/>
      <c r="W889" s="36"/>
      <c r="X889" s="36"/>
      <c r="Y889" s="36"/>
      <c r="Z889" s="36"/>
      <c r="AA889" s="36"/>
      <c r="AB889" s="36"/>
      <c r="AC889" s="36"/>
      <c r="AD889" s="36"/>
      <c r="AE889" s="36"/>
      <c r="AF889" s="36"/>
      <c r="AG889" s="36"/>
      <c r="AH889" s="36"/>
      <c r="AI889" s="36"/>
      <c r="AJ889" s="36"/>
      <c r="AK889" s="36"/>
      <c r="AL889" s="36"/>
      <c r="AM889" s="36"/>
      <c r="AN889" s="36"/>
      <c r="AO889" s="36"/>
      <c r="AP889" s="36"/>
      <c r="AQ889" s="36"/>
      <c r="AR889" s="36"/>
      <c r="AS889" s="36"/>
    </row>
    <row r="890" spans="1:45" ht="15" customHeight="1" x14ac:dyDescent="0.3">
      <c r="E890" s="104"/>
      <c r="F890" s="104"/>
      <c r="G890" s="104"/>
      <c r="H890" s="104"/>
      <c r="I890" s="104"/>
      <c r="J890" s="104"/>
      <c r="K890" s="104"/>
      <c r="L890" s="104"/>
      <c r="M890" s="104"/>
      <c r="N890" s="104"/>
      <c r="O890" s="104"/>
      <c r="P890" s="104"/>
      <c r="Q890" s="104"/>
      <c r="R890" s="104"/>
      <c r="S890" s="104"/>
      <c r="T890" s="104"/>
      <c r="U890" s="104"/>
      <c r="V890" s="104"/>
      <c r="W890" s="104"/>
      <c r="X890" s="104"/>
      <c r="Y890" s="104"/>
      <c r="Z890" s="104"/>
      <c r="AA890" s="104"/>
      <c r="AB890" s="104"/>
      <c r="AC890" s="104"/>
      <c r="AD890" s="104"/>
      <c r="AE890" s="104"/>
      <c r="AF890" s="104"/>
      <c r="AG890" s="104"/>
      <c r="AH890" s="104"/>
      <c r="AI890" s="104"/>
      <c r="AJ890" s="104"/>
      <c r="AK890" s="104"/>
      <c r="AL890" s="104"/>
      <c r="AM890" s="104"/>
      <c r="AN890" s="104"/>
      <c r="AO890" s="104"/>
      <c r="AP890" s="104"/>
      <c r="AQ890" s="104"/>
      <c r="AR890" s="104"/>
      <c r="AS890" s="104"/>
    </row>
    <row r="891" spans="1:45" ht="15" customHeight="1" x14ac:dyDescent="0.3">
      <c r="C891" s="113" t="s">
        <v>1085</v>
      </c>
      <c r="E891" s="104"/>
      <c r="F891" s="104"/>
      <c r="G891" s="104"/>
      <c r="H891" s="104"/>
      <c r="I891" s="104"/>
      <c r="J891" s="104"/>
      <c r="K891" s="104"/>
      <c r="L891" s="104"/>
      <c r="M891" s="104"/>
      <c r="N891" s="104"/>
      <c r="O891" s="104"/>
      <c r="P891" s="104"/>
      <c r="Q891" s="104"/>
      <c r="R891" s="104"/>
      <c r="S891" s="104"/>
      <c r="T891" s="104"/>
      <c r="U891" s="104"/>
      <c r="V891" s="104"/>
      <c r="W891" s="104"/>
      <c r="X891" s="104"/>
      <c r="Y891" s="104"/>
      <c r="Z891" s="104"/>
      <c r="AA891" s="104"/>
      <c r="AB891" s="104"/>
      <c r="AC891" s="104"/>
      <c r="AD891" s="104"/>
      <c r="AE891" s="104"/>
      <c r="AF891" s="104"/>
      <c r="AG891" s="104"/>
      <c r="AH891" s="104"/>
      <c r="AI891" s="104"/>
      <c r="AJ891" s="104"/>
      <c r="AK891" s="104"/>
      <c r="AL891" s="104"/>
      <c r="AM891" s="104"/>
      <c r="AN891" s="104"/>
      <c r="AO891" s="104"/>
      <c r="AP891" s="104"/>
      <c r="AQ891" s="104"/>
      <c r="AR891" s="104"/>
      <c r="AS891" s="104"/>
    </row>
    <row r="892" spans="1:45" ht="15" customHeight="1" x14ac:dyDescent="0.3">
      <c r="E892" s="104" t="str">
        <f xml:space="preserve"> COMMUS_23FS_Model!E$403</f>
        <v>JIN Cheng loan 2018: interest repayment</v>
      </c>
      <c r="F892" s="104">
        <f xml:space="preserve"> COMMUS_23FS_Model!F$403</f>
        <v>0</v>
      </c>
      <c r="G892" s="104" t="str">
        <f xml:space="preserve"> COMMUS_23FS_Model!G$403</f>
        <v>$ mn</v>
      </c>
      <c r="H892" s="104" t="str">
        <f xml:space="preserve"> COMMUS_23FS_Model!H$403</f>
        <v>M</v>
      </c>
      <c r="I892" s="104">
        <f xml:space="preserve"> COMMUS_23FS_Model!I$403</f>
        <v>23.910740000000001</v>
      </c>
      <c r="J892" s="104">
        <f xml:space="preserve"> COMMUS_23FS_Model!J$403</f>
        <v>0</v>
      </c>
      <c r="K892" s="104">
        <f xml:space="preserve"> COMMUS_23FS_Model!K$403</f>
        <v>0</v>
      </c>
      <c r="L892" s="104">
        <f xml:space="preserve"> COMMUS_23FS_Model!L$403</f>
        <v>0</v>
      </c>
      <c r="M892" s="104">
        <f xml:space="preserve"> COMMUS_23FS_Model!M$403</f>
        <v>0</v>
      </c>
      <c r="N892" s="104">
        <f xml:space="preserve"> COMMUS_23FS_Model!N$403</f>
        <v>0</v>
      </c>
      <c r="O892" s="104">
        <f xml:space="preserve"> COMMUS_23FS_Model!O$403</f>
        <v>0</v>
      </c>
      <c r="P892" s="104">
        <f xml:space="preserve"> COMMUS_23FS_Model!P$403</f>
        <v>0</v>
      </c>
      <c r="Q892" s="104">
        <f xml:space="preserve"> COMMUS_23FS_Model!Q$403</f>
        <v>0</v>
      </c>
      <c r="R892" s="104">
        <f xml:space="preserve"> COMMUS_23FS_Model!R$403</f>
        <v>0</v>
      </c>
      <c r="S892" s="104">
        <f xml:space="preserve"> COMMUS_23FS_Model!S$403</f>
        <v>0</v>
      </c>
      <c r="T892" s="104">
        <f xml:space="preserve"> COMMUS_23FS_Model!T$403</f>
        <v>0</v>
      </c>
      <c r="U892" s="104">
        <f xml:space="preserve"> COMMUS_23FS_Model!U$403</f>
        <v>0</v>
      </c>
      <c r="V892" s="104">
        <f xml:space="preserve"> COMMUS_23FS_Model!V$403</f>
        <v>0</v>
      </c>
      <c r="W892" s="104">
        <f xml:space="preserve"> COMMUS_23FS_Model!W$403</f>
        <v>0</v>
      </c>
      <c r="X892" s="104">
        <f xml:space="preserve"> COMMUS_23FS_Model!X$403</f>
        <v>4.3609999999999998</v>
      </c>
      <c r="Y892" s="104">
        <f xml:space="preserve"> COMMUS_23FS_Model!Y$403</f>
        <v>6.5041200000000003</v>
      </c>
      <c r="Z892" s="104">
        <f xml:space="preserve"> COMMUS_23FS_Model!Z$403</f>
        <v>4.6351199999999997</v>
      </c>
      <c r="AA892" s="104">
        <f xml:space="preserve"> COMMUS_23FS_Model!AA$403</f>
        <v>2.8035000000000001</v>
      </c>
      <c r="AB892" s="104">
        <f xml:space="preserve"> COMMUS_23FS_Model!AB$403</f>
        <v>2.2427999999999999</v>
      </c>
      <c r="AC892" s="104">
        <f xml:space="preserve"> COMMUS_23FS_Model!AC$403</f>
        <v>1.6820999999999999</v>
      </c>
      <c r="AD892" s="104">
        <f xml:space="preserve"> COMMUS_23FS_Model!AD$403</f>
        <v>1.1214</v>
      </c>
      <c r="AE892" s="104">
        <f xml:space="preserve"> COMMUS_23FS_Model!AE$403</f>
        <v>0.56070000000000064</v>
      </c>
      <c r="AF892" s="104">
        <f xml:space="preserve"> COMMUS_23FS_Model!AF$403</f>
        <v>0</v>
      </c>
      <c r="AG892" s="104">
        <f xml:space="preserve"> COMMUS_23FS_Model!AG$403</f>
        <v>0</v>
      </c>
      <c r="AH892" s="104">
        <f xml:space="preserve"> COMMUS_23FS_Model!AH$403</f>
        <v>0</v>
      </c>
      <c r="AI892" s="104">
        <f xml:space="preserve"> COMMUS_23FS_Model!AI$403</f>
        <v>0</v>
      </c>
      <c r="AJ892" s="104">
        <f xml:space="preserve"> COMMUS_23FS_Model!AJ$403</f>
        <v>0</v>
      </c>
      <c r="AK892" s="104">
        <f xml:space="preserve"> COMMUS_23FS_Model!AK$403</f>
        <v>0</v>
      </c>
      <c r="AL892" s="104">
        <f xml:space="preserve"> COMMUS_23FS_Model!AL$403</f>
        <v>0</v>
      </c>
      <c r="AM892" s="104">
        <f xml:space="preserve"> COMMUS_23FS_Model!AM$403</f>
        <v>0</v>
      </c>
      <c r="AN892" s="104">
        <f xml:space="preserve"> COMMUS_23FS_Model!AN$403</f>
        <v>0</v>
      </c>
      <c r="AO892" s="104">
        <f xml:space="preserve"> COMMUS_23FS_Model!AO$403</f>
        <v>0</v>
      </c>
      <c r="AP892" s="104">
        <f xml:space="preserve"> COMMUS_23FS_Model!AP$403</f>
        <v>0</v>
      </c>
      <c r="AQ892" s="104">
        <f xml:space="preserve"> COMMUS_23FS_Model!AQ$403</f>
        <v>0</v>
      </c>
      <c r="AR892" s="104">
        <f xml:space="preserve"> COMMUS_23FS_Model!AR$403</f>
        <v>0</v>
      </c>
      <c r="AS892" s="104">
        <f xml:space="preserve"> COMMUS_23FS_Model!AS$403</f>
        <v>0</v>
      </c>
    </row>
    <row r="893" spans="1:45" ht="15" customHeight="1" x14ac:dyDescent="0.3">
      <c r="E893" s="104" t="str">
        <f xml:space="preserve"> COMMUS_23FS_Model!E$404</f>
        <v>Gold Mountains loan 2018: interest repayment</v>
      </c>
      <c r="F893" s="104">
        <f xml:space="preserve"> COMMUS_23FS_Model!F$404</f>
        <v>0</v>
      </c>
      <c r="G893" s="104" t="str">
        <f xml:space="preserve"> COMMUS_23FS_Model!G$404</f>
        <v>$ mn</v>
      </c>
      <c r="H893" s="104" t="str">
        <f xml:space="preserve"> COMMUS_23FS_Model!H$404</f>
        <v>M</v>
      </c>
      <c r="I893" s="104">
        <f xml:space="preserve"> COMMUS_23FS_Model!I$404</f>
        <v>15.201199999999998</v>
      </c>
      <c r="J893" s="104">
        <f xml:space="preserve"> COMMUS_23FS_Model!J$404</f>
        <v>0</v>
      </c>
      <c r="K893" s="104">
        <f xml:space="preserve"> COMMUS_23FS_Model!K$404</f>
        <v>0</v>
      </c>
      <c r="L893" s="104">
        <f xml:space="preserve"> COMMUS_23FS_Model!L$404</f>
        <v>0</v>
      </c>
      <c r="M893" s="104">
        <f xml:space="preserve"> COMMUS_23FS_Model!M$404</f>
        <v>0</v>
      </c>
      <c r="N893" s="104">
        <f xml:space="preserve"> COMMUS_23FS_Model!N$404</f>
        <v>0</v>
      </c>
      <c r="O893" s="104">
        <f xml:space="preserve"> COMMUS_23FS_Model!O$404</f>
        <v>0</v>
      </c>
      <c r="P893" s="104">
        <f xml:space="preserve"> COMMUS_23FS_Model!P$404</f>
        <v>0</v>
      </c>
      <c r="Q893" s="104">
        <f xml:space="preserve"> COMMUS_23FS_Model!Q$404</f>
        <v>0</v>
      </c>
      <c r="R893" s="104">
        <f xml:space="preserve"> COMMUS_23FS_Model!R$404</f>
        <v>0</v>
      </c>
      <c r="S893" s="104">
        <f xml:space="preserve"> COMMUS_23FS_Model!S$404</f>
        <v>0</v>
      </c>
      <c r="T893" s="104">
        <f xml:space="preserve"> COMMUS_23FS_Model!T$404</f>
        <v>0</v>
      </c>
      <c r="U893" s="104">
        <f xml:space="preserve"> COMMUS_23FS_Model!U$404</f>
        <v>0</v>
      </c>
      <c r="V893" s="104">
        <f xml:space="preserve"> COMMUS_23FS_Model!V$404</f>
        <v>0</v>
      </c>
      <c r="W893" s="104">
        <f xml:space="preserve"> COMMUS_23FS_Model!W$404</f>
        <v>0</v>
      </c>
      <c r="X893" s="104">
        <f xml:space="preserve"> COMMUS_23FS_Model!X$404</f>
        <v>4.3609999999999998</v>
      </c>
      <c r="Y893" s="104">
        <f xml:space="preserve"> COMMUS_23FS_Model!Y$404</f>
        <v>6.3545999999999996</v>
      </c>
      <c r="Z893" s="104">
        <f xml:space="preserve"> COMMUS_23FS_Model!Z$404</f>
        <v>4.4855999999999998</v>
      </c>
      <c r="AA893" s="104">
        <f xml:space="preserve"> COMMUS_23FS_Model!AA$404</f>
        <v>0</v>
      </c>
      <c r="AB893" s="104">
        <f xml:space="preserve"> COMMUS_23FS_Model!AB$404</f>
        <v>0</v>
      </c>
      <c r="AC893" s="104">
        <f xml:space="preserve"> COMMUS_23FS_Model!AC$404</f>
        <v>0</v>
      </c>
      <c r="AD893" s="104">
        <f xml:space="preserve"> COMMUS_23FS_Model!AD$404</f>
        <v>0</v>
      </c>
      <c r="AE893" s="104">
        <f xml:space="preserve"> COMMUS_23FS_Model!AE$404</f>
        <v>0</v>
      </c>
      <c r="AF893" s="104">
        <f xml:space="preserve"> COMMUS_23FS_Model!AF$404</f>
        <v>0</v>
      </c>
      <c r="AG893" s="104">
        <f xml:space="preserve"> COMMUS_23FS_Model!AG$404</f>
        <v>0</v>
      </c>
      <c r="AH893" s="104">
        <f xml:space="preserve"> COMMUS_23FS_Model!AH$404</f>
        <v>0</v>
      </c>
      <c r="AI893" s="104">
        <f xml:space="preserve"> COMMUS_23FS_Model!AI$404</f>
        <v>0</v>
      </c>
      <c r="AJ893" s="104">
        <f xml:space="preserve"> COMMUS_23FS_Model!AJ$404</f>
        <v>0</v>
      </c>
      <c r="AK893" s="104">
        <f xml:space="preserve"> COMMUS_23FS_Model!AK$404</f>
        <v>0</v>
      </c>
      <c r="AL893" s="104">
        <f xml:space="preserve"> COMMUS_23FS_Model!AL$404</f>
        <v>0</v>
      </c>
      <c r="AM893" s="104">
        <f xml:space="preserve"> COMMUS_23FS_Model!AM$404</f>
        <v>0</v>
      </c>
      <c r="AN893" s="104">
        <f xml:space="preserve"> COMMUS_23FS_Model!AN$404</f>
        <v>0</v>
      </c>
      <c r="AO893" s="104">
        <f xml:space="preserve"> COMMUS_23FS_Model!AO$404</f>
        <v>0</v>
      </c>
      <c r="AP893" s="104">
        <f xml:space="preserve"> COMMUS_23FS_Model!AP$404</f>
        <v>0</v>
      </c>
      <c r="AQ893" s="104">
        <f xml:space="preserve"> COMMUS_23FS_Model!AQ$404</f>
        <v>0</v>
      </c>
      <c r="AR893" s="104">
        <f xml:space="preserve"> COMMUS_23FS_Model!AR$404</f>
        <v>0</v>
      </c>
      <c r="AS893" s="104">
        <f xml:space="preserve"> COMMUS_23FS_Model!AS$404</f>
        <v>0</v>
      </c>
    </row>
    <row r="894" spans="1:45" s="1142" customFormat="1" ht="15" customHeight="1" x14ac:dyDescent="0.3">
      <c r="A894" s="533"/>
      <c r="B894" s="533"/>
      <c r="C894" s="534"/>
      <c r="D894" s="535"/>
      <c r="E894" s="535" t="s">
        <v>1087</v>
      </c>
      <c r="F894" s="535"/>
      <c r="G894" s="535" t="s">
        <v>346</v>
      </c>
      <c r="H894" s="535"/>
      <c r="I894" s="535">
        <f>SUM(K894:AS894)</f>
        <v>39.111940000000004</v>
      </c>
      <c r="J894" s="535"/>
      <c r="K894" s="535">
        <f>K892 + K893</f>
        <v>0</v>
      </c>
      <c r="L894" s="535">
        <f t="shared" ref="L894:AS894" si="744">L892 + L893</f>
        <v>0</v>
      </c>
      <c r="M894" s="535">
        <f t="shared" si="744"/>
        <v>0</v>
      </c>
      <c r="N894" s="535">
        <f t="shared" si="744"/>
        <v>0</v>
      </c>
      <c r="O894" s="535">
        <f t="shared" si="744"/>
        <v>0</v>
      </c>
      <c r="P894" s="535">
        <f t="shared" si="744"/>
        <v>0</v>
      </c>
      <c r="Q894" s="535">
        <f t="shared" si="744"/>
        <v>0</v>
      </c>
      <c r="R894" s="535">
        <f t="shared" si="744"/>
        <v>0</v>
      </c>
      <c r="S894" s="535">
        <f t="shared" si="744"/>
        <v>0</v>
      </c>
      <c r="T894" s="535">
        <f t="shared" si="744"/>
        <v>0</v>
      </c>
      <c r="U894" s="535">
        <f t="shared" si="744"/>
        <v>0</v>
      </c>
      <c r="V894" s="535">
        <f t="shared" si="744"/>
        <v>0</v>
      </c>
      <c r="W894" s="535">
        <f t="shared" si="744"/>
        <v>0</v>
      </c>
      <c r="X894" s="535">
        <f t="shared" si="744"/>
        <v>8.7219999999999995</v>
      </c>
      <c r="Y894" s="535">
        <f t="shared" si="744"/>
        <v>12.85872</v>
      </c>
      <c r="Z894" s="535">
        <f t="shared" si="744"/>
        <v>9.1207199999999986</v>
      </c>
      <c r="AA894" s="535">
        <f t="shared" si="744"/>
        <v>2.8035000000000001</v>
      </c>
      <c r="AB894" s="535">
        <f t="shared" si="744"/>
        <v>2.2427999999999999</v>
      </c>
      <c r="AC894" s="535">
        <f t="shared" si="744"/>
        <v>1.6820999999999999</v>
      </c>
      <c r="AD894" s="535">
        <f t="shared" si="744"/>
        <v>1.1214</v>
      </c>
      <c r="AE894" s="535">
        <f t="shared" si="744"/>
        <v>0.56070000000000064</v>
      </c>
      <c r="AF894" s="535">
        <f t="shared" si="744"/>
        <v>0</v>
      </c>
      <c r="AG894" s="535">
        <f t="shared" si="744"/>
        <v>0</v>
      </c>
      <c r="AH894" s="535">
        <f t="shared" si="744"/>
        <v>0</v>
      </c>
      <c r="AI894" s="535">
        <f t="shared" si="744"/>
        <v>0</v>
      </c>
      <c r="AJ894" s="535">
        <f t="shared" si="744"/>
        <v>0</v>
      </c>
      <c r="AK894" s="535">
        <f t="shared" si="744"/>
        <v>0</v>
      </c>
      <c r="AL894" s="535">
        <f t="shared" si="744"/>
        <v>0</v>
      </c>
      <c r="AM894" s="535">
        <f t="shared" si="744"/>
        <v>0</v>
      </c>
      <c r="AN894" s="535">
        <f t="shared" si="744"/>
        <v>0</v>
      </c>
      <c r="AO894" s="535">
        <f t="shared" si="744"/>
        <v>0</v>
      </c>
      <c r="AP894" s="535">
        <f t="shared" si="744"/>
        <v>0</v>
      </c>
      <c r="AQ894" s="535">
        <f t="shared" si="744"/>
        <v>0</v>
      </c>
      <c r="AR894" s="535">
        <f t="shared" si="744"/>
        <v>0</v>
      </c>
      <c r="AS894" s="535">
        <f t="shared" si="744"/>
        <v>0</v>
      </c>
    </row>
    <row r="895" spans="1:45" s="1127" customFormat="1" ht="15" customHeight="1" x14ac:dyDescent="0.3">
      <c r="A895" s="528"/>
      <c r="B895" s="528"/>
      <c r="C895" s="529"/>
      <c r="D895" s="264"/>
      <c r="E895" s="264"/>
      <c r="F895" s="264"/>
      <c r="G895" s="264"/>
      <c r="H895" s="264"/>
      <c r="I895" s="264"/>
      <c r="J895" s="264"/>
      <c r="K895" s="264"/>
      <c r="L895" s="264"/>
      <c r="M895" s="264"/>
      <c r="N895" s="264"/>
      <c r="O895" s="264"/>
      <c r="P895" s="264"/>
      <c r="Q895" s="264"/>
      <c r="R895" s="264"/>
      <c r="S895" s="264"/>
      <c r="T895" s="264"/>
      <c r="U895" s="264"/>
      <c r="V895" s="264"/>
      <c r="W895" s="264"/>
      <c r="X895" s="264"/>
      <c r="Y895" s="264"/>
      <c r="Z895" s="264"/>
      <c r="AA895" s="264"/>
      <c r="AB895" s="264"/>
      <c r="AC895" s="264"/>
      <c r="AD895" s="264"/>
      <c r="AE895" s="264"/>
      <c r="AF895" s="264"/>
      <c r="AG895" s="264"/>
      <c r="AH895" s="264"/>
      <c r="AI895" s="264"/>
      <c r="AJ895" s="264"/>
      <c r="AK895" s="264"/>
      <c r="AL895" s="264"/>
      <c r="AM895" s="264"/>
      <c r="AN895" s="264"/>
      <c r="AO895" s="264"/>
      <c r="AP895" s="264"/>
      <c r="AQ895" s="264"/>
      <c r="AR895" s="264"/>
      <c r="AS895" s="264"/>
    </row>
    <row r="896" spans="1:45" ht="15" customHeight="1" x14ac:dyDescent="0.3">
      <c r="E896" s="104"/>
      <c r="F896" s="104"/>
      <c r="G896" s="104"/>
      <c r="H896" s="104"/>
      <c r="I896" s="104"/>
      <c r="J896" s="104"/>
      <c r="K896" s="104"/>
      <c r="L896" s="104"/>
      <c r="M896" s="104"/>
      <c r="N896" s="104"/>
      <c r="O896" s="104"/>
      <c r="P896" s="104"/>
      <c r="Q896" s="104"/>
      <c r="R896" s="104"/>
      <c r="S896" s="104"/>
      <c r="T896" s="104"/>
      <c r="U896" s="104"/>
      <c r="V896" s="104"/>
      <c r="W896" s="104"/>
      <c r="X896" s="104"/>
      <c r="Y896" s="104"/>
      <c r="Z896" s="104"/>
      <c r="AA896" s="104"/>
      <c r="AB896" s="104"/>
      <c r="AC896" s="104"/>
      <c r="AD896" s="104"/>
      <c r="AE896" s="104"/>
      <c r="AF896" s="104"/>
      <c r="AG896" s="104"/>
      <c r="AH896" s="104"/>
      <c r="AI896" s="104"/>
      <c r="AJ896" s="104"/>
      <c r="AK896" s="104"/>
      <c r="AL896" s="104"/>
      <c r="AM896" s="104"/>
      <c r="AN896" s="104"/>
      <c r="AO896" s="104"/>
      <c r="AP896" s="104"/>
      <c r="AQ896" s="104"/>
      <c r="AR896" s="104"/>
      <c r="AS896" s="104"/>
    </row>
    <row r="897" spans="1:45" ht="15" customHeight="1" x14ac:dyDescent="0.3">
      <c r="C897" s="113" t="s">
        <v>1086</v>
      </c>
      <c r="E897" s="104"/>
      <c r="F897" s="104"/>
      <c r="G897" s="104"/>
      <c r="H897" s="104"/>
      <c r="I897" s="104"/>
      <c r="J897" s="104"/>
      <c r="K897" s="104"/>
      <c r="L897" s="104"/>
      <c r="M897" s="104"/>
      <c r="N897" s="104"/>
      <c r="O897" s="104"/>
      <c r="P897" s="104"/>
      <c r="Q897" s="104"/>
      <c r="R897" s="104"/>
      <c r="S897" s="104"/>
      <c r="T897" s="104"/>
      <c r="U897" s="104"/>
      <c r="V897" s="104"/>
      <c r="W897" s="104"/>
      <c r="X897" s="104"/>
      <c r="Y897" s="104"/>
      <c r="Z897" s="104"/>
      <c r="AA897" s="104"/>
      <c r="AB897" s="104"/>
      <c r="AC897" s="104"/>
      <c r="AD897" s="104"/>
      <c r="AE897" s="104"/>
      <c r="AF897" s="104"/>
      <c r="AG897" s="104"/>
      <c r="AH897" s="104"/>
      <c r="AI897" s="104"/>
      <c r="AJ897" s="104"/>
      <c r="AK897" s="104"/>
      <c r="AL897" s="104"/>
      <c r="AM897" s="104"/>
      <c r="AN897" s="104"/>
      <c r="AO897" s="104"/>
      <c r="AP897" s="104"/>
      <c r="AQ897" s="104"/>
      <c r="AR897" s="104"/>
      <c r="AS897" s="104"/>
    </row>
    <row r="898" spans="1:45" ht="15" customHeight="1" x14ac:dyDescent="0.3">
      <c r="E898" s="855" t="str">
        <f xml:space="preserve"> 'T&amp;E'!E$67</f>
        <v>LIBOR  / SOFR history &amp; forecast</v>
      </c>
      <c r="F898" s="855">
        <f xml:space="preserve"> 'T&amp;E'!F$67</f>
        <v>0</v>
      </c>
      <c r="G898" s="855" t="str">
        <f xml:space="preserve"> 'T&amp;E'!G$67</f>
        <v>%</v>
      </c>
      <c r="H898" s="855">
        <f xml:space="preserve"> 'T&amp;E'!H$67</f>
        <v>0</v>
      </c>
      <c r="I898" s="855">
        <f xml:space="preserve"> 'T&amp;E'!I$67</f>
        <v>0</v>
      </c>
      <c r="J898" s="855">
        <f xml:space="preserve"> 'T&amp;E'!J$67</f>
        <v>0</v>
      </c>
      <c r="K898" s="95">
        <f xml:space="preserve"> 'T&amp;E'!K$67</f>
        <v>5.2762301587301573E-2</v>
      </c>
      <c r="L898" s="95">
        <f xml:space="preserve"> 'T&amp;E'!L$67</f>
        <v>5.2522924901185729E-2</v>
      </c>
      <c r="M898" s="95">
        <f xml:space="preserve"> 'T&amp;E'!M$67</f>
        <v>3.0601574803149633E-2</v>
      </c>
      <c r="N898" s="95">
        <f xml:space="preserve"> 'T&amp;E'!N$67</f>
        <v>1.1142292490118577E-2</v>
      </c>
      <c r="O898" s="95">
        <f xml:space="preserve"> 'T&amp;E'!O$67</f>
        <v>5.1861660079051321E-3</v>
      </c>
      <c r="P898" s="95">
        <f xml:space="preserve"> 'T&amp;E'!P$67</f>
        <v>5.0713147410358563E-3</v>
      </c>
      <c r="Q898" s="95">
        <f xml:space="preserve"> 'T&amp;E'!Q$67</f>
        <v>6.8694444444444367E-3</v>
      </c>
      <c r="R898" s="95">
        <f xml:space="preserve"> 'T&amp;E'!R$67</f>
        <v>4.0881422924901149E-3</v>
      </c>
      <c r="S898" s="95">
        <f xml:space="preserve"> 'T&amp;E'!S$67</f>
        <v>3.2919249011857648E-3</v>
      </c>
      <c r="T898" s="95">
        <f xml:space="preserve"> 'T&amp;E'!T$67</f>
        <v>4.8515256916996045E-3</v>
      </c>
      <c r="U898" s="95">
        <f xml:space="preserve"> 'T&amp;E'!U$67</f>
        <v>1.0590186507936503E-2</v>
      </c>
      <c r="V898" s="95">
        <f xml:space="preserve"> 'T&amp;E'!V$67</f>
        <v>1.4752334661354583E-2</v>
      </c>
      <c r="W898" s="95">
        <f xml:space="preserve"> 'T&amp;E'!W$67</f>
        <v>2.4859274900398399E-2</v>
      </c>
      <c r="X898" s="95">
        <f xml:space="preserve"> 'T&amp;E'!X$67</f>
        <v>2.3175798418972337E-2</v>
      </c>
      <c r="Y898" s="95">
        <f xml:space="preserve"> 'T&amp;E'!Y$67</f>
        <v>8.9388713450292371E-3</v>
      </c>
      <c r="Z898" s="95">
        <f xml:space="preserve"> 'T&amp;E'!Z$67</f>
        <v>4.7694199999999984E-4</v>
      </c>
      <c r="AA898" s="95">
        <f xml:space="preserve"> 'T&amp;E'!AA$67</f>
        <v>8.1812538152610682E-3</v>
      </c>
      <c r="AB898" s="95">
        <f xml:space="preserve"> 'T&amp;E'!AB$67</f>
        <v>4.5826553413654623E-2</v>
      </c>
      <c r="AC898" s="95">
        <f xml:space="preserve"> 'T&amp;E'!AC$67</f>
        <v>5.3465279199999986E-2</v>
      </c>
      <c r="AD898" s="95">
        <f xml:space="preserve"> 'T&amp;E'!AD$67</f>
        <v>4.6147064102564105E-2</v>
      </c>
      <c r="AE898" s="95">
        <f xml:space="preserve"> 'T&amp;E'!AE$67</f>
        <v>4.0023911226669151E-2</v>
      </c>
      <c r="AF898" s="95">
        <f xml:space="preserve"> 'T&amp;E'!AF$67</f>
        <v>3.6420061322820718E-2</v>
      </c>
      <c r="AG898" s="95">
        <f xml:space="preserve"> 'T&amp;E'!AG$67</f>
        <v>3.6878196916759531E-2</v>
      </c>
      <c r="AH898" s="95">
        <f xml:space="preserve"> 'T&amp;E'!AH$67</f>
        <v>3.7016205868980245E-2</v>
      </c>
      <c r="AI898" s="95">
        <f xml:space="preserve"> 'T&amp;E'!AI$67</f>
        <v>3.707528692137374E-2</v>
      </c>
      <c r="AJ898" s="95">
        <f xml:space="preserve"> 'T&amp;E'!AJ$67</f>
        <v>3.5299999999999887E-2</v>
      </c>
      <c r="AK898" s="95">
        <f xml:space="preserve"> 'T&amp;E'!AK$67</f>
        <v>3.5299999999999887E-2</v>
      </c>
      <c r="AL898" s="95">
        <f xml:space="preserve"> 'T&amp;E'!AL$67</f>
        <v>3.5299999999999887E-2</v>
      </c>
      <c r="AM898" s="95">
        <f xml:space="preserve"> 'T&amp;E'!AM$67</f>
        <v>3.5299999999999887E-2</v>
      </c>
      <c r="AN898" s="95">
        <f xml:space="preserve"> 'T&amp;E'!AN$67</f>
        <v>3.5299999999999887E-2</v>
      </c>
      <c r="AO898" s="95">
        <f xml:space="preserve"> 'T&amp;E'!AO$67</f>
        <v>3.5299999999999887E-2</v>
      </c>
      <c r="AP898" s="95">
        <f xml:space="preserve"> 'T&amp;E'!AP$67</f>
        <v>3.5299999999999887E-2</v>
      </c>
      <c r="AQ898" s="95">
        <f xml:space="preserve"> 'T&amp;E'!AQ$67</f>
        <v>3.5299999999999887E-2</v>
      </c>
      <c r="AR898" s="95">
        <f xml:space="preserve"> 'T&amp;E'!AR$67</f>
        <v>3.5299999999999887E-2</v>
      </c>
      <c r="AS898" s="95">
        <f xml:space="preserve"> 'T&amp;E'!AS$67</f>
        <v>3.5299999999999887E-2</v>
      </c>
    </row>
    <row r="899" spans="1:45" s="143" customFormat="1" ht="15" customHeight="1" x14ac:dyDescent="0.3">
      <c r="A899" s="180"/>
      <c r="B899" s="180"/>
      <c r="C899" s="181"/>
      <c r="D899" s="36"/>
      <c r="E899" s="61" t="str">
        <f xml:space="preserve"> Inputs_Con!E$104</f>
        <v>Alternative interest rate: Margin over Libor/SOFR</v>
      </c>
      <c r="F899" s="95">
        <f xml:space="preserve"> Inputs_Con!F$104</f>
        <v>0.04</v>
      </c>
      <c r="G899" s="104" t="str">
        <f xml:space="preserve"> Inputs_Con!G$104</f>
        <v>%</v>
      </c>
      <c r="H899" s="36"/>
      <c r="I899" s="36"/>
      <c r="J899" s="36"/>
      <c r="K899" s="36"/>
      <c r="L899" s="36"/>
      <c r="M899" s="36"/>
      <c r="N899" s="36"/>
      <c r="O899" s="36"/>
      <c r="P899" s="36"/>
      <c r="Q899" s="36"/>
      <c r="R899" s="36"/>
      <c r="S899" s="36"/>
      <c r="T899" s="36"/>
      <c r="U899" s="36"/>
      <c r="V899" s="36"/>
      <c r="W899" s="36"/>
      <c r="X899" s="36"/>
      <c r="Y899" s="36"/>
      <c r="Z899" s="36"/>
      <c r="AA899" s="36"/>
      <c r="AB899" s="36"/>
      <c r="AC899" s="36"/>
      <c r="AD899" s="36"/>
      <c r="AE899" s="36"/>
      <c r="AF899" s="36"/>
      <c r="AG899" s="36"/>
      <c r="AH899" s="36"/>
      <c r="AI899" s="36"/>
      <c r="AJ899" s="36"/>
      <c r="AK899" s="36"/>
      <c r="AL899" s="36"/>
      <c r="AM899" s="36"/>
      <c r="AN899" s="36"/>
      <c r="AO899" s="36"/>
      <c r="AP899" s="36"/>
      <c r="AQ899" s="36"/>
      <c r="AR899" s="36"/>
      <c r="AS899" s="36"/>
    </row>
    <row r="900" spans="1:45" s="143" customFormat="1" ht="15" customHeight="1" x14ac:dyDescent="0.3">
      <c r="A900" s="180"/>
      <c r="B900" s="180"/>
      <c r="C900" s="181"/>
      <c r="D900" s="36"/>
      <c r="E900" s="1137" t="s">
        <v>1084</v>
      </c>
      <c r="F900" s="1138" t="s">
        <v>1082</v>
      </c>
      <c r="G900" s="36" t="s">
        <v>282</v>
      </c>
      <c r="H900" s="36"/>
      <c r="I900" s="36"/>
      <c r="J900" s="36"/>
      <c r="K900" s="1137">
        <f xml:space="preserve"> K898 + $F899</f>
        <v>9.2762301587301574E-2</v>
      </c>
      <c r="L900" s="1137">
        <f t="shared" ref="L900:AS900" si="745" xml:space="preserve"> L898 + $F899</f>
        <v>9.252292490118573E-2</v>
      </c>
      <c r="M900" s="1137">
        <f t="shared" si="745"/>
        <v>7.060157480314963E-2</v>
      </c>
      <c r="N900" s="1137">
        <f t="shared" si="745"/>
        <v>5.1142292490118577E-2</v>
      </c>
      <c r="O900" s="1137">
        <f t="shared" si="745"/>
        <v>4.5186166007905135E-2</v>
      </c>
      <c r="P900" s="1137">
        <f t="shared" si="745"/>
        <v>4.5071314741035859E-2</v>
      </c>
      <c r="Q900" s="1137">
        <f t="shared" si="745"/>
        <v>4.6869444444444436E-2</v>
      </c>
      <c r="R900" s="1137">
        <f t="shared" si="745"/>
        <v>4.4088142292490112E-2</v>
      </c>
      <c r="S900" s="1137">
        <f t="shared" si="745"/>
        <v>4.3291924901185767E-2</v>
      </c>
      <c r="T900" s="1137">
        <f t="shared" si="745"/>
        <v>4.4851525691699604E-2</v>
      </c>
      <c r="U900" s="1137">
        <f t="shared" si="745"/>
        <v>5.0590186507936508E-2</v>
      </c>
      <c r="V900" s="1137">
        <f t="shared" si="745"/>
        <v>5.4752334661354582E-2</v>
      </c>
      <c r="W900" s="1137">
        <f t="shared" si="745"/>
        <v>6.4859274900398403E-2</v>
      </c>
      <c r="X900" s="1137">
        <f t="shared" si="745"/>
        <v>6.3175798418972334E-2</v>
      </c>
      <c r="Y900" s="1137">
        <f t="shared" si="745"/>
        <v>4.8938871345029236E-2</v>
      </c>
      <c r="Z900" s="1137">
        <f t="shared" si="745"/>
        <v>4.0476942000000002E-2</v>
      </c>
      <c r="AA900" s="1137">
        <f t="shared" si="745"/>
        <v>4.8181253815261067E-2</v>
      </c>
      <c r="AB900" s="1137">
        <f t="shared" si="745"/>
        <v>8.5826553413654624E-2</v>
      </c>
      <c r="AC900" s="1137">
        <f t="shared" si="745"/>
        <v>9.3465279199999987E-2</v>
      </c>
      <c r="AD900" s="1137">
        <f t="shared" si="745"/>
        <v>8.6147064102564105E-2</v>
      </c>
      <c r="AE900" s="1137">
        <f t="shared" si="745"/>
        <v>8.0023911226669159E-2</v>
      </c>
      <c r="AF900" s="1137">
        <f t="shared" si="745"/>
        <v>7.6420061322820726E-2</v>
      </c>
      <c r="AG900" s="1137">
        <f t="shared" si="745"/>
        <v>7.6878196916759539E-2</v>
      </c>
      <c r="AH900" s="1137">
        <f t="shared" si="745"/>
        <v>7.7016205868980253E-2</v>
      </c>
      <c r="AI900" s="1137">
        <f t="shared" si="745"/>
        <v>7.7075286921373748E-2</v>
      </c>
      <c r="AJ900" s="1137">
        <f t="shared" si="745"/>
        <v>7.5299999999999895E-2</v>
      </c>
      <c r="AK900" s="1137">
        <f t="shared" si="745"/>
        <v>7.5299999999999895E-2</v>
      </c>
      <c r="AL900" s="1137">
        <f t="shared" si="745"/>
        <v>7.5299999999999895E-2</v>
      </c>
      <c r="AM900" s="1137">
        <f t="shared" si="745"/>
        <v>7.5299999999999895E-2</v>
      </c>
      <c r="AN900" s="1137">
        <f t="shared" si="745"/>
        <v>7.5299999999999895E-2</v>
      </c>
      <c r="AO900" s="1137">
        <f t="shared" si="745"/>
        <v>7.5299999999999895E-2</v>
      </c>
      <c r="AP900" s="1137">
        <f t="shared" si="745"/>
        <v>7.5299999999999895E-2</v>
      </c>
      <c r="AQ900" s="1137">
        <f t="shared" si="745"/>
        <v>7.5299999999999895E-2</v>
      </c>
      <c r="AR900" s="1137">
        <f t="shared" si="745"/>
        <v>7.5299999999999895E-2</v>
      </c>
      <c r="AS900" s="1137">
        <f t="shared" si="745"/>
        <v>7.5299999999999895E-2</v>
      </c>
    </row>
    <row r="901" spans="1:45" s="143" customFormat="1" ht="15" customHeight="1" x14ac:dyDescent="0.3">
      <c r="A901" s="180"/>
      <c r="B901" s="180"/>
      <c r="C901" s="181"/>
      <c r="D901" s="36"/>
      <c r="E901" s="36"/>
      <c r="F901" s="36"/>
      <c r="G901" s="36"/>
      <c r="H901" s="36"/>
      <c r="I901" s="36"/>
      <c r="J901" s="36"/>
      <c r="K901" s="36"/>
      <c r="L901" s="36"/>
      <c r="M901" s="36"/>
      <c r="N901" s="36"/>
      <c r="O901" s="36"/>
      <c r="P901" s="36"/>
      <c r="Q901" s="36"/>
      <c r="R901" s="36"/>
      <c r="S901" s="36"/>
      <c r="T901" s="36"/>
      <c r="U901" s="36"/>
      <c r="V901" s="36"/>
      <c r="W901" s="36"/>
      <c r="X901" s="36"/>
      <c r="Y901" s="36"/>
      <c r="Z901" s="36"/>
      <c r="AA901" s="36"/>
      <c r="AB901" s="36"/>
      <c r="AC901" s="36"/>
      <c r="AD901" s="36"/>
      <c r="AE901" s="36"/>
      <c r="AF901" s="36"/>
      <c r="AG901" s="36"/>
      <c r="AH901" s="36"/>
      <c r="AI901" s="36"/>
      <c r="AJ901" s="36"/>
      <c r="AK901" s="36"/>
      <c r="AL901" s="36"/>
      <c r="AM901" s="36"/>
      <c r="AN901" s="36"/>
      <c r="AO901" s="36"/>
      <c r="AP901" s="36"/>
      <c r="AQ901" s="36"/>
      <c r="AR901" s="36"/>
      <c r="AS901" s="36"/>
    </row>
    <row r="902" spans="1:45" s="143" customFormat="1" ht="15" customHeight="1" x14ac:dyDescent="0.3">
      <c r="A902" s="180"/>
      <c r="B902" s="180"/>
      <c r="C902" s="181"/>
      <c r="D902" s="36"/>
      <c r="E902" s="855" t="str">
        <f xml:space="preserve"> Inputs_Con!E$103</f>
        <v>FS or alternative debt interest rates</v>
      </c>
      <c r="F902" s="104" t="str">
        <f xml:space="preserve"> Inputs_Con!F$103</f>
        <v>FS</v>
      </c>
      <c r="G902" s="104" t="str">
        <f xml:space="preserve"> Inputs_Con!G$103</f>
        <v>selected</v>
      </c>
      <c r="H902" s="36"/>
      <c r="I902" s="36"/>
      <c r="J902" s="36"/>
      <c r="K902" s="36"/>
      <c r="L902" s="36"/>
      <c r="M902" s="36"/>
      <c r="N902" s="36"/>
      <c r="O902" s="36"/>
      <c r="P902" s="36"/>
      <c r="Q902" s="36"/>
      <c r="R902" s="36"/>
      <c r="S902" s="36"/>
      <c r="T902" s="36"/>
      <c r="U902" s="36"/>
      <c r="V902" s="36"/>
      <c r="W902" s="36"/>
      <c r="X902" s="36"/>
      <c r="Y902" s="36"/>
      <c r="Z902" s="36"/>
      <c r="AA902" s="36"/>
      <c r="AB902" s="36"/>
      <c r="AC902" s="36"/>
      <c r="AD902" s="36"/>
      <c r="AE902" s="36"/>
      <c r="AF902" s="36"/>
      <c r="AG902" s="36"/>
      <c r="AH902" s="36"/>
      <c r="AI902" s="36"/>
      <c r="AJ902" s="36"/>
      <c r="AK902" s="36"/>
      <c r="AL902" s="36"/>
      <c r="AM902" s="36"/>
      <c r="AN902" s="36"/>
      <c r="AO902" s="36"/>
      <c r="AP902" s="36"/>
      <c r="AQ902" s="36"/>
      <c r="AR902" s="36"/>
      <c r="AS902" s="36"/>
    </row>
    <row r="903" spans="1:45" s="70" customFormat="1" ht="15" customHeight="1" x14ac:dyDescent="0.3">
      <c r="A903" s="394"/>
      <c r="B903" s="394"/>
      <c r="C903" s="395"/>
      <c r="D903" s="34"/>
      <c r="E903" s="34"/>
      <c r="F903" s="36" t="str">
        <f>F889</f>
        <v>FS</v>
      </c>
      <c r="G903" s="36" t="str">
        <f>G889</f>
        <v>option</v>
      </c>
      <c r="H903" s="34"/>
      <c r="I903" s="34"/>
      <c r="J903" s="34"/>
      <c r="K903" s="34"/>
      <c r="L903" s="34"/>
      <c r="M903" s="34"/>
      <c r="N903" s="34"/>
      <c r="O903" s="34"/>
      <c r="P903" s="34"/>
      <c r="Q903" s="34"/>
      <c r="R903" s="34"/>
      <c r="S903" s="34"/>
      <c r="T903" s="34"/>
      <c r="U903" s="34"/>
      <c r="V903" s="34"/>
      <c r="W903" s="34"/>
      <c r="X903" s="34"/>
      <c r="Y903" s="34"/>
      <c r="Z903" s="34"/>
      <c r="AA903" s="34"/>
      <c r="AB903" s="34"/>
      <c r="AC903" s="34"/>
      <c r="AD903" s="34"/>
      <c r="AE903" s="34"/>
      <c r="AF903" s="34"/>
      <c r="AG903" s="34"/>
      <c r="AH903" s="34"/>
      <c r="AI903" s="34"/>
      <c r="AJ903" s="34"/>
      <c r="AK903" s="34"/>
      <c r="AL903" s="34"/>
      <c r="AM903" s="34"/>
      <c r="AN903" s="34"/>
      <c r="AO903" s="34"/>
      <c r="AP903" s="34"/>
      <c r="AQ903" s="34"/>
      <c r="AR903" s="34"/>
      <c r="AS903" s="34"/>
    </row>
    <row r="904" spans="1:45" s="70" customFormat="1" ht="15" customHeight="1" x14ac:dyDescent="0.3">
      <c r="A904" s="394"/>
      <c r="B904" s="394"/>
      <c r="C904" s="395"/>
      <c r="D904" s="34"/>
      <c r="E904" s="34"/>
      <c r="F904" s="36" t="str">
        <f>F900</f>
        <v>Alternative</v>
      </c>
      <c r="G904" s="36" t="str">
        <f>G900</f>
        <v>option</v>
      </c>
      <c r="H904" s="34"/>
      <c r="I904" s="34"/>
      <c r="J904" s="34"/>
      <c r="K904" s="34"/>
      <c r="L904" s="34"/>
      <c r="M904" s="34"/>
      <c r="N904" s="34"/>
      <c r="O904" s="34"/>
      <c r="P904" s="34"/>
      <c r="Q904" s="34"/>
      <c r="R904" s="34"/>
      <c r="S904" s="34"/>
      <c r="T904" s="34"/>
      <c r="U904" s="34"/>
      <c r="V904" s="34"/>
      <c r="W904" s="34"/>
      <c r="X904" s="34"/>
      <c r="Y904" s="34"/>
      <c r="Z904" s="34"/>
      <c r="AA904" s="34"/>
      <c r="AB904" s="34"/>
      <c r="AC904" s="34"/>
      <c r="AD904" s="34"/>
      <c r="AE904" s="34"/>
      <c r="AF904" s="34"/>
      <c r="AG904" s="34"/>
      <c r="AH904" s="34"/>
      <c r="AI904" s="34"/>
      <c r="AJ904" s="34"/>
      <c r="AK904" s="34"/>
      <c r="AL904" s="34"/>
      <c r="AM904" s="34"/>
      <c r="AN904" s="34"/>
      <c r="AO904" s="34"/>
      <c r="AP904" s="34"/>
      <c r="AQ904" s="34"/>
      <c r="AR904" s="34"/>
      <c r="AS904" s="34"/>
    </row>
    <row r="905" spans="1:45" s="143" customFormat="1" ht="15" customHeight="1" x14ac:dyDescent="0.3">
      <c r="A905" s="180"/>
      <c r="B905" s="180"/>
      <c r="C905" s="181"/>
      <c r="D905" s="36"/>
      <c r="E905" s="36"/>
      <c r="F905" s="36"/>
      <c r="G905" s="36"/>
      <c r="H905" s="36"/>
      <c r="I905" s="36"/>
      <c r="J905" s="36"/>
      <c r="K905" s="36"/>
      <c r="L905" s="36"/>
      <c r="M905" s="36"/>
      <c r="N905" s="36"/>
      <c r="O905" s="36"/>
      <c r="P905" s="36"/>
      <c r="Q905" s="36"/>
      <c r="R905" s="36"/>
      <c r="S905" s="36"/>
      <c r="T905" s="36"/>
      <c r="U905" s="36"/>
      <c r="V905" s="36"/>
      <c r="W905" s="36"/>
      <c r="X905" s="36"/>
      <c r="Y905" s="36"/>
      <c r="Z905" s="36"/>
      <c r="AA905" s="36"/>
      <c r="AB905" s="36"/>
      <c r="AC905" s="36"/>
      <c r="AD905" s="36"/>
      <c r="AE905" s="36"/>
      <c r="AF905" s="36"/>
      <c r="AG905" s="36"/>
      <c r="AH905" s="36"/>
      <c r="AI905" s="36"/>
      <c r="AJ905" s="36"/>
      <c r="AK905" s="36"/>
      <c r="AL905" s="36"/>
      <c r="AM905" s="36"/>
      <c r="AN905" s="36"/>
      <c r="AO905" s="36"/>
      <c r="AP905" s="36"/>
      <c r="AQ905" s="36"/>
      <c r="AR905" s="36"/>
      <c r="AS905" s="36"/>
    </row>
    <row r="906" spans="1:45" ht="15" customHeight="1" x14ac:dyDescent="0.3">
      <c r="E906" s="362" t="str">
        <f xml:space="preserve"> COMMUS_23FS_Model!E$419</f>
        <v>Model calendar year</v>
      </c>
      <c r="F906" s="362">
        <f xml:space="preserve"> COMMUS_23FS_Model!F$419</f>
        <v>0</v>
      </c>
      <c r="G906" s="362">
        <f xml:space="preserve"> COMMUS_23FS_Model!G$419</f>
        <v>0</v>
      </c>
      <c r="H906" s="362">
        <f xml:space="preserve"> COMMUS_23FS_Model!H$419</f>
        <v>0</v>
      </c>
      <c r="I906" s="362">
        <f xml:space="preserve"> COMMUS_23FS_Model!I$419</f>
        <v>0</v>
      </c>
      <c r="J906" s="362">
        <f xml:space="preserve"> COMMUS_23FS_Model!J$419</f>
        <v>0</v>
      </c>
      <c r="K906" s="362">
        <f xml:space="preserve"> COMMUS_23FS_Model!K$419</f>
        <v>2006</v>
      </c>
      <c r="L906" s="362">
        <f xml:space="preserve"> COMMUS_23FS_Model!L$419</f>
        <v>2007</v>
      </c>
      <c r="M906" s="362">
        <f xml:space="preserve"> COMMUS_23FS_Model!M$419</f>
        <v>2008</v>
      </c>
      <c r="N906" s="362">
        <f xml:space="preserve"> COMMUS_23FS_Model!N$419</f>
        <v>2009</v>
      </c>
      <c r="O906" s="362">
        <f xml:space="preserve"> COMMUS_23FS_Model!O$419</f>
        <v>2010</v>
      </c>
      <c r="P906" s="362">
        <f xml:space="preserve"> COMMUS_23FS_Model!P$419</f>
        <v>2011</v>
      </c>
      <c r="Q906" s="362">
        <f xml:space="preserve"> COMMUS_23FS_Model!Q$419</f>
        <v>2012</v>
      </c>
      <c r="R906" s="362">
        <f xml:space="preserve"> COMMUS_23FS_Model!R$419</f>
        <v>2013</v>
      </c>
      <c r="S906" s="362">
        <f xml:space="preserve"> COMMUS_23FS_Model!S$419</f>
        <v>2014</v>
      </c>
      <c r="T906" s="362">
        <f xml:space="preserve"> COMMUS_23FS_Model!T$419</f>
        <v>2015</v>
      </c>
      <c r="U906" s="362">
        <f xml:space="preserve"> COMMUS_23FS_Model!U$419</f>
        <v>2016</v>
      </c>
      <c r="V906" s="362">
        <f xml:space="preserve"> COMMUS_23FS_Model!V$419</f>
        <v>2017</v>
      </c>
      <c r="W906" s="362">
        <f xml:space="preserve"> COMMUS_23FS_Model!W$419</f>
        <v>2018</v>
      </c>
      <c r="X906" s="362">
        <f xml:space="preserve"> COMMUS_23FS_Model!X$419</f>
        <v>2019</v>
      </c>
      <c r="Y906" s="362">
        <f xml:space="preserve"> COMMUS_23FS_Model!Y$419</f>
        <v>2020</v>
      </c>
      <c r="Z906" s="362">
        <f xml:space="preserve"> COMMUS_23FS_Model!Z$419</f>
        <v>2021</v>
      </c>
      <c r="AA906" s="362">
        <f xml:space="preserve"> COMMUS_23FS_Model!AA$419</f>
        <v>2022</v>
      </c>
      <c r="AB906" s="362">
        <f xml:space="preserve"> COMMUS_23FS_Model!AB$419</f>
        <v>2023</v>
      </c>
      <c r="AC906" s="362">
        <f xml:space="preserve"> COMMUS_23FS_Model!AC$419</f>
        <v>2024</v>
      </c>
      <c r="AD906" s="362">
        <f xml:space="preserve"> COMMUS_23FS_Model!AD$419</f>
        <v>2025</v>
      </c>
      <c r="AE906" s="362">
        <f xml:space="preserve"> COMMUS_23FS_Model!AE$419</f>
        <v>2026</v>
      </c>
      <c r="AF906" s="362">
        <f xml:space="preserve"> COMMUS_23FS_Model!AF$419</f>
        <v>2027</v>
      </c>
      <c r="AG906" s="362">
        <f xml:space="preserve"> COMMUS_23FS_Model!AG$419</f>
        <v>2028</v>
      </c>
      <c r="AH906" s="362">
        <f xml:space="preserve"> COMMUS_23FS_Model!AH$419</f>
        <v>2029</v>
      </c>
      <c r="AI906" s="362">
        <f xml:space="preserve"> COMMUS_23FS_Model!AI$419</f>
        <v>2030</v>
      </c>
      <c r="AJ906" s="362">
        <f xml:space="preserve"> COMMUS_23FS_Model!AJ$419</f>
        <v>2031</v>
      </c>
      <c r="AK906" s="362">
        <f xml:space="preserve"> COMMUS_23FS_Model!AK$419</f>
        <v>2032</v>
      </c>
      <c r="AL906" s="362">
        <f xml:space="preserve"> COMMUS_23FS_Model!AL$419</f>
        <v>2033</v>
      </c>
      <c r="AM906" s="362">
        <f xml:space="preserve"> COMMUS_23FS_Model!AM$419</f>
        <v>2034</v>
      </c>
      <c r="AN906" s="362">
        <f xml:space="preserve"> COMMUS_23FS_Model!AN$419</f>
        <v>2035</v>
      </c>
      <c r="AO906" s="362">
        <f xml:space="preserve"> COMMUS_23FS_Model!AO$419</f>
        <v>2036</v>
      </c>
      <c r="AP906" s="362">
        <f xml:space="preserve"> COMMUS_23FS_Model!AP$419</f>
        <v>2037</v>
      </c>
      <c r="AQ906" s="362">
        <f xml:space="preserve"> COMMUS_23FS_Model!AQ$419</f>
        <v>2038</v>
      </c>
      <c r="AR906" s="362">
        <f xml:space="preserve"> COMMUS_23FS_Model!AR$419</f>
        <v>2039</v>
      </c>
      <c r="AS906" s="362">
        <f xml:space="preserve"> COMMUS_23FS_Model!AS$419</f>
        <v>2040</v>
      </c>
    </row>
    <row r="907" spans="1:45" s="143" customFormat="1" ht="15" customHeight="1" x14ac:dyDescent="0.3">
      <c r="A907" s="1139"/>
      <c r="B907" s="1139"/>
      <c r="C907" s="1140"/>
      <c r="D907" s="1141"/>
      <c r="E907" s="1147" t="s">
        <v>345</v>
      </c>
      <c r="F907" s="1147">
        <v>0</v>
      </c>
      <c r="G907" s="1147" t="s">
        <v>346</v>
      </c>
      <c r="H907" s="1147">
        <v>0</v>
      </c>
      <c r="I907" s="1147">
        <v>0</v>
      </c>
      <c r="J907" s="1147">
        <v>0</v>
      </c>
      <c r="K907" s="1150">
        <f>J912</f>
        <v>0</v>
      </c>
      <c r="L907" s="1150">
        <f t="shared" ref="L907:AS907" si="746">K912</f>
        <v>0</v>
      </c>
      <c r="M907" s="1150">
        <f t="shared" si="746"/>
        <v>0</v>
      </c>
      <c r="N907" s="1150">
        <f t="shared" si="746"/>
        <v>0</v>
      </c>
      <c r="O907" s="1150">
        <f t="shared" si="746"/>
        <v>0</v>
      </c>
      <c r="P907" s="1150">
        <f t="shared" si="746"/>
        <v>0</v>
      </c>
      <c r="Q907" s="1150">
        <f t="shared" si="746"/>
        <v>0</v>
      </c>
      <c r="R907" s="1150">
        <f t="shared" si="746"/>
        <v>0</v>
      </c>
      <c r="S907" s="1150">
        <f t="shared" si="746"/>
        <v>0</v>
      </c>
      <c r="T907" s="1150">
        <f t="shared" si="746"/>
        <v>0</v>
      </c>
      <c r="U907" s="1150">
        <f t="shared" si="746"/>
        <v>0</v>
      </c>
      <c r="V907" s="1150">
        <f t="shared" si="746"/>
        <v>0</v>
      </c>
      <c r="W907" s="1150">
        <f t="shared" si="746"/>
        <v>0</v>
      </c>
      <c r="X907" s="1150">
        <f t="shared" si="746"/>
        <v>400</v>
      </c>
      <c r="Y907" s="1150">
        <f t="shared" si="746"/>
        <v>344</v>
      </c>
      <c r="Z907" s="1150">
        <f t="shared" si="746"/>
        <v>244</v>
      </c>
      <c r="AA907" s="1150">
        <f t="shared" si="746"/>
        <v>75</v>
      </c>
      <c r="AB907" s="1150">
        <f t="shared" si="746"/>
        <v>60</v>
      </c>
      <c r="AC907" s="1150">
        <f t="shared" si="746"/>
        <v>45</v>
      </c>
      <c r="AD907" s="1150">
        <f t="shared" si="746"/>
        <v>30</v>
      </c>
      <c r="AE907" s="1150">
        <f t="shared" si="746"/>
        <v>15.000000000000002</v>
      </c>
      <c r="AF907" s="1150">
        <f t="shared" si="746"/>
        <v>0</v>
      </c>
      <c r="AG907" s="1150">
        <f t="shared" si="746"/>
        <v>0</v>
      </c>
      <c r="AH907" s="1150">
        <f t="shared" si="746"/>
        <v>0</v>
      </c>
      <c r="AI907" s="1150">
        <f t="shared" si="746"/>
        <v>0</v>
      </c>
      <c r="AJ907" s="1150">
        <f t="shared" si="746"/>
        <v>0</v>
      </c>
      <c r="AK907" s="1150">
        <f t="shared" si="746"/>
        <v>0</v>
      </c>
      <c r="AL907" s="1150">
        <f t="shared" si="746"/>
        <v>0</v>
      </c>
      <c r="AM907" s="1150">
        <f t="shared" si="746"/>
        <v>0</v>
      </c>
      <c r="AN907" s="1150">
        <f t="shared" si="746"/>
        <v>0</v>
      </c>
      <c r="AO907" s="1150">
        <f t="shared" si="746"/>
        <v>0</v>
      </c>
      <c r="AP907" s="1150">
        <f t="shared" si="746"/>
        <v>0</v>
      </c>
      <c r="AQ907" s="1150">
        <f t="shared" si="746"/>
        <v>0</v>
      </c>
      <c r="AR907" s="1150">
        <f t="shared" si="746"/>
        <v>0</v>
      </c>
      <c r="AS907" s="1150">
        <f t="shared" si="746"/>
        <v>0</v>
      </c>
    </row>
    <row r="908" spans="1:45" s="143" customFormat="1" ht="15" customHeight="1" x14ac:dyDescent="0.3">
      <c r="A908" s="528"/>
      <c r="B908" s="528"/>
      <c r="C908" s="529"/>
      <c r="D908" s="264"/>
      <c r="E908" s="110" t="s">
        <v>347</v>
      </c>
      <c r="F908" s="313"/>
      <c r="G908" s="313" t="s">
        <v>346</v>
      </c>
      <c r="H908" s="313"/>
      <c r="I908" s="313">
        <f>SUM(K908:AS908)</f>
        <v>39.111939999999997</v>
      </c>
      <c r="J908" s="313"/>
      <c r="K908" s="887">
        <f>IF($F902 = "FS", K887, K900 * K907)</f>
        <v>0</v>
      </c>
      <c r="L908" s="887">
        <f t="shared" ref="L908:AS908" si="747">IF($F902 = "FS", L887, L900 * L907)</f>
        <v>0</v>
      </c>
      <c r="M908" s="887">
        <f t="shared" si="747"/>
        <v>0</v>
      </c>
      <c r="N908" s="887">
        <f t="shared" si="747"/>
        <v>0</v>
      </c>
      <c r="O908" s="887">
        <f t="shared" si="747"/>
        <v>0</v>
      </c>
      <c r="P908" s="887">
        <f t="shared" si="747"/>
        <v>0</v>
      </c>
      <c r="Q908" s="887">
        <f t="shared" si="747"/>
        <v>0</v>
      </c>
      <c r="R908" s="887">
        <f t="shared" si="747"/>
        <v>0</v>
      </c>
      <c r="S908" s="887">
        <f t="shared" si="747"/>
        <v>0</v>
      </c>
      <c r="T908" s="887">
        <f t="shared" si="747"/>
        <v>0</v>
      </c>
      <c r="U908" s="887">
        <f t="shared" si="747"/>
        <v>0</v>
      </c>
      <c r="V908" s="887">
        <f t="shared" si="747"/>
        <v>0</v>
      </c>
      <c r="W908" s="887">
        <f t="shared" si="747"/>
        <v>0</v>
      </c>
      <c r="X908" s="887">
        <f t="shared" si="747"/>
        <v>8.7219999999999995</v>
      </c>
      <c r="Y908" s="887">
        <f t="shared" si="747"/>
        <v>12.85872</v>
      </c>
      <c r="Z908" s="887">
        <f t="shared" si="747"/>
        <v>9.1207200000000004</v>
      </c>
      <c r="AA908" s="887">
        <f t="shared" si="747"/>
        <v>2.8035000000000001</v>
      </c>
      <c r="AB908" s="887">
        <f t="shared" si="747"/>
        <v>2.2427999999999999</v>
      </c>
      <c r="AC908" s="887">
        <f t="shared" si="747"/>
        <v>1.6820999999999999</v>
      </c>
      <c r="AD908" s="887">
        <f t="shared" si="747"/>
        <v>1.1214</v>
      </c>
      <c r="AE908" s="887">
        <f t="shared" si="747"/>
        <v>0.56069999999999998</v>
      </c>
      <c r="AF908" s="887">
        <f t="shared" si="747"/>
        <v>0</v>
      </c>
      <c r="AG908" s="887">
        <f t="shared" si="747"/>
        <v>0</v>
      </c>
      <c r="AH908" s="887">
        <f t="shared" si="747"/>
        <v>0</v>
      </c>
      <c r="AI908" s="887">
        <f t="shared" si="747"/>
        <v>0</v>
      </c>
      <c r="AJ908" s="887">
        <f t="shared" si="747"/>
        <v>0</v>
      </c>
      <c r="AK908" s="887">
        <f t="shared" si="747"/>
        <v>0</v>
      </c>
      <c r="AL908" s="887">
        <f t="shared" si="747"/>
        <v>0</v>
      </c>
      <c r="AM908" s="887">
        <f t="shared" si="747"/>
        <v>0</v>
      </c>
      <c r="AN908" s="887">
        <f t="shared" si="747"/>
        <v>0</v>
      </c>
      <c r="AO908" s="887">
        <f t="shared" si="747"/>
        <v>0</v>
      </c>
      <c r="AP908" s="887">
        <f t="shared" si="747"/>
        <v>0</v>
      </c>
      <c r="AQ908" s="887">
        <f t="shared" si="747"/>
        <v>0</v>
      </c>
      <c r="AR908" s="887">
        <f t="shared" si="747"/>
        <v>0</v>
      </c>
      <c r="AS908" s="887">
        <f t="shared" si="747"/>
        <v>0</v>
      </c>
    </row>
    <row r="909" spans="1:45" ht="15" customHeight="1" x14ac:dyDescent="0.3">
      <c r="A909" s="129"/>
      <c r="B909" s="129"/>
      <c r="C909" s="130"/>
      <c r="D909" s="106"/>
      <c r="E909" s="147" t="str">
        <f xml:space="preserve"> COMMUS_23FS_Model!E$422</f>
        <v>Interest bearing drawdowns</v>
      </c>
      <c r="F909" s="147">
        <f xml:space="preserve"> COMMUS_23FS_Model!F$422</f>
        <v>0</v>
      </c>
      <c r="G909" s="147" t="str">
        <f xml:space="preserve"> COMMUS_23FS_Model!G$422</f>
        <v>$ mn</v>
      </c>
      <c r="H909" s="147">
        <f xml:space="preserve"> COMMUS_23FS_Model!H$422</f>
        <v>0</v>
      </c>
      <c r="I909" s="147">
        <f xml:space="preserve"> COMMUS_23FS_Model!I$422</f>
        <v>400</v>
      </c>
      <c r="J909" s="147">
        <f xml:space="preserve"> COMMUS_23FS_Model!J$422</f>
        <v>0</v>
      </c>
      <c r="K909" s="1151">
        <f xml:space="preserve"> COMMUS_23FS_Model!K$422</f>
        <v>0</v>
      </c>
      <c r="L909" s="1151">
        <f xml:space="preserve"> COMMUS_23FS_Model!L$422</f>
        <v>0</v>
      </c>
      <c r="M909" s="1151">
        <f xml:space="preserve"> COMMUS_23FS_Model!M$422</f>
        <v>0</v>
      </c>
      <c r="N909" s="1151">
        <f xml:space="preserve"> COMMUS_23FS_Model!N$422</f>
        <v>0</v>
      </c>
      <c r="O909" s="1151">
        <f xml:space="preserve"> COMMUS_23FS_Model!O$422</f>
        <v>0</v>
      </c>
      <c r="P909" s="1151">
        <f xml:space="preserve"> COMMUS_23FS_Model!P$422</f>
        <v>0</v>
      </c>
      <c r="Q909" s="1151">
        <f xml:space="preserve"> COMMUS_23FS_Model!Q$422</f>
        <v>0</v>
      </c>
      <c r="R909" s="1151">
        <f xml:space="preserve"> COMMUS_23FS_Model!R$422</f>
        <v>0</v>
      </c>
      <c r="S909" s="1151">
        <f xml:space="preserve"> COMMUS_23FS_Model!S$422</f>
        <v>0</v>
      </c>
      <c r="T909" s="1151">
        <f xml:space="preserve"> COMMUS_23FS_Model!T$422</f>
        <v>0</v>
      </c>
      <c r="U909" s="1151">
        <f xml:space="preserve"> COMMUS_23FS_Model!U$422</f>
        <v>0</v>
      </c>
      <c r="V909" s="1151">
        <f xml:space="preserve"> COMMUS_23FS_Model!V$422</f>
        <v>0</v>
      </c>
      <c r="W909" s="1151">
        <f xml:space="preserve"> COMMUS_23FS_Model!W$422</f>
        <v>400</v>
      </c>
      <c r="X909" s="1151">
        <f xml:space="preserve"> COMMUS_23FS_Model!X$422</f>
        <v>0</v>
      </c>
      <c r="Y909" s="1151">
        <f xml:space="preserve"> COMMUS_23FS_Model!Y$422</f>
        <v>0</v>
      </c>
      <c r="Z909" s="1151">
        <f xml:space="preserve"> COMMUS_23FS_Model!Z$422</f>
        <v>0</v>
      </c>
      <c r="AA909" s="1151">
        <f xml:space="preserve"> COMMUS_23FS_Model!AA$422</f>
        <v>0</v>
      </c>
      <c r="AB909" s="1151">
        <f xml:space="preserve"> COMMUS_23FS_Model!AB$422</f>
        <v>0</v>
      </c>
      <c r="AC909" s="1151">
        <f xml:space="preserve"> COMMUS_23FS_Model!AC$422</f>
        <v>0</v>
      </c>
      <c r="AD909" s="1151">
        <f xml:space="preserve"> COMMUS_23FS_Model!AD$422</f>
        <v>0</v>
      </c>
      <c r="AE909" s="1151">
        <f xml:space="preserve"> COMMUS_23FS_Model!AE$422</f>
        <v>0</v>
      </c>
      <c r="AF909" s="1151">
        <f xml:space="preserve"> COMMUS_23FS_Model!AF$422</f>
        <v>0</v>
      </c>
      <c r="AG909" s="1151">
        <f xml:space="preserve"> COMMUS_23FS_Model!AG$422</f>
        <v>0</v>
      </c>
      <c r="AH909" s="1151">
        <f xml:space="preserve"> COMMUS_23FS_Model!AH$422</f>
        <v>0</v>
      </c>
      <c r="AI909" s="1151">
        <f xml:space="preserve"> COMMUS_23FS_Model!AI$422</f>
        <v>0</v>
      </c>
      <c r="AJ909" s="1151">
        <f xml:space="preserve"> COMMUS_23FS_Model!AJ$422</f>
        <v>0</v>
      </c>
      <c r="AK909" s="1151">
        <f xml:space="preserve"> COMMUS_23FS_Model!AK$422</f>
        <v>0</v>
      </c>
      <c r="AL909" s="1151">
        <f xml:space="preserve"> COMMUS_23FS_Model!AL$422</f>
        <v>0</v>
      </c>
      <c r="AM909" s="1151">
        <f xml:space="preserve"> COMMUS_23FS_Model!AM$422</f>
        <v>0</v>
      </c>
      <c r="AN909" s="1151">
        <f xml:space="preserve"> COMMUS_23FS_Model!AN$422</f>
        <v>0</v>
      </c>
      <c r="AO909" s="1151">
        <f xml:space="preserve"> COMMUS_23FS_Model!AO$422</f>
        <v>0</v>
      </c>
      <c r="AP909" s="1151">
        <f xml:space="preserve"> COMMUS_23FS_Model!AP$422</f>
        <v>0</v>
      </c>
      <c r="AQ909" s="1151">
        <f xml:space="preserve"> COMMUS_23FS_Model!AQ$422</f>
        <v>0</v>
      </c>
      <c r="AR909" s="1151">
        <f xml:space="preserve"> COMMUS_23FS_Model!AR$422</f>
        <v>0</v>
      </c>
      <c r="AS909" s="1151">
        <f xml:space="preserve"> COMMUS_23FS_Model!AS$422</f>
        <v>0</v>
      </c>
    </row>
    <row r="910" spans="1:45" ht="15" customHeight="1" x14ac:dyDescent="0.3">
      <c r="A910" s="129"/>
      <c r="B910" s="129"/>
      <c r="C910" s="130"/>
      <c r="D910" s="106"/>
      <c r="E910" s="256" t="str">
        <f xml:space="preserve"> COMMUS_23FS_Model!E$424</f>
        <v>Principal repayments</v>
      </c>
      <c r="F910" s="256">
        <f xml:space="preserve"> COMMUS_23FS_Model!F$424</f>
        <v>0</v>
      </c>
      <c r="G910" s="256" t="str">
        <f xml:space="preserve"> COMMUS_23FS_Model!G$424</f>
        <v>$ mn</v>
      </c>
      <c r="H910" s="256">
        <f xml:space="preserve"> COMMUS_23FS_Model!H$424</f>
        <v>0</v>
      </c>
      <c r="I910" s="256">
        <f xml:space="preserve"> COMMUS_23FS_Model!I$424</f>
        <v>400</v>
      </c>
      <c r="J910" s="256">
        <f xml:space="preserve"> COMMUS_23FS_Model!J$424</f>
        <v>0</v>
      </c>
      <c r="K910" s="1151">
        <f xml:space="preserve"> COMMUS_23FS_Model!K$424</f>
        <v>0</v>
      </c>
      <c r="L910" s="1151">
        <f xml:space="preserve"> COMMUS_23FS_Model!L$424</f>
        <v>0</v>
      </c>
      <c r="M910" s="1151">
        <f xml:space="preserve"> COMMUS_23FS_Model!M$424</f>
        <v>0</v>
      </c>
      <c r="N910" s="1151">
        <f xml:space="preserve"> COMMUS_23FS_Model!N$424</f>
        <v>0</v>
      </c>
      <c r="O910" s="1151">
        <f xml:space="preserve"> COMMUS_23FS_Model!O$424</f>
        <v>0</v>
      </c>
      <c r="P910" s="1151">
        <f xml:space="preserve"> COMMUS_23FS_Model!P$424</f>
        <v>0</v>
      </c>
      <c r="Q910" s="1151">
        <f xml:space="preserve"> COMMUS_23FS_Model!Q$424</f>
        <v>0</v>
      </c>
      <c r="R910" s="1151">
        <f xml:space="preserve"> COMMUS_23FS_Model!R$424</f>
        <v>0</v>
      </c>
      <c r="S910" s="1151">
        <f xml:space="preserve"> COMMUS_23FS_Model!S$424</f>
        <v>0</v>
      </c>
      <c r="T910" s="1151">
        <f xml:space="preserve"> COMMUS_23FS_Model!T$424</f>
        <v>0</v>
      </c>
      <c r="U910" s="1151">
        <f xml:space="preserve"> COMMUS_23FS_Model!U$424</f>
        <v>0</v>
      </c>
      <c r="V910" s="1151">
        <f xml:space="preserve"> COMMUS_23FS_Model!V$424</f>
        <v>0</v>
      </c>
      <c r="W910" s="1151">
        <f xml:space="preserve"> COMMUS_23FS_Model!W$424</f>
        <v>0</v>
      </c>
      <c r="X910" s="1151">
        <f xml:space="preserve"> COMMUS_23FS_Model!X$424</f>
        <v>56</v>
      </c>
      <c r="Y910" s="1151">
        <f xml:space="preserve"> COMMUS_23FS_Model!Y$424</f>
        <v>100</v>
      </c>
      <c r="Z910" s="1151">
        <f xml:space="preserve"> COMMUS_23FS_Model!Z$424</f>
        <v>169</v>
      </c>
      <c r="AA910" s="1151">
        <f xml:space="preserve"> COMMUS_23FS_Model!AA$424</f>
        <v>15</v>
      </c>
      <c r="AB910" s="1151">
        <f xml:space="preserve"> COMMUS_23FS_Model!AB$424</f>
        <v>15</v>
      </c>
      <c r="AC910" s="1151">
        <f xml:space="preserve"> COMMUS_23FS_Model!AC$424</f>
        <v>15</v>
      </c>
      <c r="AD910" s="1151">
        <f xml:space="preserve"> COMMUS_23FS_Model!AD$424</f>
        <v>15</v>
      </c>
      <c r="AE910" s="1151">
        <f xml:space="preserve"> COMMUS_23FS_Model!AE$424</f>
        <v>15</v>
      </c>
      <c r="AF910" s="1151">
        <f xml:space="preserve"> COMMUS_23FS_Model!AF$424</f>
        <v>0</v>
      </c>
      <c r="AG910" s="1151">
        <f xml:space="preserve"> COMMUS_23FS_Model!AG$424</f>
        <v>0</v>
      </c>
      <c r="AH910" s="1151">
        <f xml:space="preserve"> COMMUS_23FS_Model!AH$424</f>
        <v>0</v>
      </c>
      <c r="AI910" s="1151">
        <f xml:space="preserve"> COMMUS_23FS_Model!AI$424</f>
        <v>0</v>
      </c>
      <c r="AJ910" s="1151">
        <f xml:space="preserve"> COMMUS_23FS_Model!AJ$424</f>
        <v>0</v>
      </c>
      <c r="AK910" s="1151">
        <f xml:space="preserve"> COMMUS_23FS_Model!AK$424</f>
        <v>0</v>
      </c>
      <c r="AL910" s="1151">
        <f xml:space="preserve"> COMMUS_23FS_Model!AL$424</f>
        <v>0</v>
      </c>
      <c r="AM910" s="1151">
        <f xml:space="preserve"> COMMUS_23FS_Model!AM$424</f>
        <v>0</v>
      </c>
      <c r="AN910" s="1151">
        <f xml:space="preserve"> COMMUS_23FS_Model!AN$424</f>
        <v>0</v>
      </c>
      <c r="AO910" s="1151">
        <f xml:space="preserve"> COMMUS_23FS_Model!AO$424</f>
        <v>0</v>
      </c>
      <c r="AP910" s="1151">
        <f xml:space="preserve"> COMMUS_23FS_Model!AP$424</f>
        <v>0</v>
      </c>
      <c r="AQ910" s="1151">
        <f xml:space="preserve"> COMMUS_23FS_Model!AQ$424</f>
        <v>0</v>
      </c>
      <c r="AR910" s="1151">
        <f xml:space="preserve"> COMMUS_23FS_Model!AR$424</f>
        <v>0</v>
      </c>
      <c r="AS910" s="1151">
        <f xml:space="preserve"> COMMUS_23FS_Model!AS$424</f>
        <v>0</v>
      </c>
    </row>
    <row r="911" spans="1:45" s="143" customFormat="1" ht="15" customHeight="1" x14ac:dyDescent="0.3">
      <c r="A911" s="528"/>
      <c r="B911" s="528"/>
      <c r="C911" s="529"/>
      <c r="D911" s="264"/>
      <c r="E911" s="313" t="s">
        <v>466</v>
      </c>
      <c r="F911" s="313"/>
      <c r="G911" s="313" t="s">
        <v>1088</v>
      </c>
      <c r="H911" s="313"/>
      <c r="I911" s="313">
        <f>SUM(K911:AS911)</f>
        <v>39.111939999999997</v>
      </c>
      <c r="J911" s="313"/>
      <c r="K911" s="887">
        <f>K908</f>
        <v>0</v>
      </c>
      <c r="L911" s="887">
        <f t="shared" ref="L911:AS911" si="748">L908</f>
        <v>0</v>
      </c>
      <c r="M911" s="887">
        <f t="shared" si="748"/>
        <v>0</v>
      </c>
      <c r="N911" s="887">
        <f t="shared" si="748"/>
        <v>0</v>
      </c>
      <c r="O911" s="887">
        <f t="shared" si="748"/>
        <v>0</v>
      </c>
      <c r="P911" s="887">
        <f t="shared" si="748"/>
        <v>0</v>
      </c>
      <c r="Q911" s="887">
        <f t="shared" si="748"/>
        <v>0</v>
      </c>
      <c r="R911" s="887">
        <f t="shared" si="748"/>
        <v>0</v>
      </c>
      <c r="S911" s="887">
        <f t="shared" si="748"/>
        <v>0</v>
      </c>
      <c r="T911" s="887">
        <f t="shared" si="748"/>
        <v>0</v>
      </c>
      <c r="U911" s="887">
        <f t="shared" si="748"/>
        <v>0</v>
      </c>
      <c r="V911" s="887">
        <f t="shared" si="748"/>
        <v>0</v>
      </c>
      <c r="W911" s="887">
        <f t="shared" si="748"/>
        <v>0</v>
      </c>
      <c r="X911" s="887">
        <f t="shared" si="748"/>
        <v>8.7219999999999995</v>
      </c>
      <c r="Y911" s="887">
        <f t="shared" si="748"/>
        <v>12.85872</v>
      </c>
      <c r="Z911" s="887">
        <f t="shared" si="748"/>
        <v>9.1207200000000004</v>
      </c>
      <c r="AA911" s="887">
        <f t="shared" si="748"/>
        <v>2.8035000000000001</v>
      </c>
      <c r="AB911" s="887">
        <f t="shared" si="748"/>
        <v>2.2427999999999999</v>
      </c>
      <c r="AC911" s="887">
        <f t="shared" si="748"/>
        <v>1.6820999999999999</v>
      </c>
      <c r="AD911" s="887">
        <f t="shared" si="748"/>
        <v>1.1214</v>
      </c>
      <c r="AE911" s="887">
        <f t="shared" si="748"/>
        <v>0.56069999999999998</v>
      </c>
      <c r="AF911" s="887">
        <f t="shared" si="748"/>
        <v>0</v>
      </c>
      <c r="AG911" s="887">
        <f t="shared" si="748"/>
        <v>0</v>
      </c>
      <c r="AH911" s="887">
        <f t="shared" si="748"/>
        <v>0</v>
      </c>
      <c r="AI911" s="887">
        <f t="shared" si="748"/>
        <v>0</v>
      </c>
      <c r="AJ911" s="887">
        <f t="shared" si="748"/>
        <v>0</v>
      </c>
      <c r="AK911" s="887">
        <f t="shared" si="748"/>
        <v>0</v>
      </c>
      <c r="AL911" s="887">
        <f t="shared" si="748"/>
        <v>0</v>
      </c>
      <c r="AM911" s="887">
        <f t="shared" si="748"/>
        <v>0</v>
      </c>
      <c r="AN911" s="887">
        <f t="shared" si="748"/>
        <v>0</v>
      </c>
      <c r="AO911" s="887">
        <f t="shared" si="748"/>
        <v>0</v>
      </c>
      <c r="AP911" s="887">
        <f t="shared" si="748"/>
        <v>0</v>
      </c>
      <c r="AQ911" s="887">
        <f t="shared" si="748"/>
        <v>0</v>
      </c>
      <c r="AR911" s="887">
        <f t="shared" si="748"/>
        <v>0</v>
      </c>
      <c r="AS911" s="887">
        <f t="shared" si="748"/>
        <v>0</v>
      </c>
    </row>
    <row r="912" spans="1:45" s="143" customFormat="1" ht="15" customHeight="1" x14ac:dyDescent="0.3">
      <c r="A912" s="1143"/>
      <c r="B912" s="1143">
        <v>0</v>
      </c>
      <c r="C912" s="1144"/>
      <c r="D912" s="1145">
        <v>0</v>
      </c>
      <c r="E912" s="1146" t="s">
        <v>349</v>
      </c>
      <c r="F912" s="1146"/>
      <c r="G912" s="1146" t="s">
        <v>346</v>
      </c>
      <c r="H912" s="1146"/>
      <c r="I912" s="1146">
        <v>0</v>
      </c>
      <c r="J912" s="1146">
        <v>0</v>
      </c>
      <c r="K912" s="1152">
        <f t="shared" ref="K912:AS912" si="749">IF(K907 + K908 + K909 - K910 - K911 &lt; CHK_TOL, 0, K907 + K908 + K909 - K910 - K911)</f>
        <v>0</v>
      </c>
      <c r="L912" s="1152">
        <f t="shared" si="749"/>
        <v>0</v>
      </c>
      <c r="M912" s="1152">
        <f t="shared" si="749"/>
        <v>0</v>
      </c>
      <c r="N912" s="1152">
        <f t="shared" si="749"/>
        <v>0</v>
      </c>
      <c r="O912" s="1152">
        <f t="shared" si="749"/>
        <v>0</v>
      </c>
      <c r="P912" s="1152">
        <f t="shared" si="749"/>
        <v>0</v>
      </c>
      <c r="Q912" s="1152">
        <f t="shared" si="749"/>
        <v>0</v>
      </c>
      <c r="R912" s="1152">
        <f t="shared" si="749"/>
        <v>0</v>
      </c>
      <c r="S912" s="1152">
        <f t="shared" si="749"/>
        <v>0</v>
      </c>
      <c r="T912" s="1152">
        <f t="shared" si="749"/>
        <v>0</v>
      </c>
      <c r="U912" s="1152">
        <f t="shared" si="749"/>
        <v>0</v>
      </c>
      <c r="V912" s="1152">
        <f t="shared" si="749"/>
        <v>0</v>
      </c>
      <c r="W912" s="1152">
        <f t="shared" si="749"/>
        <v>400</v>
      </c>
      <c r="X912" s="1152">
        <f t="shared" si="749"/>
        <v>344</v>
      </c>
      <c r="Y912" s="1152">
        <f t="shared" si="749"/>
        <v>244</v>
      </c>
      <c r="Z912" s="1152">
        <f t="shared" si="749"/>
        <v>75</v>
      </c>
      <c r="AA912" s="1152">
        <f t="shared" si="749"/>
        <v>60</v>
      </c>
      <c r="AB912" s="1152">
        <f t="shared" si="749"/>
        <v>45</v>
      </c>
      <c r="AC912" s="1152">
        <f t="shared" si="749"/>
        <v>30</v>
      </c>
      <c r="AD912" s="1152">
        <f t="shared" si="749"/>
        <v>15.000000000000002</v>
      </c>
      <c r="AE912" s="1152">
        <f t="shared" si="749"/>
        <v>0</v>
      </c>
      <c r="AF912" s="1152">
        <f t="shared" si="749"/>
        <v>0</v>
      </c>
      <c r="AG912" s="1152">
        <f t="shared" si="749"/>
        <v>0</v>
      </c>
      <c r="AH912" s="1152">
        <f t="shared" si="749"/>
        <v>0</v>
      </c>
      <c r="AI912" s="1152">
        <f t="shared" si="749"/>
        <v>0</v>
      </c>
      <c r="AJ912" s="1152">
        <f t="shared" si="749"/>
        <v>0</v>
      </c>
      <c r="AK912" s="1152">
        <f t="shared" si="749"/>
        <v>0</v>
      </c>
      <c r="AL912" s="1152">
        <f t="shared" si="749"/>
        <v>0</v>
      </c>
      <c r="AM912" s="1152">
        <f t="shared" si="749"/>
        <v>0</v>
      </c>
      <c r="AN912" s="1152">
        <f t="shared" si="749"/>
        <v>0</v>
      </c>
      <c r="AO912" s="1152">
        <f t="shared" si="749"/>
        <v>0</v>
      </c>
      <c r="AP912" s="1152">
        <f t="shared" si="749"/>
        <v>0</v>
      </c>
      <c r="AQ912" s="1152">
        <f t="shared" si="749"/>
        <v>0</v>
      </c>
      <c r="AR912" s="1152">
        <f t="shared" si="749"/>
        <v>0</v>
      </c>
      <c r="AS912" s="1152">
        <f t="shared" si="749"/>
        <v>0</v>
      </c>
    </row>
    <row r="913" spans="1:45" ht="15" customHeight="1" x14ac:dyDescent="0.3">
      <c r="A913" s="129"/>
      <c r="B913" s="129"/>
      <c r="C913" s="130"/>
      <c r="D913" s="106"/>
      <c r="E913" s="256"/>
      <c r="F913" s="256"/>
      <c r="G913" s="256"/>
      <c r="H913" s="256"/>
      <c r="I913" s="256"/>
      <c r="J913" s="256"/>
      <c r="K913" s="256"/>
      <c r="L913" s="256"/>
      <c r="M913" s="256"/>
      <c r="N913" s="256"/>
      <c r="O913" s="256"/>
      <c r="P913" s="256"/>
      <c r="Q913" s="256"/>
      <c r="R913" s="256"/>
      <c r="S913" s="256"/>
      <c r="T913" s="256"/>
      <c r="U913" s="256"/>
      <c r="V913" s="256"/>
      <c r="W913" s="256"/>
      <c r="X913" s="256"/>
      <c r="Y913" s="256"/>
      <c r="Z913" s="256"/>
      <c r="AA913" s="256"/>
      <c r="AB913" s="256"/>
      <c r="AC913" s="256"/>
      <c r="AD913" s="256"/>
      <c r="AE913" s="256"/>
      <c r="AF913" s="256"/>
      <c r="AG913" s="256"/>
      <c r="AH913" s="256"/>
      <c r="AI913" s="256"/>
      <c r="AJ913" s="256"/>
      <c r="AK913" s="256"/>
      <c r="AL913" s="256"/>
      <c r="AM913" s="256"/>
      <c r="AN913" s="256"/>
      <c r="AO913" s="256"/>
      <c r="AP913" s="256"/>
      <c r="AQ913" s="256"/>
      <c r="AR913" s="256"/>
      <c r="AS913" s="256"/>
    </row>
    <row r="914" spans="1:45" ht="15" customHeight="1" x14ac:dyDescent="0.3">
      <c r="A914" s="129"/>
      <c r="B914" s="129"/>
      <c r="C914" s="130"/>
      <c r="D914" s="106"/>
      <c r="E914" s="147" t="str">
        <f xml:space="preserve"> Inputs_Con!E$107</f>
        <v>Interest withholding tax applicable</v>
      </c>
      <c r="F914" s="1210" t="str">
        <f xml:space="preserve"> Inputs_Con!F$107</f>
        <v>No</v>
      </c>
      <c r="G914" s="145" t="str">
        <f xml:space="preserve"> Inputs_Con!G$107</f>
        <v>Selected</v>
      </c>
      <c r="H914" s="256"/>
      <c r="I914" s="256"/>
      <c r="J914" s="256"/>
      <c r="K914" s="256"/>
      <c r="L914" s="256"/>
      <c r="M914" s="256"/>
      <c r="N914" s="256"/>
      <c r="O914" s="256"/>
      <c r="P914" s="256"/>
      <c r="Q914" s="256"/>
      <c r="R914" s="256"/>
      <c r="S914" s="256"/>
      <c r="T914" s="256"/>
      <c r="U914" s="256"/>
      <c r="V914" s="256"/>
      <c r="W914" s="256"/>
      <c r="X914" s="256"/>
      <c r="Y914" s="256"/>
      <c r="Z914" s="256"/>
      <c r="AA914" s="256"/>
      <c r="AB914" s="256"/>
      <c r="AC914" s="256"/>
      <c r="AD914" s="256"/>
      <c r="AE914" s="256"/>
      <c r="AF914" s="256"/>
      <c r="AG914" s="256"/>
      <c r="AH914" s="256"/>
      <c r="AI914" s="256"/>
      <c r="AJ914" s="256"/>
      <c r="AK914" s="256"/>
      <c r="AL914" s="256"/>
      <c r="AM914" s="256"/>
      <c r="AN914" s="256"/>
      <c r="AO914" s="256"/>
      <c r="AP914" s="256"/>
      <c r="AQ914" s="256"/>
      <c r="AR914" s="256"/>
      <c r="AS914" s="256"/>
    </row>
    <row r="915" spans="1:45" ht="15" customHeight="1" x14ac:dyDescent="0.3">
      <c r="F915" s="617" t="s">
        <v>556</v>
      </c>
      <c r="G915" s="615" t="s">
        <v>282</v>
      </c>
      <c r="I915" s="116"/>
      <c r="AL915" s="42"/>
      <c r="AM915" s="42"/>
      <c r="AN915" s="42"/>
      <c r="AO915" s="42"/>
      <c r="AP915" s="42"/>
      <c r="AQ915" s="42"/>
      <c r="AR915" s="42"/>
      <c r="AS915" s="42"/>
    </row>
    <row r="916" spans="1:45" ht="15" customHeight="1" x14ac:dyDescent="0.3">
      <c r="F916" s="617" t="s">
        <v>589</v>
      </c>
      <c r="G916" s="615" t="s">
        <v>282</v>
      </c>
      <c r="I916" s="116"/>
      <c r="AL916" s="42"/>
      <c r="AM916" s="42"/>
      <c r="AN916" s="42"/>
      <c r="AO916" s="42"/>
      <c r="AP916" s="42"/>
      <c r="AQ916" s="42"/>
      <c r="AR916" s="42"/>
      <c r="AS916" s="42"/>
    </row>
    <row r="917" spans="1:45" ht="15" customHeight="1" x14ac:dyDescent="0.3">
      <c r="A917" s="129"/>
      <c r="B917" s="129"/>
      <c r="C917" s="130"/>
      <c r="D917" s="106"/>
      <c r="E917" s="256" t="str">
        <f xml:space="preserve"> Inputs_Con!E$109</f>
        <v>Interest withholding tax</v>
      </c>
      <c r="F917" s="146">
        <f xml:space="preserve"> Inputs_Con!F$109</f>
        <v>0.1</v>
      </c>
      <c r="G917" s="256" t="str">
        <f xml:space="preserve"> Inputs_Con!G$109</f>
        <v>%</v>
      </c>
      <c r="H917" s="256"/>
      <c r="I917" s="256"/>
      <c r="J917" s="256"/>
      <c r="K917" s="256"/>
      <c r="L917" s="256"/>
      <c r="M917" s="256"/>
      <c r="N917" s="256"/>
      <c r="O917" s="256"/>
      <c r="P917" s="256"/>
      <c r="Q917" s="256"/>
      <c r="R917" s="256"/>
      <c r="S917" s="256"/>
      <c r="T917" s="256"/>
      <c r="U917" s="256"/>
      <c r="V917" s="256"/>
      <c r="W917" s="256"/>
      <c r="X917" s="256"/>
      <c r="Y917" s="256"/>
      <c r="Z917" s="256"/>
      <c r="AA917" s="256"/>
      <c r="AB917" s="256"/>
      <c r="AC917" s="256"/>
      <c r="AD917" s="256"/>
      <c r="AE917" s="256"/>
      <c r="AF917" s="256"/>
      <c r="AG917" s="256"/>
      <c r="AH917" s="256"/>
      <c r="AI917" s="256"/>
      <c r="AJ917" s="256"/>
      <c r="AK917" s="256"/>
      <c r="AL917" s="256"/>
      <c r="AM917" s="256"/>
      <c r="AN917" s="256"/>
      <c r="AO917" s="256"/>
      <c r="AP917" s="256"/>
      <c r="AQ917" s="256"/>
      <c r="AR917" s="256"/>
      <c r="AS917" s="256"/>
    </row>
    <row r="918" spans="1:45" ht="15" customHeight="1" x14ac:dyDescent="0.3">
      <c r="A918" s="528"/>
      <c r="B918" s="528"/>
      <c r="C918" s="529"/>
      <c r="D918" s="264"/>
      <c r="E918" s="313" t="s">
        <v>521</v>
      </c>
      <c r="F918" s="628"/>
      <c r="G918" s="313" t="s">
        <v>346</v>
      </c>
      <c r="H918" s="313"/>
      <c r="I918" s="313">
        <f>SUM(K918:AS918)</f>
        <v>0</v>
      </c>
      <c r="J918" s="313"/>
      <c r="K918" s="313">
        <f t="shared" ref="K918:AS918" si="750">($F914 = $F915) * $F917 * K908</f>
        <v>0</v>
      </c>
      <c r="L918" s="313">
        <f t="shared" si="750"/>
        <v>0</v>
      </c>
      <c r="M918" s="313">
        <f t="shared" si="750"/>
        <v>0</v>
      </c>
      <c r="N918" s="313">
        <f t="shared" si="750"/>
        <v>0</v>
      </c>
      <c r="O918" s="313">
        <f t="shared" si="750"/>
        <v>0</v>
      </c>
      <c r="P918" s="313">
        <f t="shared" si="750"/>
        <v>0</v>
      </c>
      <c r="Q918" s="313">
        <f t="shared" si="750"/>
        <v>0</v>
      </c>
      <c r="R918" s="313">
        <f t="shared" si="750"/>
        <v>0</v>
      </c>
      <c r="S918" s="313">
        <f t="shared" si="750"/>
        <v>0</v>
      </c>
      <c r="T918" s="313">
        <f t="shared" si="750"/>
        <v>0</v>
      </c>
      <c r="U918" s="313">
        <f t="shared" si="750"/>
        <v>0</v>
      </c>
      <c r="V918" s="313">
        <f t="shared" si="750"/>
        <v>0</v>
      </c>
      <c r="W918" s="313">
        <f t="shared" si="750"/>
        <v>0</v>
      </c>
      <c r="X918" s="313">
        <f t="shared" si="750"/>
        <v>0</v>
      </c>
      <c r="Y918" s="313">
        <f t="shared" si="750"/>
        <v>0</v>
      </c>
      <c r="Z918" s="313">
        <f t="shared" si="750"/>
        <v>0</v>
      </c>
      <c r="AA918" s="313">
        <f t="shared" si="750"/>
        <v>0</v>
      </c>
      <c r="AB918" s="313">
        <f t="shared" si="750"/>
        <v>0</v>
      </c>
      <c r="AC918" s="313">
        <f t="shared" si="750"/>
        <v>0</v>
      </c>
      <c r="AD918" s="313">
        <f t="shared" si="750"/>
        <v>0</v>
      </c>
      <c r="AE918" s="313">
        <f t="shared" si="750"/>
        <v>0</v>
      </c>
      <c r="AF918" s="313">
        <f t="shared" si="750"/>
        <v>0</v>
      </c>
      <c r="AG918" s="313">
        <f t="shared" si="750"/>
        <v>0</v>
      </c>
      <c r="AH918" s="313">
        <f t="shared" si="750"/>
        <v>0</v>
      </c>
      <c r="AI918" s="313">
        <f t="shared" si="750"/>
        <v>0</v>
      </c>
      <c r="AJ918" s="313">
        <f t="shared" si="750"/>
        <v>0</v>
      </c>
      <c r="AK918" s="313">
        <f t="shared" si="750"/>
        <v>0</v>
      </c>
      <c r="AL918" s="313">
        <f t="shared" si="750"/>
        <v>0</v>
      </c>
      <c r="AM918" s="313">
        <f t="shared" si="750"/>
        <v>0</v>
      </c>
      <c r="AN918" s="313">
        <f t="shared" si="750"/>
        <v>0</v>
      </c>
      <c r="AO918" s="313">
        <f t="shared" si="750"/>
        <v>0</v>
      </c>
      <c r="AP918" s="313">
        <f t="shared" si="750"/>
        <v>0</v>
      </c>
      <c r="AQ918" s="313">
        <f t="shared" si="750"/>
        <v>0</v>
      </c>
      <c r="AR918" s="313">
        <f t="shared" si="750"/>
        <v>0</v>
      </c>
      <c r="AS918" s="313">
        <f t="shared" si="750"/>
        <v>0</v>
      </c>
    </row>
    <row r="919" spans="1:45" ht="15" customHeight="1" x14ac:dyDescent="0.3">
      <c r="A919" s="528"/>
      <c r="B919" s="528"/>
      <c r="C919" s="529"/>
      <c r="D919" s="264"/>
      <c r="E919" s="313"/>
      <c r="F919" s="628"/>
      <c r="G919" s="313"/>
      <c r="H919" s="313"/>
      <c r="I919" s="313"/>
      <c r="J919" s="313"/>
      <c r="K919" s="313"/>
      <c r="L919" s="313"/>
      <c r="M919" s="313"/>
      <c r="N919" s="313"/>
      <c r="O919" s="313"/>
      <c r="P919" s="313"/>
      <c r="Q919" s="313"/>
      <c r="R919" s="313"/>
      <c r="S919" s="313"/>
      <c r="T919" s="313"/>
      <c r="U919" s="313"/>
      <c r="V919" s="313"/>
      <c r="W919" s="313"/>
      <c r="X919" s="313"/>
      <c r="Y919" s="313"/>
      <c r="Z919" s="313"/>
      <c r="AA919" s="313"/>
      <c r="AB919" s="313"/>
      <c r="AC919" s="313"/>
      <c r="AD919" s="313"/>
      <c r="AE919" s="313"/>
      <c r="AF919" s="313"/>
      <c r="AG919" s="313"/>
      <c r="AH919" s="313"/>
      <c r="AI919" s="313"/>
      <c r="AJ919" s="313"/>
      <c r="AK919" s="313"/>
      <c r="AL919" s="313"/>
      <c r="AM919" s="313"/>
      <c r="AN919" s="313"/>
      <c r="AO919" s="313"/>
      <c r="AP919" s="313"/>
      <c r="AQ919" s="313"/>
      <c r="AR919" s="313"/>
      <c r="AS919" s="313"/>
    </row>
    <row r="920" spans="1:45" ht="15" customHeight="1" x14ac:dyDescent="0.3">
      <c r="A920" s="528"/>
      <c r="B920" s="528" t="s">
        <v>662</v>
      </c>
      <c r="C920" s="529"/>
      <c r="D920" s="264"/>
      <c r="E920" s="313"/>
      <c r="F920" s="628"/>
      <c r="G920" s="313"/>
      <c r="H920" s="313"/>
      <c r="I920" s="313"/>
      <c r="J920" s="313"/>
      <c r="K920" s="313"/>
      <c r="L920" s="313"/>
      <c r="M920" s="313"/>
      <c r="N920" s="313"/>
      <c r="O920" s="313"/>
      <c r="P920" s="313"/>
      <c r="Q920" s="313"/>
      <c r="R920" s="313"/>
      <c r="S920" s="313"/>
      <c r="T920" s="313"/>
      <c r="U920" s="313"/>
      <c r="V920" s="313"/>
      <c r="W920" s="313"/>
      <c r="X920" s="313"/>
      <c r="Y920" s="313"/>
      <c r="Z920" s="313"/>
      <c r="AA920" s="313"/>
      <c r="AB920" s="313"/>
      <c r="AC920" s="313"/>
      <c r="AD920" s="313"/>
      <c r="AE920" s="313"/>
      <c r="AF920" s="313"/>
      <c r="AG920" s="313"/>
      <c r="AH920" s="313"/>
      <c r="AI920" s="313"/>
      <c r="AJ920" s="313"/>
      <c r="AK920" s="313"/>
      <c r="AL920" s="313"/>
      <c r="AM920" s="313"/>
      <c r="AN920" s="313"/>
      <c r="AO920" s="313"/>
      <c r="AP920" s="313"/>
      <c r="AQ920" s="313"/>
      <c r="AR920" s="313"/>
      <c r="AS920" s="313"/>
    </row>
    <row r="921" spans="1:45" ht="15" customHeight="1" x14ac:dyDescent="0.3">
      <c r="A921" s="528"/>
      <c r="B921" s="528"/>
      <c r="C921" s="529" t="s">
        <v>664</v>
      </c>
      <c r="D921" s="264"/>
      <c r="E921" s="313"/>
      <c r="F921" s="628"/>
      <c r="G921" s="313"/>
      <c r="H921" s="313"/>
      <c r="I921" s="313"/>
      <c r="J921" s="313"/>
      <c r="K921" s="313"/>
      <c r="L921" s="313"/>
      <c r="M921" s="313"/>
      <c r="N921" s="313"/>
      <c r="O921" s="313"/>
      <c r="P921" s="313"/>
      <c r="Q921" s="313"/>
      <c r="R921" s="313"/>
      <c r="S921" s="313"/>
      <c r="T921" s="313"/>
      <c r="U921" s="313"/>
      <c r="V921" s="313"/>
      <c r="W921" s="313"/>
      <c r="X921" s="313"/>
      <c r="Y921" s="313"/>
      <c r="Z921" s="313"/>
      <c r="AA921" s="313"/>
      <c r="AB921" s="313"/>
      <c r="AC921" s="313"/>
      <c r="AD921" s="313"/>
      <c r="AE921" s="313"/>
      <c r="AF921" s="313"/>
      <c r="AG921" s="313"/>
      <c r="AH921" s="313"/>
      <c r="AI921" s="313"/>
      <c r="AJ921" s="313"/>
      <c r="AK921" s="313"/>
      <c r="AL921" s="313"/>
      <c r="AM921" s="313"/>
      <c r="AN921" s="313"/>
      <c r="AO921" s="313"/>
      <c r="AP921" s="313"/>
      <c r="AQ921" s="313"/>
      <c r="AR921" s="313"/>
      <c r="AS921" s="313"/>
    </row>
    <row r="922" spans="1:45" ht="15" customHeight="1" x14ac:dyDescent="0.3">
      <c r="A922" s="528"/>
      <c r="B922" s="528"/>
      <c r="C922" s="529"/>
      <c r="D922" s="264"/>
      <c r="E922" s="110" t="str">
        <f xml:space="preserve"> E$878</f>
        <v>Total drawdowns</v>
      </c>
      <c r="F922" s="110">
        <f t="shared" ref="F922:O922" si="751" xml:space="preserve"> F$878</f>
        <v>0</v>
      </c>
      <c r="G922" s="110" t="str">
        <f t="shared" si="751"/>
        <v>$ mn</v>
      </c>
      <c r="H922" s="110">
        <f t="shared" si="751"/>
        <v>0</v>
      </c>
      <c r="I922" s="110">
        <f t="shared" si="751"/>
        <v>499</v>
      </c>
      <c r="J922" s="110">
        <f t="shared" si="751"/>
        <v>0</v>
      </c>
      <c r="K922" s="110">
        <f t="shared" si="751"/>
        <v>0</v>
      </c>
      <c r="L922" s="110">
        <f t="shared" si="751"/>
        <v>0</v>
      </c>
      <c r="M922" s="110">
        <f t="shared" si="751"/>
        <v>0</v>
      </c>
      <c r="N922" s="110">
        <f t="shared" si="751"/>
        <v>0</v>
      </c>
      <c r="O922" s="110">
        <f t="shared" si="751"/>
        <v>0</v>
      </c>
      <c r="P922" s="110">
        <f t="shared" ref="P922:AS922" si="752" xml:space="preserve"> P$878</f>
        <v>0</v>
      </c>
      <c r="Q922" s="110">
        <f t="shared" si="752"/>
        <v>0</v>
      </c>
      <c r="R922" s="110">
        <f t="shared" si="752"/>
        <v>0</v>
      </c>
      <c r="S922" s="110">
        <f t="shared" si="752"/>
        <v>0</v>
      </c>
      <c r="T922" s="110">
        <f t="shared" si="752"/>
        <v>0</v>
      </c>
      <c r="U922" s="110">
        <f t="shared" si="752"/>
        <v>0</v>
      </c>
      <c r="V922" s="110">
        <f t="shared" si="752"/>
        <v>99</v>
      </c>
      <c r="W922" s="110">
        <f t="shared" si="752"/>
        <v>400</v>
      </c>
      <c r="X922" s="110">
        <f t="shared" si="752"/>
        <v>0</v>
      </c>
      <c r="Y922" s="110">
        <f t="shared" si="752"/>
        <v>0</v>
      </c>
      <c r="Z922" s="110">
        <f t="shared" si="752"/>
        <v>0</v>
      </c>
      <c r="AA922" s="110">
        <f t="shared" si="752"/>
        <v>0</v>
      </c>
      <c r="AB922" s="110">
        <f t="shared" si="752"/>
        <v>0</v>
      </c>
      <c r="AC922" s="110">
        <f t="shared" si="752"/>
        <v>0</v>
      </c>
      <c r="AD922" s="110">
        <f t="shared" si="752"/>
        <v>0</v>
      </c>
      <c r="AE922" s="110">
        <f t="shared" si="752"/>
        <v>0</v>
      </c>
      <c r="AF922" s="110">
        <f t="shared" si="752"/>
        <v>0</v>
      </c>
      <c r="AG922" s="110">
        <f t="shared" si="752"/>
        <v>0</v>
      </c>
      <c r="AH922" s="110">
        <f t="shared" si="752"/>
        <v>0</v>
      </c>
      <c r="AI922" s="110">
        <f t="shared" si="752"/>
        <v>0</v>
      </c>
      <c r="AJ922" s="110">
        <f t="shared" si="752"/>
        <v>0</v>
      </c>
      <c r="AK922" s="110">
        <f t="shared" si="752"/>
        <v>0</v>
      </c>
      <c r="AL922" s="110">
        <f t="shared" si="752"/>
        <v>0</v>
      </c>
      <c r="AM922" s="110">
        <f t="shared" si="752"/>
        <v>0</v>
      </c>
      <c r="AN922" s="110">
        <f t="shared" si="752"/>
        <v>0</v>
      </c>
      <c r="AO922" s="110">
        <f t="shared" si="752"/>
        <v>0</v>
      </c>
      <c r="AP922" s="110">
        <f t="shared" si="752"/>
        <v>0</v>
      </c>
      <c r="AQ922" s="110">
        <f t="shared" si="752"/>
        <v>0</v>
      </c>
      <c r="AR922" s="110">
        <f t="shared" si="752"/>
        <v>0</v>
      </c>
      <c r="AS922" s="110">
        <f t="shared" si="752"/>
        <v>0</v>
      </c>
    </row>
    <row r="923" spans="1:45" ht="15" customHeight="1" x14ac:dyDescent="0.3">
      <c r="E923" s="40" t="str">
        <f t="shared" ref="E923:AS923" si="753" xml:space="preserve"> E$883</f>
        <v>Total principal repayments</v>
      </c>
      <c r="F923" s="40">
        <f t="shared" si="753"/>
        <v>0</v>
      </c>
      <c r="G923" s="40" t="str">
        <f t="shared" si="753"/>
        <v>$ mn</v>
      </c>
      <c r="H923" s="40">
        <f t="shared" si="753"/>
        <v>0</v>
      </c>
      <c r="I923" s="40">
        <f t="shared" si="753"/>
        <v>499</v>
      </c>
      <c r="J923" s="40">
        <f t="shared" si="753"/>
        <v>0</v>
      </c>
      <c r="K923" s="40">
        <f t="shared" si="753"/>
        <v>0</v>
      </c>
      <c r="L923" s="40">
        <f t="shared" si="753"/>
        <v>0</v>
      </c>
      <c r="M923" s="40">
        <f t="shared" si="753"/>
        <v>0</v>
      </c>
      <c r="N923" s="40">
        <f t="shared" si="753"/>
        <v>0</v>
      </c>
      <c r="O923" s="40">
        <f t="shared" si="753"/>
        <v>0</v>
      </c>
      <c r="P923" s="40">
        <f t="shared" si="753"/>
        <v>0</v>
      </c>
      <c r="Q923" s="40">
        <f t="shared" si="753"/>
        <v>0</v>
      </c>
      <c r="R923" s="40">
        <f t="shared" si="753"/>
        <v>0</v>
      </c>
      <c r="S923" s="40">
        <f t="shared" si="753"/>
        <v>0</v>
      </c>
      <c r="T923" s="40">
        <f t="shared" si="753"/>
        <v>0</v>
      </c>
      <c r="U923" s="40">
        <f t="shared" si="753"/>
        <v>0</v>
      </c>
      <c r="V923" s="40">
        <f t="shared" si="753"/>
        <v>0</v>
      </c>
      <c r="W923" s="40">
        <f t="shared" si="753"/>
        <v>99</v>
      </c>
      <c r="X923" s="40">
        <f t="shared" si="753"/>
        <v>56</v>
      </c>
      <c r="Y923" s="40">
        <f t="shared" si="753"/>
        <v>100</v>
      </c>
      <c r="Z923" s="40">
        <f t="shared" si="753"/>
        <v>169</v>
      </c>
      <c r="AA923" s="40">
        <f t="shared" si="753"/>
        <v>15</v>
      </c>
      <c r="AB923" s="40">
        <f t="shared" si="753"/>
        <v>15</v>
      </c>
      <c r="AC923" s="40">
        <f t="shared" si="753"/>
        <v>15</v>
      </c>
      <c r="AD923" s="40">
        <f t="shared" si="753"/>
        <v>15</v>
      </c>
      <c r="AE923" s="40">
        <f t="shared" si="753"/>
        <v>15</v>
      </c>
      <c r="AF923" s="40">
        <f t="shared" si="753"/>
        <v>0</v>
      </c>
      <c r="AG923" s="40">
        <f t="shared" si="753"/>
        <v>0</v>
      </c>
      <c r="AH923" s="40">
        <f t="shared" si="753"/>
        <v>0</v>
      </c>
      <c r="AI923" s="40">
        <f t="shared" si="753"/>
        <v>0</v>
      </c>
      <c r="AJ923" s="40">
        <f t="shared" si="753"/>
        <v>0</v>
      </c>
      <c r="AK923" s="40">
        <f t="shared" si="753"/>
        <v>0</v>
      </c>
      <c r="AL923" s="40">
        <f t="shared" si="753"/>
        <v>0</v>
      </c>
      <c r="AM923" s="40">
        <f t="shared" si="753"/>
        <v>0</v>
      </c>
      <c r="AN923" s="40">
        <f t="shared" si="753"/>
        <v>0</v>
      </c>
      <c r="AO923" s="40">
        <f t="shared" si="753"/>
        <v>0</v>
      </c>
      <c r="AP923" s="40">
        <f t="shared" si="753"/>
        <v>0</v>
      </c>
      <c r="AQ923" s="40">
        <f t="shared" si="753"/>
        <v>0</v>
      </c>
      <c r="AR923" s="40">
        <f t="shared" si="753"/>
        <v>0</v>
      </c>
      <c r="AS923" s="40">
        <f t="shared" si="753"/>
        <v>0</v>
      </c>
    </row>
    <row r="924" spans="1:45" ht="15" customHeight="1" x14ac:dyDescent="0.3">
      <c r="A924" s="528"/>
      <c r="B924" s="528"/>
      <c r="C924" s="529"/>
      <c r="D924" s="264"/>
      <c r="E924" s="701" t="str">
        <f xml:space="preserve"> E$911</f>
        <v>Interest repayments</v>
      </c>
      <c r="F924" s="701">
        <f t="shared" ref="F924:AS924" si="754" xml:space="preserve"> F$911</f>
        <v>0</v>
      </c>
      <c r="G924" s="701" t="str">
        <f t="shared" si="754"/>
        <v xml:space="preserve">$mn </v>
      </c>
      <c r="H924" s="701">
        <f t="shared" si="754"/>
        <v>0</v>
      </c>
      <c r="I924" s="701">
        <f t="shared" si="754"/>
        <v>39.111939999999997</v>
      </c>
      <c r="J924" s="701">
        <f t="shared" si="754"/>
        <v>0</v>
      </c>
      <c r="K924" s="701">
        <f t="shared" si="754"/>
        <v>0</v>
      </c>
      <c r="L924" s="701">
        <f t="shared" si="754"/>
        <v>0</v>
      </c>
      <c r="M924" s="701">
        <f t="shared" si="754"/>
        <v>0</v>
      </c>
      <c r="N924" s="701">
        <f t="shared" si="754"/>
        <v>0</v>
      </c>
      <c r="O924" s="701">
        <f t="shared" si="754"/>
        <v>0</v>
      </c>
      <c r="P924" s="701">
        <f t="shared" si="754"/>
        <v>0</v>
      </c>
      <c r="Q924" s="701">
        <f t="shared" si="754"/>
        <v>0</v>
      </c>
      <c r="R924" s="701">
        <f t="shared" si="754"/>
        <v>0</v>
      </c>
      <c r="S924" s="701">
        <f t="shared" si="754"/>
        <v>0</v>
      </c>
      <c r="T924" s="701">
        <f t="shared" si="754"/>
        <v>0</v>
      </c>
      <c r="U924" s="701">
        <f t="shared" si="754"/>
        <v>0</v>
      </c>
      <c r="V924" s="701">
        <f t="shared" si="754"/>
        <v>0</v>
      </c>
      <c r="W924" s="701">
        <f t="shared" si="754"/>
        <v>0</v>
      </c>
      <c r="X924" s="701">
        <f t="shared" si="754"/>
        <v>8.7219999999999995</v>
      </c>
      <c r="Y924" s="701">
        <f t="shared" si="754"/>
        <v>12.85872</v>
      </c>
      <c r="Z924" s="701">
        <f t="shared" si="754"/>
        <v>9.1207200000000004</v>
      </c>
      <c r="AA924" s="701">
        <f t="shared" si="754"/>
        <v>2.8035000000000001</v>
      </c>
      <c r="AB924" s="701">
        <f t="shared" si="754"/>
        <v>2.2427999999999999</v>
      </c>
      <c r="AC924" s="701">
        <f t="shared" si="754"/>
        <v>1.6820999999999999</v>
      </c>
      <c r="AD924" s="701">
        <f t="shared" si="754"/>
        <v>1.1214</v>
      </c>
      <c r="AE924" s="701">
        <f t="shared" si="754"/>
        <v>0.56069999999999998</v>
      </c>
      <c r="AF924" s="701">
        <f t="shared" si="754"/>
        <v>0</v>
      </c>
      <c r="AG924" s="701">
        <f t="shared" si="754"/>
        <v>0</v>
      </c>
      <c r="AH924" s="701">
        <f t="shared" si="754"/>
        <v>0</v>
      </c>
      <c r="AI924" s="701">
        <f t="shared" si="754"/>
        <v>0</v>
      </c>
      <c r="AJ924" s="701">
        <f t="shared" si="754"/>
        <v>0</v>
      </c>
      <c r="AK924" s="701">
        <f t="shared" si="754"/>
        <v>0</v>
      </c>
      <c r="AL924" s="701">
        <f t="shared" si="754"/>
        <v>0</v>
      </c>
      <c r="AM924" s="701">
        <f t="shared" si="754"/>
        <v>0</v>
      </c>
      <c r="AN924" s="701">
        <f t="shared" si="754"/>
        <v>0</v>
      </c>
      <c r="AO924" s="701">
        <f t="shared" si="754"/>
        <v>0</v>
      </c>
      <c r="AP924" s="701">
        <f t="shared" si="754"/>
        <v>0</v>
      </c>
      <c r="AQ924" s="701">
        <f t="shared" si="754"/>
        <v>0</v>
      </c>
      <c r="AR924" s="701">
        <f t="shared" si="754"/>
        <v>0</v>
      </c>
      <c r="AS924" s="701">
        <f t="shared" si="754"/>
        <v>0</v>
      </c>
    </row>
    <row r="925" spans="1:45" ht="15" customHeight="1" x14ac:dyDescent="0.3">
      <c r="A925" s="558"/>
      <c r="B925" s="558"/>
      <c r="C925" s="559"/>
      <c r="D925" s="548"/>
      <c r="E925" s="513" t="s">
        <v>663</v>
      </c>
      <c r="F925" s="774"/>
      <c r="G925" s="513" t="s">
        <v>346</v>
      </c>
      <c r="H925" s="513"/>
      <c r="I925" s="513">
        <f>SUM(K925:AS925)</f>
        <v>-39.11193999999999</v>
      </c>
      <c r="J925" s="513"/>
      <c r="K925" s="513">
        <f>K922 - K923 - K924</f>
        <v>0</v>
      </c>
      <c r="L925" s="513">
        <f t="shared" ref="L925:AS925" si="755">L922 - L923 - L924</f>
        <v>0</v>
      </c>
      <c r="M925" s="513">
        <f t="shared" si="755"/>
        <v>0</v>
      </c>
      <c r="N925" s="513">
        <f t="shared" si="755"/>
        <v>0</v>
      </c>
      <c r="O925" s="513">
        <f t="shared" si="755"/>
        <v>0</v>
      </c>
      <c r="P925" s="513">
        <f t="shared" si="755"/>
        <v>0</v>
      </c>
      <c r="Q925" s="513">
        <f t="shared" si="755"/>
        <v>0</v>
      </c>
      <c r="R925" s="513">
        <f t="shared" si="755"/>
        <v>0</v>
      </c>
      <c r="S925" s="513">
        <f t="shared" si="755"/>
        <v>0</v>
      </c>
      <c r="T925" s="513">
        <f t="shared" si="755"/>
        <v>0</v>
      </c>
      <c r="U925" s="513">
        <f t="shared" si="755"/>
        <v>0</v>
      </c>
      <c r="V925" s="513">
        <f t="shared" si="755"/>
        <v>99</v>
      </c>
      <c r="W925" s="513">
        <f t="shared" si="755"/>
        <v>301</v>
      </c>
      <c r="X925" s="513">
        <f t="shared" si="755"/>
        <v>-64.721999999999994</v>
      </c>
      <c r="Y925" s="513">
        <f t="shared" si="755"/>
        <v>-112.85872000000001</v>
      </c>
      <c r="Z925" s="513">
        <f t="shared" si="755"/>
        <v>-178.12072000000001</v>
      </c>
      <c r="AA925" s="513">
        <f t="shared" si="755"/>
        <v>-17.8035</v>
      </c>
      <c r="AB925" s="513">
        <f t="shared" si="755"/>
        <v>-17.242799999999999</v>
      </c>
      <c r="AC925" s="513">
        <f t="shared" si="755"/>
        <v>-16.682099999999998</v>
      </c>
      <c r="AD925" s="513">
        <f t="shared" si="755"/>
        <v>-16.121400000000001</v>
      </c>
      <c r="AE925" s="513">
        <f t="shared" si="755"/>
        <v>-15.560700000000001</v>
      </c>
      <c r="AF925" s="513">
        <f t="shared" si="755"/>
        <v>0</v>
      </c>
      <c r="AG925" s="513">
        <f t="shared" si="755"/>
        <v>0</v>
      </c>
      <c r="AH925" s="513">
        <f t="shared" si="755"/>
        <v>0</v>
      </c>
      <c r="AI925" s="513">
        <f t="shared" si="755"/>
        <v>0</v>
      </c>
      <c r="AJ925" s="513">
        <f t="shared" si="755"/>
        <v>0</v>
      </c>
      <c r="AK925" s="513">
        <f t="shared" si="755"/>
        <v>0</v>
      </c>
      <c r="AL925" s="513">
        <f t="shared" si="755"/>
        <v>0</v>
      </c>
      <c r="AM925" s="513">
        <f t="shared" si="755"/>
        <v>0</v>
      </c>
      <c r="AN925" s="513">
        <f t="shared" si="755"/>
        <v>0</v>
      </c>
      <c r="AO925" s="513">
        <f t="shared" si="755"/>
        <v>0</v>
      </c>
      <c r="AP925" s="513">
        <f t="shared" si="755"/>
        <v>0</v>
      </c>
      <c r="AQ925" s="513">
        <f t="shared" si="755"/>
        <v>0</v>
      </c>
      <c r="AR925" s="513">
        <f t="shared" si="755"/>
        <v>0</v>
      </c>
      <c r="AS925" s="513">
        <f t="shared" si="755"/>
        <v>0</v>
      </c>
    </row>
    <row r="926" spans="1:45" ht="15" customHeight="1" x14ac:dyDescent="0.3">
      <c r="A926" s="528"/>
      <c r="B926" s="528"/>
      <c r="C926" s="529"/>
      <c r="D926" s="264"/>
      <c r="E926" s="313"/>
      <c r="F926" s="628"/>
      <c r="G926" s="313"/>
      <c r="H926" s="313"/>
      <c r="I926" s="313"/>
      <c r="J926" s="313"/>
      <c r="K926" s="313"/>
      <c r="L926" s="313"/>
      <c r="M926" s="313"/>
      <c r="N926" s="313"/>
      <c r="O926" s="313"/>
      <c r="P926" s="313"/>
      <c r="Q926" s="313"/>
      <c r="R926" s="313"/>
      <c r="S926" s="313"/>
      <c r="T926" s="313"/>
      <c r="U926" s="313"/>
      <c r="V926" s="313"/>
      <c r="W926" s="313"/>
      <c r="X926" s="313"/>
      <c r="Y926" s="313"/>
      <c r="Z926" s="313"/>
      <c r="AA926" s="313"/>
      <c r="AB926" s="313"/>
      <c r="AC926" s="313"/>
      <c r="AD926" s="313"/>
      <c r="AE926" s="313"/>
      <c r="AF926" s="313"/>
      <c r="AG926" s="313"/>
      <c r="AH926" s="313"/>
      <c r="AI926" s="313"/>
      <c r="AJ926" s="313"/>
      <c r="AK926" s="313"/>
      <c r="AL926" s="313"/>
      <c r="AM926" s="313"/>
      <c r="AN926" s="313"/>
      <c r="AO926" s="313"/>
      <c r="AP926" s="313"/>
      <c r="AQ926" s="313"/>
      <c r="AR926" s="313"/>
      <c r="AS926" s="313"/>
    </row>
    <row r="927" spans="1:45" ht="15" customHeight="1" x14ac:dyDescent="0.3">
      <c r="A927" s="528"/>
      <c r="B927" s="528"/>
      <c r="C927" s="529" t="s">
        <v>665</v>
      </c>
      <c r="D927" s="264"/>
      <c r="E927" s="313"/>
      <c r="F927" s="628"/>
      <c r="G927" s="313"/>
      <c r="H927" s="313"/>
      <c r="I927" s="313"/>
      <c r="J927" s="313"/>
      <c r="K927" s="313"/>
      <c r="L927" s="313"/>
      <c r="M927" s="313"/>
      <c r="N927" s="313"/>
      <c r="O927" s="313"/>
      <c r="P927" s="313"/>
      <c r="Q927" s="313"/>
      <c r="R927" s="313"/>
      <c r="S927" s="313"/>
      <c r="T927" s="313"/>
      <c r="U927" s="313"/>
      <c r="V927" s="313"/>
      <c r="W927" s="313"/>
      <c r="X927" s="313"/>
      <c r="Y927" s="313"/>
      <c r="Z927" s="313"/>
      <c r="AA927" s="313"/>
      <c r="AB927" s="313"/>
      <c r="AC927" s="313"/>
      <c r="AD927" s="313"/>
      <c r="AE927" s="313"/>
      <c r="AF927" s="313"/>
      <c r="AG927" s="313"/>
      <c r="AH927" s="313"/>
      <c r="AI927" s="313"/>
      <c r="AJ927" s="313"/>
      <c r="AK927" s="313"/>
      <c r="AL927" s="313"/>
      <c r="AM927" s="313"/>
      <c r="AN927" s="313"/>
      <c r="AO927" s="313"/>
      <c r="AP927" s="313"/>
      <c r="AQ927" s="313"/>
      <c r="AR927" s="313"/>
      <c r="AS927" s="313"/>
    </row>
    <row r="928" spans="1:45" ht="15" customHeight="1" x14ac:dyDescent="0.3">
      <c r="E928" s="40" t="str">
        <f t="shared" ref="E928:AS928" si="756" xml:space="preserve"> E$883</f>
        <v>Total principal repayments</v>
      </c>
      <c r="F928" s="40">
        <f t="shared" si="756"/>
        <v>0</v>
      </c>
      <c r="G928" s="40" t="str">
        <f t="shared" si="756"/>
        <v>$ mn</v>
      </c>
      <c r="H928" s="40">
        <f t="shared" si="756"/>
        <v>0</v>
      </c>
      <c r="I928" s="40">
        <f t="shared" si="756"/>
        <v>499</v>
      </c>
      <c r="J928" s="40">
        <f t="shared" si="756"/>
        <v>0</v>
      </c>
      <c r="K928" s="40">
        <f t="shared" si="756"/>
        <v>0</v>
      </c>
      <c r="L928" s="40">
        <f t="shared" si="756"/>
        <v>0</v>
      </c>
      <c r="M928" s="40">
        <f t="shared" si="756"/>
        <v>0</v>
      </c>
      <c r="N928" s="40">
        <f t="shared" si="756"/>
        <v>0</v>
      </c>
      <c r="O928" s="40">
        <f t="shared" si="756"/>
        <v>0</v>
      </c>
      <c r="P928" s="40">
        <f t="shared" si="756"/>
        <v>0</v>
      </c>
      <c r="Q928" s="40">
        <f t="shared" si="756"/>
        <v>0</v>
      </c>
      <c r="R928" s="40">
        <f t="shared" si="756"/>
        <v>0</v>
      </c>
      <c r="S928" s="40">
        <f t="shared" si="756"/>
        <v>0</v>
      </c>
      <c r="T928" s="40">
        <f t="shared" si="756"/>
        <v>0</v>
      </c>
      <c r="U928" s="40">
        <f t="shared" si="756"/>
        <v>0</v>
      </c>
      <c r="V928" s="40">
        <f t="shared" si="756"/>
        <v>0</v>
      </c>
      <c r="W928" s="40">
        <f t="shared" si="756"/>
        <v>99</v>
      </c>
      <c r="X928" s="40">
        <f t="shared" si="756"/>
        <v>56</v>
      </c>
      <c r="Y928" s="40">
        <f t="shared" si="756"/>
        <v>100</v>
      </c>
      <c r="Z928" s="40">
        <f t="shared" si="756"/>
        <v>169</v>
      </c>
      <c r="AA928" s="40">
        <f t="shared" si="756"/>
        <v>15</v>
      </c>
      <c r="AB928" s="40">
        <f t="shared" si="756"/>
        <v>15</v>
      </c>
      <c r="AC928" s="40">
        <f t="shared" si="756"/>
        <v>15</v>
      </c>
      <c r="AD928" s="40">
        <f t="shared" si="756"/>
        <v>15</v>
      </c>
      <c r="AE928" s="40">
        <f t="shared" si="756"/>
        <v>15</v>
      </c>
      <c r="AF928" s="40">
        <f t="shared" si="756"/>
        <v>0</v>
      </c>
      <c r="AG928" s="40">
        <f t="shared" si="756"/>
        <v>0</v>
      </c>
      <c r="AH928" s="40">
        <f t="shared" si="756"/>
        <v>0</v>
      </c>
      <c r="AI928" s="40">
        <f t="shared" si="756"/>
        <v>0</v>
      </c>
      <c r="AJ928" s="40">
        <f t="shared" si="756"/>
        <v>0</v>
      </c>
      <c r="AK928" s="40">
        <f t="shared" si="756"/>
        <v>0</v>
      </c>
      <c r="AL928" s="40">
        <f t="shared" si="756"/>
        <v>0</v>
      </c>
      <c r="AM928" s="40">
        <f t="shared" si="756"/>
        <v>0</v>
      </c>
      <c r="AN928" s="40">
        <f t="shared" si="756"/>
        <v>0</v>
      </c>
      <c r="AO928" s="40">
        <f t="shared" si="756"/>
        <v>0</v>
      </c>
      <c r="AP928" s="40">
        <f t="shared" si="756"/>
        <v>0</v>
      </c>
      <c r="AQ928" s="40">
        <f t="shared" si="756"/>
        <v>0</v>
      </c>
      <c r="AR928" s="40">
        <f t="shared" si="756"/>
        <v>0</v>
      </c>
      <c r="AS928" s="40">
        <f t="shared" si="756"/>
        <v>0</v>
      </c>
    </row>
    <row r="929" spans="1:45" ht="15" customHeight="1" x14ac:dyDescent="0.3">
      <c r="A929" s="528"/>
      <c r="B929" s="528"/>
      <c r="C929" s="529"/>
      <c r="D929" s="264"/>
      <c r="E929" s="701" t="str">
        <f xml:space="preserve"> E$911</f>
        <v>Interest repayments</v>
      </c>
      <c r="F929" s="701">
        <f t="shared" ref="F929:AS929" si="757" xml:space="preserve"> F$911</f>
        <v>0</v>
      </c>
      <c r="G929" s="701" t="str">
        <f t="shared" si="757"/>
        <v xml:space="preserve">$mn </v>
      </c>
      <c r="H929" s="701">
        <f t="shared" si="757"/>
        <v>0</v>
      </c>
      <c r="I929" s="701">
        <f t="shared" si="757"/>
        <v>39.111939999999997</v>
      </c>
      <c r="J929" s="701">
        <f t="shared" si="757"/>
        <v>0</v>
      </c>
      <c r="K929" s="701">
        <f t="shared" si="757"/>
        <v>0</v>
      </c>
      <c r="L929" s="701">
        <f t="shared" si="757"/>
        <v>0</v>
      </c>
      <c r="M929" s="701">
        <f t="shared" si="757"/>
        <v>0</v>
      </c>
      <c r="N929" s="701">
        <f t="shared" si="757"/>
        <v>0</v>
      </c>
      <c r="O929" s="701">
        <f t="shared" si="757"/>
        <v>0</v>
      </c>
      <c r="P929" s="701">
        <f t="shared" si="757"/>
        <v>0</v>
      </c>
      <c r="Q929" s="701">
        <f t="shared" si="757"/>
        <v>0</v>
      </c>
      <c r="R929" s="701">
        <f t="shared" si="757"/>
        <v>0</v>
      </c>
      <c r="S929" s="701">
        <f t="shared" si="757"/>
        <v>0</v>
      </c>
      <c r="T929" s="701">
        <f t="shared" si="757"/>
        <v>0</v>
      </c>
      <c r="U929" s="701">
        <f t="shared" si="757"/>
        <v>0</v>
      </c>
      <c r="V929" s="701">
        <f t="shared" si="757"/>
        <v>0</v>
      </c>
      <c r="W929" s="701">
        <f t="shared" si="757"/>
        <v>0</v>
      </c>
      <c r="X929" s="701">
        <f t="shared" si="757"/>
        <v>8.7219999999999995</v>
      </c>
      <c r="Y929" s="701">
        <f t="shared" si="757"/>
        <v>12.85872</v>
      </c>
      <c r="Z929" s="701">
        <f t="shared" si="757"/>
        <v>9.1207200000000004</v>
      </c>
      <c r="AA929" s="701">
        <f t="shared" si="757"/>
        <v>2.8035000000000001</v>
      </c>
      <c r="AB929" s="701">
        <f t="shared" si="757"/>
        <v>2.2427999999999999</v>
      </c>
      <c r="AC929" s="701">
        <f t="shared" si="757"/>
        <v>1.6820999999999999</v>
      </c>
      <c r="AD929" s="701">
        <f t="shared" si="757"/>
        <v>1.1214</v>
      </c>
      <c r="AE929" s="701">
        <f t="shared" si="757"/>
        <v>0.56069999999999998</v>
      </c>
      <c r="AF929" s="701">
        <f t="shared" si="757"/>
        <v>0</v>
      </c>
      <c r="AG929" s="701">
        <f t="shared" si="757"/>
        <v>0</v>
      </c>
      <c r="AH929" s="701">
        <f t="shared" si="757"/>
        <v>0</v>
      </c>
      <c r="AI929" s="701">
        <f t="shared" si="757"/>
        <v>0</v>
      </c>
      <c r="AJ929" s="701">
        <f t="shared" si="757"/>
        <v>0</v>
      </c>
      <c r="AK929" s="701">
        <f t="shared" si="757"/>
        <v>0</v>
      </c>
      <c r="AL929" s="701">
        <f t="shared" si="757"/>
        <v>0</v>
      </c>
      <c r="AM929" s="701">
        <f t="shared" si="757"/>
        <v>0</v>
      </c>
      <c r="AN929" s="701">
        <f t="shared" si="757"/>
        <v>0</v>
      </c>
      <c r="AO929" s="701">
        <f t="shared" si="757"/>
        <v>0</v>
      </c>
      <c r="AP929" s="701">
        <f t="shared" si="757"/>
        <v>0</v>
      </c>
      <c r="AQ929" s="701">
        <f t="shared" si="757"/>
        <v>0</v>
      </c>
      <c r="AR929" s="701">
        <f t="shared" si="757"/>
        <v>0</v>
      </c>
      <c r="AS929" s="701">
        <f t="shared" si="757"/>
        <v>0</v>
      </c>
    </row>
    <row r="930" spans="1:45" ht="15" customHeight="1" x14ac:dyDescent="0.3">
      <c r="A930" s="528"/>
      <c r="B930" s="528"/>
      <c r="C930" s="529"/>
      <c r="D930" s="264"/>
      <c r="E930" s="110" t="str">
        <f xml:space="preserve"> E$878</f>
        <v>Total drawdowns</v>
      </c>
      <c r="F930" s="110">
        <f t="shared" ref="F930:O930" si="758" xml:space="preserve"> F$878</f>
        <v>0</v>
      </c>
      <c r="G930" s="110" t="str">
        <f t="shared" si="758"/>
        <v>$ mn</v>
      </c>
      <c r="H930" s="110">
        <f t="shared" si="758"/>
        <v>0</v>
      </c>
      <c r="I930" s="110">
        <f t="shared" si="758"/>
        <v>499</v>
      </c>
      <c r="J930" s="110">
        <f t="shared" si="758"/>
        <v>0</v>
      </c>
      <c r="K930" s="110">
        <f t="shared" si="758"/>
        <v>0</v>
      </c>
      <c r="L930" s="110">
        <f t="shared" si="758"/>
        <v>0</v>
      </c>
      <c r="M930" s="110">
        <f t="shared" si="758"/>
        <v>0</v>
      </c>
      <c r="N930" s="110">
        <f t="shared" si="758"/>
        <v>0</v>
      </c>
      <c r="O930" s="110">
        <f t="shared" si="758"/>
        <v>0</v>
      </c>
      <c r="P930" s="110">
        <f t="shared" ref="P930:AS930" si="759" xml:space="preserve"> P$878</f>
        <v>0</v>
      </c>
      <c r="Q930" s="110">
        <f t="shared" si="759"/>
        <v>0</v>
      </c>
      <c r="R930" s="110">
        <f t="shared" si="759"/>
        <v>0</v>
      </c>
      <c r="S930" s="110">
        <f t="shared" si="759"/>
        <v>0</v>
      </c>
      <c r="T930" s="110">
        <f t="shared" si="759"/>
        <v>0</v>
      </c>
      <c r="U930" s="110">
        <f t="shared" si="759"/>
        <v>0</v>
      </c>
      <c r="V930" s="110">
        <f t="shared" si="759"/>
        <v>99</v>
      </c>
      <c r="W930" s="110">
        <f t="shared" si="759"/>
        <v>400</v>
      </c>
      <c r="X930" s="110">
        <f t="shared" si="759"/>
        <v>0</v>
      </c>
      <c r="Y930" s="110">
        <f t="shared" si="759"/>
        <v>0</v>
      </c>
      <c r="Z930" s="110">
        <f t="shared" si="759"/>
        <v>0</v>
      </c>
      <c r="AA930" s="110">
        <f t="shared" si="759"/>
        <v>0</v>
      </c>
      <c r="AB930" s="110">
        <f t="shared" si="759"/>
        <v>0</v>
      </c>
      <c r="AC930" s="110">
        <f t="shared" si="759"/>
        <v>0</v>
      </c>
      <c r="AD930" s="110">
        <f t="shared" si="759"/>
        <v>0</v>
      </c>
      <c r="AE930" s="110">
        <f t="shared" si="759"/>
        <v>0</v>
      </c>
      <c r="AF930" s="110">
        <f t="shared" si="759"/>
        <v>0</v>
      </c>
      <c r="AG930" s="110">
        <f t="shared" si="759"/>
        <v>0</v>
      </c>
      <c r="AH930" s="110">
        <f t="shared" si="759"/>
        <v>0</v>
      </c>
      <c r="AI930" s="110">
        <f t="shared" si="759"/>
        <v>0</v>
      </c>
      <c r="AJ930" s="110">
        <f t="shared" si="759"/>
        <v>0</v>
      </c>
      <c r="AK930" s="110">
        <f t="shared" si="759"/>
        <v>0</v>
      </c>
      <c r="AL930" s="110">
        <f t="shared" si="759"/>
        <v>0</v>
      </c>
      <c r="AM930" s="110">
        <f t="shared" si="759"/>
        <v>0</v>
      </c>
      <c r="AN930" s="110">
        <f t="shared" si="759"/>
        <v>0</v>
      </c>
      <c r="AO930" s="110">
        <f t="shared" si="759"/>
        <v>0</v>
      </c>
      <c r="AP930" s="110">
        <f t="shared" si="759"/>
        <v>0</v>
      </c>
      <c r="AQ930" s="110">
        <f t="shared" si="759"/>
        <v>0</v>
      </c>
      <c r="AR930" s="110">
        <f t="shared" si="759"/>
        <v>0</v>
      </c>
      <c r="AS930" s="110">
        <f t="shared" si="759"/>
        <v>0</v>
      </c>
    </row>
    <row r="931" spans="1:45" ht="15" customHeight="1" x14ac:dyDescent="0.3">
      <c r="A931" s="528"/>
      <c r="B931" s="528"/>
      <c r="C931" s="529"/>
      <c r="D931" s="264"/>
      <c r="E931" s="701" t="str">
        <f xml:space="preserve"> E$918</f>
        <v>Interest withholding tax</v>
      </c>
      <c r="F931" s="701">
        <f t="shared" ref="F931:O931" si="760" xml:space="preserve"> F$918</f>
        <v>0</v>
      </c>
      <c r="G931" s="701" t="str">
        <f t="shared" si="760"/>
        <v>$ mn</v>
      </c>
      <c r="H931" s="701">
        <f t="shared" si="760"/>
        <v>0</v>
      </c>
      <c r="I931" s="701">
        <f t="shared" si="760"/>
        <v>0</v>
      </c>
      <c r="J931" s="701">
        <f t="shared" si="760"/>
        <v>0</v>
      </c>
      <c r="K931" s="701">
        <f t="shared" si="760"/>
        <v>0</v>
      </c>
      <c r="L931" s="701">
        <f t="shared" si="760"/>
        <v>0</v>
      </c>
      <c r="M931" s="701">
        <f t="shared" si="760"/>
        <v>0</v>
      </c>
      <c r="N931" s="701">
        <f t="shared" si="760"/>
        <v>0</v>
      </c>
      <c r="O931" s="701">
        <f t="shared" si="760"/>
        <v>0</v>
      </c>
      <c r="P931" s="701">
        <f t="shared" ref="P931:AS931" si="761" xml:space="preserve"> P$918</f>
        <v>0</v>
      </c>
      <c r="Q931" s="701">
        <f t="shared" si="761"/>
        <v>0</v>
      </c>
      <c r="R931" s="701">
        <f t="shared" si="761"/>
        <v>0</v>
      </c>
      <c r="S931" s="701">
        <f t="shared" si="761"/>
        <v>0</v>
      </c>
      <c r="T931" s="701">
        <f t="shared" si="761"/>
        <v>0</v>
      </c>
      <c r="U931" s="701">
        <f t="shared" si="761"/>
        <v>0</v>
      </c>
      <c r="V931" s="701">
        <f t="shared" si="761"/>
        <v>0</v>
      </c>
      <c r="W931" s="701">
        <f t="shared" si="761"/>
        <v>0</v>
      </c>
      <c r="X931" s="701">
        <f t="shared" si="761"/>
        <v>0</v>
      </c>
      <c r="Y931" s="701">
        <f t="shared" si="761"/>
        <v>0</v>
      </c>
      <c r="Z931" s="701">
        <f t="shared" si="761"/>
        <v>0</v>
      </c>
      <c r="AA931" s="701">
        <f t="shared" si="761"/>
        <v>0</v>
      </c>
      <c r="AB931" s="701">
        <f t="shared" si="761"/>
        <v>0</v>
      </c>
      <c r="AC931" s="701">
        <f t="shared" si="761"/>
        <v>0</v>
      </c>
      <c r="AD931" s="701">
        <f t="shared" si="761"/>
        <v>0</v>
      </c>
      <c r="AE931" s="701">
        <f t="shared" si="761"/>
        <v>0</v>
      </c>
      <c r="AF931" s="701">
        <f t="shared" si="761"/>
        <v>0</v>
      </c>
      <c r="AG931" s="701">
        <f t="shared" si="761"/>
        <v>0</v>
      </c>
      <c r="AH931" s="701">
        <f t="shared" si="761"/>
        <v>0</v>
      </c>
      <c r="AI931" s="701">
        <f t="shared" si="761"/>
        <v>0</v>
      </c>
      <c r="AJ931" s="701">
        <f t="shared" si="761"/>
        <v>0</v>
      </c>
      <c r="AK931" s="701">
        <f t="shared" si="761"/>
        <v>0</v>
      </c>
      <c r="AL931" s="701">
        <f t="shared" si="761"/>
        <v>0</v>
      </c>
      <c r="AM931" s="701">
        <f t="shared" si="761"/>
        <v>0</v>
      </c>
      <c r="AN931" s="701">
        <f t="shared" si="761"/>
        <v>0</v>
      </c>
      <c r="AO931" s="701">
        <f t="shared" si="761"/>
        <v>0</v>
      </c>
      <c r="AP931" s="701">
        <f t="shared" si="761"/>
        <v>0</v>
      </c>
      <c r="AQ931" s="701">
        <f t="shared" si="761"/>
        <v>0</v>
      </c>
      <c r="AR931" s="701">
        <f t="shared" si="761"/>
        <v>0</v>
      </c>
      <c r="AS931" s="701">
        <f t="shared" si="761"/>
        <v>0</v>
      </c>
    </row>
    <row r="932" spans="1:45" ht="15" customHeight="1" x14ac:dyDescent="0.3">
      <c r="A932" s="533"/>
      <c r="B932" s="533"/>
      <c r="C932" s="534"/>
      <c r="D932" s="535"/>
      <c r="E932" s="306" t="s">
        <v>666</v>
      </c>
      <c r="F932" s="700"/>
      <c r="G932" s="306" t="s">
        <v>346</v>
      </c>
      <c r="H932" s="306"/>
      <c r="I932" s="306">
        <f>SUM(K932:AS932)</f>
        <v>39.11193999999999</v>
      </c>
      <c r="J932" s="306"/>
      <c r="K932" s="306">
        <f>K928 + K929 - K930 - K931</f>
        <v>0</v>
      </c>
      <c r="L932" s="306">
        <f t="shared" ref="L932:AS932" si="762">L928 + L929 - L930 - L931</f>
        <v>0</v>
      </c>
      <c r="M932" s="306">
        <f t="shared" si="762"/>
        <v>0</v>
      </c>
      <c r="N932" s="306">
        <f t="shared" si="762"/>
        <v>0</v>
      </c>
      <c r="O932" s="306">
        <f t="shared" si="762"/>
        <v>0</v>
      </c>
      <c r="P932" s="306">
        <f t="shared" si="762"/>
        <v>0</v>
      </c>
      <c r="Q932" s="306">
        <f t="shared" si="762"/>
        <v>0</v>
      </c>
      <c r="R932" s="306">
        <f t="shared" si="762"/>
        <v>0</v>
      </c>
      <c r="S932" s="306">
        <f t="shared" si="762"/>
        <v>0</v>
      </c>
      <c r="T932" s="306">
        <f t="shared" si="762"/>
        <v>0</v>
      </c>
      <c r="U932" s="306">
        <f t="shared" si="762"/>
        <v>0</v>
      </c>
      <c r="V932" s="306">
        <f t="shared" si="762"/>
        <v>-99</v>
      </c>
      <c r="W932" s="306">
        <f t="shared" si="762"/>
        <v>-301</v>
      </c>
      <c r="X932" s="306">
        <f t="shared" si="762"/>
        <v>64.721999999999994</v>
      </c>
      <c r="Y932" s="306">
        <f t="shared" si="762"/>
        <v>112.85872000000001</v>
      </c>
      <c r="Z932" s="306">
        <f t="shared" si="762"/>
        <v>178.12072000000001</v>
      </c>
      <c r="AA932" s="306">
        <f t="shared" si="762"/>
        <v>17.8035</v>
      </c>
      <c r="AB932" s="306">
        <f t="shared" si="762"/>
        <v>17.242799999999999</v>
      </c>
      <c r="AC932" s="306">
        <f t="shared" si="762"/>
        <v>16.682099999999998</v>
      </c>
      <c r="AD932" s="306">
        <f t="shared" si="762"/>
        <v>16.121400000000001</v>
      </c>
      <c r="AE932" s="306">
        <f t="shared" si="762"/>
        <v>15.560700000000001</v>
      </c>
      <c r="AF932" s="306">
        <f t="shared" si="762"/>
        <v>0</v>
      </c>
      <c r="AG932" s="306">
        <f t="shared" si="762"/>
        <v>0</v>
      </c>
      <c r="AH932" s="306">
        <f t="shared" si="762"/>
        <v>0</v>
      </c>
      <c r="AI932" s="306">
        <f t="shared" si="762"/>
        <v>0</v>
      </c>
      <c r="AJ932" s="306">
        <f t="shared" si="762"/>
        <v>0</v>
      </c>
      <c r="AK932" s="306">
        <f t="shared" si="762"/>
        <v>0</v>
      </c>
      <c r="AL932" s="306">
        <f t="shared" si="762"/>
        <v>0</v>
      </c>
      <c r="AM932" s="306">
        <f t="shared" si="762"/>
        <v>0</v>
      </c>
      <c r="AN932" s="306">
        <f t="shared" si="762"/>
        <v>0</v>
      </c>
      <c r="AO932" s="306">
        <f t="shared" si="762"/>
        <v>0</v>
      </c>
      <c r="AP932" s="306">
        <f t="shared" si="762"/>
        <v>0</v>
      </c>
      <c r="AQ932" s="306">
        <f t="shared" si="762"/>
        <v>0</v>
      </c>
      <c r="AR932" s="306">
        <f t="shared" si="762"/>
        <v>0</v>
      </c>
      <c r="AS932" s="306">
        <f t="shared" si="762"/>
        <v>0</v>
      </c>
    </row>
    <row r="933" spans="1:45" ht="15" customHeight="1" x14ac:dyDescent="0.3">
      <c r="A933" s="528"/>
      <c r="B933" s="528"/>
      <c r="C933" s="529"/>
      <c r="D933" s="264"/>
      <c r="E933" s="313"/>
      <c r="F933" s="628"/>
      <c r="G933" s="313"/>
      <c r="H933" s="313"/>
      <c r="I933" s="313"/>
      <c r="J933" s="313"/>
      <c r="K933" s="313"/>
      <c r="L933" s="313"/>
      <c r="M933" s="313"/>
      <c r="N933" s="313"/>
      <c r="O933" s="313"/>
      <c r="P933" s="313"/>
      <c r="Q933" s="313"/>
      <c r="R933" s="313"/>
      <c r="S933" s="313"/>
      <c r="T933" s="313"/>
      <c r="U933" s="313"/>
      <c r="V933" s="313"/>
      <c r="W933" s="313"/>
      <c r="X933" s="313"/>
      <c r="Y933" s="313"/>
      <c r="Z933" s="313"/>
      <c r="AA933" s="313"/>
      <c r="AB933" s="313"/>
      <c r="AC933" s="313"/>
      <c r="AD933" s="313"/>
      <c r="AE933" s="313"/>
      <c r="AF933" s="313"/>
      <c r="AG933" s="313"/>
      <c r="AH933" s="313"/>
      <c r="AI933" s="313"/>
      <c r="AJ933" s="313"/>
      <c r="AK933" s="313"/>
      <c r="AL933" s="313"/>
      <c r="AM933" s="313"/>
      <c r="AN933" s="313"/>
      <c r="AO933" s="313"/>
      <c r="AP933" s="313"/>
      <c r="AQ933" s="313"/>
      <c r="AR933" s="313"/>
      <c r="AS933" s="313"/>
    </row>
    <row r="934" spans="1:45" ht="15" customHeight="1" collapsed="1" x14ac:dyDescent="0.3">
      <c r="A934" s="15" t="s">
        <v>820</v>
      </c>
      <c r="B934" s="119"/>
      <c r="C934" s="120"/>
      <c r="D934" s="121"/>
      <c r="E934" s="119"/>
      <c r="F934" s="119"/>
      <c r="G934" s="119"/>
      <c r="H934" s="119"/>
      <c r="I934" s="119"/>
      <c r="J934" s="16"/>
      <c r="K934" s="16"/>
      <c r="L934" s="16"/>
      <c r="M934" s="16"/>
      <c r="N934" s="16"/>
      <c r="O934" s="16"/>
      <c r="P934" s="16"/>
      <c r="Q934" s="16"/>
      <c r="R934" s="16"/>
      <c r="S934" s="16"/>
      <c r="T934" s="16"/>
      <c r="U934" s="16"/>
      <c r="V934" s="16"/>
      <c r="W934" s="16"/>
      <c r="X934" s="16"/>
      <c r="Y934" s="16"/>
      <c r="Z934" s="16"/>
      <c r="AA934" s="16"/>
      <c r="AB934" s="16"/>
      <c r="AC934" s="16"/>
      <c r="AD934" s="16"/>
      <c r="AE934" s="16"/>
      <c r="AF934" s="16"/>
      <c r="AG934" s="16"/>
      <c r="AH934" s="16"/>
      <c r="AI934" s="16"/>
      <c r="AJ934" s="16"/>
      <c r="AK934" s="16"/>
      <c r="AL934" s="16"/>
      <c r="AM934" s="16"/>
      <c r="AN934" s="16"/>
      <c r="AO934" s="16"/>
      <c r="AP934" s="16"/>
      <c r="AQ934" s="16"/>
      <c r="AR934" s="16"/>
      <c r="AS934" s="16"/>
    </row>
    <row r="935" spans="1:45" ht="15" customHeight="1" x14ac:dyDescent="0.3">
      <c r="A935" s="129"/>
      <c r="B935" s="129"/>
      <c r="C935" s="130"/>
      <c r="D935" s="106"/>
      <c r="E935" s="256"/>
      <c r="F935" s="146"/>
      <c r="G935" s="256"/>
      <c r="H935" s="256"/>
      <c r="I935" s="256"/>
      <c r="J935" s="256"/>
      <c r="K935" s="256"/>
      <c r="L935" s="256"/>
      <c r="M935" s="256"/>
      <c r="N935" s="256"/>
      <c r="O935" s="256"/>
      <c r="P935" s="256"/>
      <c r="Q935" s="256"/>
      <c r="R935" s="256"/>
      <c r="S935" s="256"/>
      <c r="T935" s="256"/>
      <c r="U935" s="256"/>
      <c r="V935" s="256"/>
      <c r="W935" s="256"/>
      <c r="X935" s="256"/>
      <c r="Y935" s="256"/>
      <c r="Z935" s="256"/>
      <c r="AA935" s="256"/>
      <c r="AB935" s="256"/>
      <c r="AC935" s="256"/>
      <c r="AD935" s="256"/>
      <c r="AE935" s="256"/>
      <c r="AF935" s="256"/>
      <c r="AG935" s="256"/>
      <c r="AH935" s="256"/>
      <c r="AI935" s="256"/>
      <c r="AJ935" s="256"/>
      <c r="AK935" s="256"/>
      <c r="AL935" s="256"/>
      <c r="AM935" s="256"/>
      <c r="AN935" s="256"/>
      <c r="AO935" s="256"/>
      <c r="AP935" s="256"/>
      <c r="AQ935" s="256"/>
      <c r="AR935" s="256"/>
      <c r="AS935" s="256"/>
    </row>
    <row r="936" spans="1:45" ht="15" customHeight="1" x14ac:dyDescent="0.3">
      <c r="A936" s="129"/>
      <c r="B936" s="129"/>
      <c r="C936" s="130"/>
      <c r="D936" s="106"/>
      <c r="E936" s="110" t="str">
        <f xml:space="preserve"> E$812</f>
        <v>Cashflow after tax</v>
      </c>
      <c r="F936" s="110">
        <f t="shared" ref="F936:O936" si="763" xml:space="preserve"> F$812</f>
        <v>0</v>
      </c>
      <c r="G936" s="110" t="str">
        <f t="shared" si="763"/>
        <v>$ mn</v>
      </c>
      <c r="H936" s="110">
        <f t="shared" si="763"/>
        <v>0</v>
      </c>
      <c r="I936" s="110">
        <f t="shared" si="763"/>
        <v>3017.3005337171094</v>
      </c>
      <c r="J936" s="110">
        <f t="shared" si="763"/>
        <v>0</v>
      </c>
      <c r="K936" s="110">
        <f t="shared" si="763"/>
        <v>0</v>
      </c>
      <c r="L936" s="110">
        <f t="shared" si="763"/>
        <v>0</v>
      </c>
      <c r="M936" s="110">
        <f t="shared" si="763"/>
        <v>0</v>
      </c>
      <c r="N936" s="110">
        <f t="shared" si="763"/>
        <v>0</v>
      </c>
      <c r="O936" s="110">
        <f t="shared" si="763"/>
        <v>0</v>
      </c>
      <c r="P936" s="110">
        <f t="shared" ref="P936:AS936" si="764" xml:space="preserve"> P$812</f>
        <v>0</v>
      </c>
      <c r="Q936" s="110">
        <f t="shared" si="764"/>
        <v>0</v>
      </c>
      <c r="R936" s="110">
        <f t="shared" si="764"/>
        <v>0</v>
      </c>
      <c r="S936" s="110">
        <f t="shared" si="764"/>
        <v>0</v>
      </c>
      <c r="T936" s="110">
        <f t="shared" si="764"/>
        <v>0</v>
      </c>
      <c r="U936" s="110">
        <f t="shared" si="764"/>
        <v>0</v>
      </c>
      <c r="V936" s="110">
        <f t="shared" si="764"/>
        <v>-236.34949621499999</v>
      </c>
      <c r="W936" s="110">
        <f t="shared" si="764"/>
        <v>41.437652865999951</v>
      </c>
      <c r="X936" s="110">
        <f t="shared" si="764"/>
        <v>12.239987308939646</v>
      </c>
      <c r="Y936" s="110">
        <f t="shared" si="764"/>
        <v>270.25840738987051</v>
      </c>
      <c r="Z936" s="110">
        <f t="shared" si="764"/>
        <v>523.78999130766522</v>
      </c>
      <c r="AA936" s="110">
        <f t="shared" si="764"/>
        <v>255.59455582602084</v>
      </c>
      <c r="AB936" s="110">
        <f t="shared" si="764"/>
        <v>289.41158699931054</v>
      </c>
      <c r="AC936" s="110">
        <f t="shared" si="764"/>
        <v>80.144790395657765</v>
      </c>
      <c r="AD936" s="110">
        <f t="shared" si="764"/>
        <v>307.96172245477442</v>
      </c>
      <c r="AE936" s="110">
        <f t="shared" si="764"/>
        <v>293.96395222666001</v>
      </c>
      <c r="AF936" s="110">
        <f t="shared" si="764"/>
        <v>285.38294518749819</v>
      </c>
      <c r="AG936" s="110">
        <f t="shared" si="764"/>
        <v>273.07076192880447</v>
      </c>
      <c r="AH936" s="110">
        <f t="shared" si="764"/>
        <v>261.64757300035421</v>
      </c>
      <c r="AI936" s="110">
        <f t="shared" si="764"/>
        <v>151.83858618490524</v>
      </c>
      <c r="AJ936" s="110">
        <f t="shared" si="764"/>
        <v>186.82584009357686</v>
      </c>
      <c r="AK936" s="110">
        <f t="shared" si="764"/>
        <v>20.08167676207114</v>
      </c>
      <c r="AL936" s="110">
        <f t="shared" si="764"/>
        <v>0</v>
      </c>
      <c r="AM936" s="110">
        <f t="shared" si="764"/>
        <v>0</v>
      </c>
      <c r="AN936" s="110">
        <f t="shared" si="764"/>
        <v>0</v>
      </c>
      <c r="AO936" s="110">
        <f t="shared" si="764"/>
        <v>0</v>
      </c>
      <c r="AP936" s="110">
        <f t="shared" si="764"/>
        <v>0</v>
      </c>
      <c r="AQ936" s="110">
        <f t="shared" si="764"/>
        <v>0</v>
      </c>
      <c r="AR936" s="110">
        <f t="shared" si="764"/>
        <v>0</v>
      </c>
      <c r="AS936" s="110">
        <f t="shared" si="764"/>
        <v>0</v>
      </c>
    </row>
    <row r="937" spans="1:45" ht="15" customHeight="1" x14ac:dyDescent="0.3">
      <c r="A937" s="129"/>
      <c r="B937" s="129"/>
      <c r="C937" s="130"/>
      <c r="D937" s="106"/>
      <c r="E937" s="701" t="str">
        <f xml:space="preserve"> E$925</f>
        <v>Net debt cashflows: borrower</v>
      </c>
      <c r="F937" s="701">
        <f t="shared" ref="F937:O937" si="765" xml:space="preserve"> F$925</f>
        <v>0</v>
      </c>
      <c r="G937" s="701" t="str">
        <f t="shared" si="765"/>
        <v>$ mn</v>
      </c>
      <c r="H937" s="701">
        <f t="shared" si="765"/>
        <v>0</v>
      </c>
      <c r="I937" s="701">
        <f t="shared" si="765"/>
        <v>-39.11193999999999</v>
      </c>
      <c r="J937" s="701">
        <f t="shared" si="765"/>
        <v>0</v>
      </c>
      <c r="K937" s="701">
        <f t="shared" si="765"/>
        <v>0</v>
      </c>
      <c r="L937" s="701">
        <f t="shared" si="765"/>
        <v>0</v>
      </c>
      <c r="M937" s="701">
        <f t="shared" si="765"/>
        <v>0</v>
      </c>
      <c r="N937" s="701">
        <f t="shared" si="765"/>
        <v>0</v>
      </c>
      <c r="O937" s="701">
        <f t="shared" si="765"/>
        <v>0</v>
      </c>
      <c r="P937" s="701">
        <f t="shared" ref="P937:AS937" si="766" xml:space="preserve"> P$925</f>
        <v>0</v>
      </c>
      <c r="Q937" s="701">
        <f t="shared" si="766"/>
        <v>0</v>
      </c>
      <c r="R937" s="701">
        <f t="shared" si="766"/>
        <v>0</v>
      </c>
      <c r="S937" s="701">
        <f t="shared" si="766"/>
        <v>0</v>
      </c>
      <c r="T937" s="701">
        <f t="shared" si="766"/>
        <v>0</v>
      </c>
      <c r="U937" s="701">
        <f t="shared" si="766"/>
        <v>0</v>
      </c>
      <c r="V937" s="701">
        <f t="shared" si="766"/>
        <v>99</v>
      </c>
      <c r="W937" s="701">
        <f t="shared" si="766"/>
        <v>301</v>
      </c>
      <c r="X937" s="701">
        <f t="shared" si="766"/>
        <v>-64.721999999999994</v>
      </c>
      <c r="Y937" s="701">
        <f t="shared" si="766"/>
        <v>-112.85872000000001</v>
      </c>
      <c r="Z937" s="701">
        <f t="shared" si="766"/>
        <v>-178.12072000000001</v>
      </c>
      <c r="AA937" s="701">
        <f t="shared" si="766"/>
        <v>-17.8035</v>
      </c>
      <c r="AB937" s="701">
        <f t="shared" si="766"/>
        <v>-17.242799999999999</v>
      </c>
      <c r="AC937" s="701">
        <f t="shared" si="766"/>
        <v>-16.682099999999998</v>
      </c>
      <c r="AD937" s="701">
        <f t="shared" si="766"/>
        <v>-16.121400000000001</v>
      </c>
      <c r="AE937" s="701">
        <f t="shared" si="766"/>
        <v>-15.560700000000001</v>
      </c>
      <c r="AF937" s="701">
        <f t="shared" si="766"/>
        <v>0</v>
      </c>
      <c r="AG937" s="701">
        <f t="shared" si="766"/>
        <v>0</v>
      </c>
      <c r="AH937" s="701">
        <f t="shared" si="766"/>
        <v>0</v>
      </c>
      <c r="AI937" s="701">
        <f t="shared" si="766"/>
        <v>0</v>
      </c>
      <c r="AJ937" s="701">
        <f t="shared" si="766"/>
        <v>0</v>
      </c>
      <c r="AK937" s="701">
        <f t="shared" si="766"/>
        <v>0</v>
      </c>
      <c r="AL937" s="701">
        <f t="shared" si="766"/>
        <v>0</v>
      </c>
      <c r="AM937" s="701">
        <f t="shared" si="766"/>
        <v>0</v>
      </c>
      <c r="AN937" s="701">
        <f t="shared" si="766"/>
        <v>0</v>
      </c>
      <c r="AO937" s="701">
        <f t="shared" si="766"/>
        <v>0</v>
      </c>
      <c r="AP937" s="701">
        <f t="shared" si="766"/>
        <v>0</v>
      </c>
      <c r="AQ937" s="701">
        <f t="shared" si="766"/>
        <v>0</v>
      </c>
      <c r="AR937" s="701">
        <f t="shared" si="766"/>
        <v>0</v>
      </c>
      <c r="AS937" s="701">
        <f t="shared" si="766"/>
        <v>0</v>
      </c>
    </row>
    <row r="938" spans="1:45" ht="15" customHeight="1" x14ac:dyDescent="0.3">
      <c r="A938" s="558"/>
      <c r="B938" s="558"/>
      <c r="C938" s="559"/>
      <c r="D938" s="548"/>
      <c r="E938" s="513" t="s">
        <v>832</v>
      </c>
      <c r="F938" s="513"/>
      <c r="G938" s="513" t="s">
        <v>346</v>
      </c>
      <c r="H938" s="513"/>
      <c r="I938" s="513">
        <f>SUM(K938:AS938)</f>
        <v>2978.1885937171096</v>
      </c>
      <c r="J938" s="513"/>
      <c r="K938" s="513">
        <f t="shared" ref="K938:O938" si="767">K936 + K937</f>
        <v>0</v>
      </c>
      <c r="L938" s="513">
        <f t="shared" si="767"/>
        <v>0</v>
      </c>
      <c r="M938" s="513">
        <f t="shared" si="767"/>
        <v>0</v>
      </c>
      <c r="N938" s="513">
        <f t="shared" si="767"/>
        <v>0</v>
      </c>
      <c r="O938" s="513">
        <f t="shared" si="767"/>
        <v>0</v>
      </c>
      <c r="P938" s="513">
        <f t="shared" ref="P938:R938" si="768">P936 + P937</f>
        <v>0</v>
      </c>
      <c r="Q938" s="513">
        <f t="shared" si="768"/>
        <v>0</v>
      </c>
      <c r="R938" s="513">
        <f t="shared" si="768"/>
        <v>0</v>
      </c>
      <c r="S938" s="513">
        <f>S936 + S937</f>
        <v>0</v>
      </c>
      <c r="T938" s="513">
        <f t="shared" ref="T938:AS938" si="769">T936 + T937</f>
        <v>0</v>
      </c>
      <c r="U938" s="513">
        <f t="shared" si="769"/>
        <v>0</v>
      </c>
      <c r="V938" s="513">
        <f t="shared" si="769"/>
        <v>-137.34949621499999</v>
      </c>
      <c r="W938" s="513">
        <f t="shared" si="769"/>
        <v>342.43765286599995</v>
      </c>
      <c r="X938" s="513">
        <f t="shared" si="769"/>
        <v>-52.482012691060348</v>
      </c>
      <c r="Y938" s="513">
        <f t="shared" si="769"/>
        <v>157.39968738987051</v>
      </c>
      <c r="Z938" s="513">
        <f t="shared" si="769"/>
        <v>345.66927130766521</v>
      </c>
      <c r="AA938" s="513">
        <f t="shared" si="769"/>
        <v>237.79105582602085</v>
      </c>
      <c r="AB938" s="513">
        <f t="shared" si="769"/>
        <v>272.16878699931056</v>
      </c>
      <c r="AC938" s="513">
        <f t="shared" si="769"/>
        <v>63.462690395657766</v>
      </c>
      <c r="AD938" s="513">
        <f t="shared" si="769"/>
        <v>291.84032245477442</v>
      </c>
      <c r="AE938" s="513">
        <f t="shared" si="769"/>
        <v>278.40325222666002</v>
      </c>
      <c r="AF938" s="513">
        <f t="shared" si="769"/>
        <v>285.38294518749819</v>
      </c>
      <c r="AG938" s="513">
        <f t="shared" si="769"/>
        <v>273.07076192880447</v>
      </c>
      <c r="AH938" s="513">
        <f t="shared" si="769"/>
        <v>261.64757300035421</v>
      </c>
      <c r="AI938" s="513">
        <f t="shared" si="769"/>
        <v>151.83858618490524</v>
      </c>
      <c r="AJ938" s="513">
        <f t="shared" si="769"/>
        <v>186.82584009357686</v>
      </c>
      <c r="AK938" s="513">
        <f t="shared" si="769"/>
        <v>20.08167676207114</v>
      </c>
      <c r="AL938" s="513">
        <f t="shared" si="769"/>
        <v>0</v>
      </c>
      <c r="AM938" s="513">
        <f t="shared" si="769"/>
        <v>0</v>
      </c>
      <c r="AN938" s="513">
        <f t="shared" si="769"/>
        <v>0</v>
      </c>
      <c r="AO938" s="513">
        <f t="shared" si="769"/>
        <v>0</v>
      </c>
      <c r="AP938" s="513">
        <f t="shared" si="769"/>
        <v>0</v>
      </c>
      <c r="AQ938" s="513">
        <f t="shared" si="769"/>
        <v>0</v>
      </c>
      <c r="AR938" s="513">
        <f t="shared" si="769"/>
        <v>0</v>
      </c>
      <c r="AS938" s="513">
        <f t="shared" si="769"/>
        <v>0</v>
      </c>
    </row>
    <row r="939" spans="1:45" ht="15" customHeight="1" x14ac:dyDescent="0.3">
      <c r="E939" s="275"/>
      <c r="F939" s="275"/>
      <c r="G939" s="275"/>
      <c r="H939" s="131"/>
      <c r="I939" s="131"/>
      <c r="J939" s="21"/>
      <c r="K939" s="106"/>
      <c r="L939" s="106"/>
      <c r="M939" s="106"/>
      <c r="N939" s="106"/>
      <c r="O939" s="106"/>
      <c r="P939" s="106"/>
      <c r="Q939" s="106"/>
      <c r="R939" s="106"/>
      <c r="S939" s="106"/>
      <c r="T939" s="106"/>
      <c r="U939" s="106"/>
      <c r="V939" s="106"/>
      <c r="W939" s="106"/>
      <c r="X939" s="106"/>
      <c r="Y939" s="106"/>
      <c r="Z939" s="106"/>
      <c r="AA939" s="106"/>
      <c r="AB939" s="106"/>
      <c r="AC939" s="106"/>
      <c r="AD939" s="106"/>
      <c r="AE939" s="106"/>
      <c r="AF939" s="106"/>
      <c r="AG939" s="106"/>
      <c r="AH939" s="106"/>
      <c r="AI939" s="106"/>
      <c r="AJ939" s="106"/>
      <c r="AK939" s="106"/>
      <c r="AL939" s="106"/>
      <c r="AM939" s="106"/>
      <c r="AN939" s="106"/>
      <c r="AO939" s="106"/>
      <c r="AP939" s="106"/>
      <c r="AQ939" s="106"/>
      <c r="AR939" s="106"/>
      <c r="AS939" s="106"/>
    </row>
    <row r="940" spans="1:45" ht="15" customHeight="1" collapsed="1" x14ac:dyDescent="0.3">
      <c r="A940" s="15" t="s">
        <v>295</v>
      </c>
      <c r="B940" s="119"/>
      <c r="C940" s="120"/>
      <c r="D940" s="121"/>
      <c r="E940" s="119"/>
      <c r="F940" s="119"/>
      <c r="G940" s="119"/>
      <c r="H940" s="119"/>
      <c r="I940" s="119"/>
      <c r="J940" s="16"/>
      <c r="K940" s="16"/>
      <c r="L940" s="16"/>
      <c r="M940" s="16"/>
      <c r="N940" s="16"/>
      <c r="O940" s="16"/>
      <c r="P940" s="16"/>
      <c r="Q940" s="16"/>
      <c r="R940" s="16"/>
      <c r="S940" s="16"/>
      <c r="T940" s="16"/>
      <c r="U940" s="16"/>
      <c r="V940" s="16"/>
      <c r="W940" s="16"/>
      <c r="X940" s="16"/>
      <c r="Y940" s="16"/>
      <c r="Z940" s="16"/>
      <c r="AA940" s="16"/>
      <c r="AB940" s="16"/>
      <c r="AC940" s="16"/>
      <c r="AD940" s="16"/>
      <c r="AE940" s="16"/>
      <c r="AF940" s="16"/>
      <c r="AG940" s="16"/>
      <c r="AH940" s="16"/>
      <c r="AI940" s="16"/>
      <c r="AJ940" s="16"/>
      <c r="AK940" s="16"/>
      <c r="AL940" s="16"/>
      <c r="AM940" s="16"/>
      <c r="AN940" s="16"/>
      <c r="AO940" s="16"/>
      <c r="AP940" s="16"/>
      <c r="AQ940" s="16"/>
      <c r="AR940" s="16"/>
      <c r="AS940" s="16"/>
    </row>
    <row r="941" spans="1:45" ht="15" customHeight="1" x14ac:dyDescent="0.3">
      <c r="I941" s="116"/>
      <c r="AL941" s="42"/>
      <c r="AM941" s="42"/>
      <c r="AN941" s="42"/>
      <c r="AO941" s="42"/>
      <c r="AP941" s="42"/>
      <c r="AQ941" s="42"/>
      <c r="AR941" s="42"/>
      <c r="AS941" s="42"/>
    </row>
    <row r="942" spans="1:45" ht="15" customHeight="1" x14ac:dyDescent="0.3">
      <c r="E942" s="104" t="str">
        <f xml:space="preserve"> Inputs_Con!E$119</f>
        <v>Gecamines share of project pre 2024</v>
      </c>
      <c r="F942" s="616">
        <f xml:space="preserve"> Inputs_Con!F$119</f>
        <v>0.28000000000000003</v>
      </c>
      <c r="G942" s="104" t="str">
        <f xml:space="preserve"> Inputs_Con!G$119</f>
        <v>%</v>
      </c>
      <c r="H942" s="57" t="str">
        <f xml:space="preserve"> Sources!I$13</f>
        <v>IX</v>
      </c>
      <c r="I942" s="57"/>
      <c r="AL942" s="42"/>
      <c r="AM942" s="42"/>
      <c r="AN942" s="42"/>
      <c r="AO942" s="42"/>
      <c r="AP942" s="42"/>
      <c r="AQ942" s="42"/>
      <c r="AR942" s="42"/>
      <c r="AS942" s="42"/>
    </row>
    <row r="943" spans="1:45" ht="15" customHeight="1" x14ac:dyDescent="0.3">
      <c r="E943" s="104" t="str">
        <f xml:space="preserve"> Inputs_Con!E$120</f>
        <v>Gecamines share of project post 2024</v>
      </c>
      <c r="F943" s="616">
        <f xml:space="preserve"> Inputs_Con!F$120</f>
        <v>0.33</v>
      </c>
      <c r="G943" s="104" t="str">
        <f xml:space="preserve"> Inputs_Con!G$120</f>
        <v>%</v>
      </c>
      <c r="H943" s="57" t="str">
        <f xml:space="preserve"> Sources!I$13</f>
        <v>IX</v>
      </c>
      <c r="I943" s="57"/>
      <c r="AL943" s="42"/>
      <c r="AM943" s="42"/>
      <c r="AN943" s="42"/>
      <c r="AO943" s="42"/>
      <c r="AP943" s="42"/>
      <c r="AQ943" s="42"/>
      <c r="AR943" s="42"/>
      <c r="AS943" s="42"/>
    </row>
    <row r="944" spans="1:45" ht="15" customHeight="1" x14ac:dyDescent="0.3">
      <c r="E944" s="42" t="s">
        <v>235</v>
      </c>
      <c r="I944" s="116"/>
      <c r="K944" s="72">
        <f t="shared" ref="K944:AS944" si="770">IF(K2 &lt; 2024, $F942, $F943)</f>
        <v>0.28000000000000003</v>
      </c>
      <c r="L944" s="72">
        <f t="shared" si="770"/>
        <v>0.28000000000000003</v>
      </c>
      <c r="M944" s="72">
        <f t="shared" si="770"/>
        <v>0.28000000000000003</v>
      </c>
      <c r="N944" s="72">
        <f t="shared" si="770"/>
        <v>0.28000000000000003</v>
      </c>
      <c r="O944" s="72">
        <f t="shared" si="770"/>
        <v>0.28000000000000003</v>
      </c>
      <c r="P944" s="72">
        <f t="shared" si="770"/>
        <v>0.28000000000000003</v>
      </c>
      <c r="Q944" s="72">
        <f t="shared" si="770"/>
        <v>0.28000000000000003</v>
      </c>
      <c r="R944" s="72">
        <f t="shared" si="770"/>
        <v>0.28000000000000003</v>
      </c>
      <c r="S944" s="72">
        <f t="shared" si="770"/>
        <v>0.28000000000000003</v>
      </c>
      <c r="T944" s="72">
        <f t="shared" si="770"/>
        <v>0.28000000000000003</v>
      </c>
      <c r="U944" s="72">
        <f t="shared" si="770"/>
        <v>0.28000000000000003</v>
      </c>
      <c r="V944" s="72">
        <f t="shared" si="770"/>
        <v>0.28000000000000003</v>
      </c>
      <c r="W944" s="72">
        <f t="shared" si="770"/>
        <v>0.28000000000000003</v>
      </c>
      <c r="X944" s="72">
        <f t="shared" si="770"/>
        <v>0.28000000000000003</v>
      </c>
      <c r="Y944" s="72">
        <f t="shared" si="770"/>
        <v>0.28000000000000003</v>
      </c>
      <c r="Z944" s="72">
        <f t="shared" si="770"/>
        <v>0.28000000000000003</v>
      </c>
      <c r="AA944" s="72">
        <f t="shared" si="770"/>
        <v>0.28000000000000003</v>
      </c>
      <c r="AB944" s="72">
        <f t="shared" si="770"/>
        <v>0.28000000000000003</v>
      </c>
      <c r="AC944" s="72">
        <f t="shared" si="770"/>
        <v>0.33</v>
      </c>
      <c r="AD944" s="72">
        <f t="shared" si="770"/>
        <v>0.33</v>
      </c>
      <c r="AE944" s="72">
        <f t="shared" si="770"/>
        <v>0.33</v>
      </c>
      <c r="AF944" s="72">
        <f t="shared" si="770"/>
        <v>0.33</v>
      </c>
      <c r="AG944" s="72">
        <f t="shared" si="770"/>
        <v>0.33</v>
      </c>
      <c r="AH944" s="72">
        <f t="shared" si="770"/>
        <v>0.33</v>
      </c>
      <c r="AI944" s="72">
        <f t="shared" si="770"/>
        <v>0.33</v>
      </c>
      <c r="AJ944" s="72">
        <f t="shared" si="770"/>
        <v>0.33</v>
      </c>
      <c r="AK944" s="72">
        <f t="shared" si="770"/>
        <v>0.33</v>
      </c>
      <c r="AL944" s="72">
        <f t="shared" si="770"/>
        <v>0.33</v>
      </c>
      <c r="AM944" s="72">
        <f t="shared" si="770"/>
        <v>0.33</v>
      </c>
      <c r="AN944" s="72">
        <f t="shared" si="770"/>
        <v>0.33</v>
      </c>
      <c r="AO944" s="72">
        <f t="shared" si="770"/>
        <v>0.33</v>
      </c>
      <c r="AP944" s="72">
        <f t="shared" si="770"/>
        <v>0.33</v>
      </c>
      <c r="AQ944" s="72">
        <f t="shared" si="770"/>
        <v>0.33</v>
      </c>
      <c r="AR944" s="72">
        <f t="shared" si="770"/>
        <v>0.33</v>
      </c>
      <c r="AS944" s="72">
        <f t="shared" si="770"/>
        <v>0.33</v>
      </c>
    </row>
    <row r="945" spans="1:45" ht="15" customHeight="1" x14ac:dyDescent="0.3">
      <c r="I945" s="116"/>
      <c r="K945" s="72"/>
      <c r="L945" s="72"/>
      <c r="M945" s="72"/>
      <c r="N945" s="72"/>
      <c r="O945" s="72"/>
      <c r="P945" s="72"/>
      <c r="Q945" s="72"/>
      <c r="R945" s="72"/>
      <c r="S945" s="72"/>
      <c r="T945" s="72"/>
      <c r="U945" s="72"/>
      <c r="V945" s="72"/>
      <c r="W945" s="72"/>
      <c r="X945" s="72"/>
      <c r="Y945" s="72"/>
      <c r="Z945" s="72"/>
      <c r="AA945" s="72"/>
      <c r="AB945" s="72"/>
      <c r="AC945" s="72"/>
      <c r="AD945" s="72"/>
      <c r="AE945" s="72"/>
      <c r="AF945" s="72"/>
      <c r="AG945" s="72"/>
      <c r="AH945" s="72"/>
      <c r="AI945" s="72"/>
      <c r="AJ945" s="72"/>
      <c r="AK945" s="72"/>
      <c r="AL945" s="72"/>
      <c r="AM945" s="72"/>
      <c r="AN945" s="72"/>
      <c r="AO945" s="72"/>
      <c r="AP945" s="72"/>
      <c r="AQ945" s="72"/>
      <c r="AR945" s="72"/>
      <c r="AS945" s="72"/>
    </row>
    <row r="946" spans="1:45" ht="15" customHeight="1" x14ac:dyDescent="0.3">
      <c r="E946" s="169" t="str">
        <f xml:space="preserve"> E$938</f>
        <v>Cashflow after debt</v>
      </c>
      <c r="F946" s="169">
        <f t="shared" ref="F946:O946" si="771" xml:space="preserve"> F$938</f>
        <v>0</v>
      </c>
      <c r="G946" s="169" t="str">
        <f t="shared" si="771"/>
        <v>$ mn</v>
      </c>
      <c r="H946" s="169">
        <f t="shared" si="771"/>
        <v>0</v>
      </c>
      <c r="I946" s="169">
        <f t="shared" si="771"/>
        <v>2978.1885937171096</v>
      </c>
      <c r="J946" s="169">
        <f t="shared" si="771"/>
        <v>0</v>
      </c>
      <c r="K946" s="169">
        <f t="shared" si="771"/>
        <v>0</v>
      </c>
      <c r="L946" s="169">
        <f t="shared" si="771"/>
        <v>0</v>
      </c>
      <c r="M946" s="169">
        <f t="shared" si="771"/>
        <v>0</v>
      </c>
      <c r="N946" s="169">
        <f t="shared" si="771"/>
        <v>0</v>
      </c>
      <c r="O946" s="169">
        <f t="shared" si="771"/>
        <v>0</v>
      </c>
      <c r="P946" s="169">
        <f t="shared" ref="P946:AS946" si="772" xml:space="preserve"> P$938</f>
        <v>0</v>
      </c>
      <c r="Q946" s="169">
        <f t="shared" si="772"/>
        <v>0</v>
      </c>
      <c r="R946" s="169">
        <f t="shared" si="772"/>
        <v>0</v>
      </c>
      <c r="S946" s="169">
        <f t="shared" si="772"/>
        <v>0</v>
      </c>
      <c r="T946" s="169">
        <f t="shared" si="772"/>
        <v>0</v>
      </c>
      <c r="U946" s="169">
        <f t="shared" si="772"/>
        <v>0</v>
      </c>
      <c r="V946" s="169">
        <f t="shared" si="772"/>
        <v>-137.34949621499999</v>
      </c>
      <c r="W946" s="169">
        <f t="shared" si="772"/>
        <v>342.43765286599995</v>
      </c>
      <c r="X946" s="169">
        <f t="shared" si="772"/>
        <v>-52.482012691060348</v>
      </c>
      <c r="Y946" s="169">
        <f t="shared" si="772"/>
        <v>157.39968738987051</v>
      </c>
      <c r="Z946" s="169">
        <f t="shared" si="772"/>
        <v>345.66927130766521</v>
      </c>
      <c r="AA946" s="169">
        <f t="shared" si="772"/>
        <v>237.79105582602085</v>
      </c>
      <c r="AB946" s="169">
        <f t="shared" si="772"/>
        <v>272.16878699931056</v>
      </c>
      <c r="AC946" s="169">
        <f t="shared" si="772"/>
        <v>63.462690395657766</v>
      </c>
      <c r="AD946" s="169">
        <f t="shared" si="772"/>
        <v>291.84032245477442</v>
      </c>
      <c r="AE946" s="169">
        <f t="shared" si="772"/>
        <v>278.40325222666002</v>
      </c>
      <c r="AF946" s="169">
        <f t="shared" si="772"/>
        <v>285.38294518749819</v>
      </c>
      <c r="AG946" s="169">
        <f t="shared" si="772"/>
        <v>273.07076192880447</v>
      </c>
      <c r="AH946" s="169">
        <f t="shared" si="772"/>
        <v>261.64757300035421</v>
      </c>
      <c r="AI946" s="169">
        <f t="shared" si="772"/>
        <v>151.83858618490524</v>
      </c>
      <c r="AJ946" s="169">
        <f t="shared" si="772"/>
        <v>186.82584009357686</v>
      </c>
      <c r="AK946" s="169">
        <f t="shared" si="772"/>
        <v>20.08167676207114</v>
      </c>
      <c r="AL946" s="169">
        <f t="shared" si="772"/>
        <v>0</v>
      </c>
      <c r="AM946" s="169">
        <f t="shared" si="772"/>
        <v>0</v>
      </c>
      <c r="AN946" s="169">
        <f t="shared" si="772"/>
        <v>0</v>
      </c>
      <c r="AO946" s="169">
        <f t="shared" si="772"/>
        <v>0</v>
      </c>
      <c r="AP946" s="169">
        <f t="shared" si="772"/>
        <v>0</v>
      </c>
      <c r="AQ946" s="169">
        <f t="shared" si="772"/>
        <v>0</v>
      </c>
      <c r="AR946" s="169">
        <f t="shared" si="772"/>
        <v>0</v>
      </c>
      <c r="AS946" s="169">
        <f t="shared" si="772"/>
        <v>0</v>
      </c>
    </row>
    <row r="947" spans="1:45" ht="15" customHeight="1" x14ac:dyDescent="0.3">
      <c r="E947" s="42" t="s">
        <v>834</v>
      </c>
      <c r="I947" s="116">
        <f>SUM(K947:AS947)</f>
        <v>924.52048865250572</v>
      </c>
      <c r="K947" s="88">
        <f t="shared" ref="K947:O947" si="773">K944 * K946</f>
        <v>0</v>
      </c>
      <c r="L947" s="88">
        <f t="shared" si="773"/>
        <v>0</v>
      </c>
      <c r="M947" s="88">
        <f t="shared" si="773"/>
        <v>0</v>
      </c>
      <c r="N947" s="88">
        <f t="shared" si="773"/>
        <v>0</v>
      </c>
      <c r="O947" s="88">
        <f t="shared" si="773"/>
        <v>0</v>
      </c>
      <c r="P947" s="88">
        <f>P944 * P946</f>
        <v>0</v>
      </c>
      <c r="Q947" s="88">
        <f t="shared" ref="Q947:AS947" si="774">Q944 * Q946</f>
        <v>0</v>
      </c>
      <c r="R947" s="88">
        <f t="shared" si="774"/>
        <v>0</v>
      </c>
      <c r="S947" s="88">
        <f t="shared" si="774"/>
        <v>0</v>
      </c>
      <c r="T947" s="88">
        <f t="shared" si="774"/>
        <v>0</v>
      </c>
      <c r="U947" s="88">
        <f t="shared" si="774"/>
        <v>0</v>
      </c>
      <c r="V947" s="88">
        <f t="shared" si="774"/>
        <v>-38.457858940199998</v>
      </c>
      <c r="W947" s="88">
        <f t="shared" si="774"/>
        <v>95.882542802479989</v>
      </c>
      <c r="X947" s="88">
        <f t="shared" si="774"/>
        <v>-14.694963553496899</v>
      </c>
      <c r="Y947" s="88">
        <f t="shared" si="774"/>
        <v>44.071912469163749</v>
      </c>
      <c r="Z947" s="88">
        <f t="shared" si="774"/>
        <v>96.787395966146264</v>
      </c>
      <c r="AA947" s="88">
        <f t="shared" si="774"/>
        <v>66.581495631285847</v>
      </c>
      <c r="AB947" s="88">
        <f t="shared" si="774"/>
        <v>76.207260359806966</v>
      </c>
      <c r="AC947" s="88">
        <f t="shared" si="774"/>
        <v>20.942687830567063</v>
      </c>
      <c r="AD947" s="88">
        <f t="shared" si="774"/>
        <v>96.307306410075569</v>
      </c>
      <c r="AE947" s="88">
        <f t="shared" si="774"/>
        <v>91.873073234797815</v>
      </c>
      <c r="AF947" s="88">
        <f t="shared" si="774"/>
        <v>94.176371911874412</v>
      </c>
      <c r="AG947" s="88">
        <f t="shared" si="774"/>
        <v>90.113351436505482</v>
      </c>
      <c r="AH947" s="88">
        <f t="shared" si="774"/>
        <v>86.3436990901169</v>
      </c>
      <c r="AI947" s="88">
        <f t="shared" si="774"/>
        <v>50.106733441018733</v>
      </c>
      <c r="AJ947" s="88">
        <f t="shared" si="774"/>
        <v>61.652527230880366</v>
      </c>
      <c r="AK947" s="88">
        <f t="shared" si="774"/>
        <v>6.6269533314834765</v>
      </c>
      <c r="AL947" s="88">
        <f t="shared" si="774"/>
        <v>0</v>
      </c>
      <c r="AM947" s="88">
        <f t="shared" si="774"/>
        <v>0</v>
      </c>
      <c r="AN947" s="88">
        <f t="shared" si="774"/>
        <v>0</v>
      </c>
      <c r="AO947" s="88">
        <f t="shared" si="774"/>
        <v>0</v>
      </c>
      <c r="AP947" s="88">
        <f t="shared" si="774"/>
        <v>0</v>
      </c>
      <c r="AQ947" s="88">
        <f t="shared" si="774"/>
        <v>0</v>
      </c>
      <c r="AR947" s="88">
        <f t="shared" si="774"/>
        <v>0</v>
      </c>
      <c r="AS947" s="88">
        <f t="shared" si="774"/>
        <v>0</v>
      </c>
    </row>
    <row r="948" spans="1:45" ht="15" customHeight="1" x14ac:dyDescent="0.3">
      <c r="I948" s="116"/>
      <c r="K948" s="72"/>
      <c r="L948" s="72"/>
      <c r="M948" s="72"/>
      <c r="N948" s="72"/>
      <c r="O948" s="72"/>
      <c r="P948" s="72"/>
      <c r="Q948" s="72"/>
      <c r="R948" s="72"/>
      <c r="S948" s="72"/>
      <c r="T948" s="72"/>
      <c r="U948" s="72"/>
      <c r="V948" s="72"/>
      <c r="W948" s="72"/>
      <c r="X948" s="72"/>
      <c r="Y948" s="72"/>
      <c r="Z948" s="72"/>
      <c r="AA948" s="72"/>
      <c r="AB948" s="72"/>
      <c r="AC948" s="72"/>
      <c r="AD948" s="72"/>
      <c r="AE948" s="72"/>
      <c r="AF948" s="72"/>
      <c r="AG948" s="72"/>
      <c r="AH948" s="72"/>
      <c r="AI948" s="72"/>
      <c r="AJ948" s="72"/>
      <c r="AK948" s="72"/>
      <c r="AL948" s="72"/>
      <c r="AM948" s="72"/>
      <c r="AN948" s="72"/>
      <c r="AO948" s="72"/>
      <c r="AP948" s="72"/>
      <c r="AQ948" s="72"/>
      <c r="AR948" s="72"/>
      <c r="AS948" s="72"/>
    </row>
    <row r="949" spans="1:45" ht="15" customHeight="1" x14ac:dyDescent="0.3">
      <c r="E949" s="362" t="str">
        <f xml:space="preserve"> Inputs_Con!E$121</f>
        <v>Proportion Gecamines cashflows used to repay loan</v>
      </c>
      <c r="F949" s="231">
        <f xml:space="preserve"> Inputs_Con!F$121</f>
        <v>1</v>
      </c>
      <c r="G949" s="104" t="str">
        <f xml:space="preserve"> Inputs_Con!G$121</f>
        <v>%</v>
      </c>
      <c r="I949" s="116"/>
      <c r="K949" s="72"/>
      <c r="L949" s="72"/>
      <c r="M949" s="72"/>
      <c r="N949" s="72"/>
      <c r="O949" s="72"/>
      <c r="P949" s="72"/>
      <c r="Q949" s="72"/>
      <c r="R949" s="72"/>
      <c r="S949" s="72"/>
      <c r="T949" s="72"/>
      <c r="U949" s="72"/>
      <c r="V949" s="72"/>
      <c r="W949" s="72"/>
      <c r="X949" s="72"/>
      <c r="Y949" s="72"/>
      <c r="Z949" s="72"/>
      <c r="AA949" s="72"/>
      <c r="AB949" s="72"/>
      <c r="AC949" s="72"/>
      <c r="AD949" s="72"/>
      <c r="AE949" s="72"/>
      <c r="AF949" s="72"/>
      <c r="AG949" s="72"/>
      <c r="AH949" s="72"/>
      <c r="AI949" s="72"/>
      <c r="AJ949" s="72"/>
      <c r="AK949" s="72"/>
      <c r="AL949" s="72"/>
      <c r="AM949" s="72"/>
      <c r="AN949" s="72"/>
      <c r="AO949" s="72"/>
      <c r="AP949" s="72"/>
      <c r="AQ949" s="72"/>
      <c r="AR949" s="72"/>
      <c r="AS949" s="72"/>
    </row>
    <row r="950" spans="1:45" ht="15" customHeight="1" x14ac:dyDescent="0.3">
      <c r="E950" s="42" t="s">
        <v>744</v>
      </c>
      <c r="I950" s="116">
        <f>SUM(K950:AS950)</f>
        <v>977.67331114620265</v>
      </c>
      <c r="K950" s="463">
        <f t="shared" ref="K950:O950" si="775" xml:space="preserve"> K947 * (K947 &gt; 0) * $F949</f>
        <v>0</v>
      </c>
      <c r="L950" s="463">
        <f t="shared" si="775"/>
        <v>0</v>
      </c>
      <c r="M950" s="463">
        <f t="shared" si="775"/>
        <v>0</v>
      </c>
      <c r="N950" s="463">
        <f t="shared" si="775"/>
        <v>0</v>
      </c>
      <c r="O950" s="463">
        <f t="shared" si="775"/>
        <v>0</v>
      </c>
      <c r="P950" s="463">
        <f t="shared" ref="P950:AS950" si="776" xml:space="preserve"> P947 * (P947 &gt; 0) * $F949</f>
        <v>0</v>
      </c>
      <c r="Q950" s="463">
        <f t="shared" si="776"/>
        <v>0</v>
      </c>
      <c r="R950" s="463">
        <f t="shared" si="776"/>
        <v>0</v>
      </c>
      <c r="S950" s="463">
        <f t="shared" si="776"/>
        <v>0</v>
      </c>
      <c r="T950" s="463">
        <f t="shared" si="776"/>
        <v>0</v>
      </c>
      <c r="U950" s="463">
        <f t="shared" si="776"/>
        <v>0</v>
      </c>
      <c r="V950" s="463">
        <f t="shared" si="776"/>
        <v>0</v>
      </c>
      <c r="W950" s="463">
        <f t="shared" si="776"/>
        <v>95.882542802479989</v>
      </c>
      <c r="X950" s="463">
        <f t="shared" si="776"/>
        <v>0</v>
      </c>
      <c r="Y950" s="463">
        <f t="shared" si="776"/>
        <v>44.071912469163749</v>
      </c>
      <c r="Z950" s="463">
        <f t="shared" si="776"/>
        <v>96.787395966146264</v>
      </c>
      <c r="AA950" s="463">
        <f t="shared" si="776"/>
        <v>66.581495631285847</v>
      </c>
      <c r="AB950" s="463">
        <f t="shared" si="776"/>
        <v>76.207260359806966</v>
      </c>
      <c r="AC950" s="463">
        <f t="shared" si="776"/>
        <v>20.942687830567063</v>
      </c>
      <c r="AD950" s="463">
        <f t="shared" si="776"/>
        <v>96.307306410075569</v>
      </c>
      <c r="AE950" s="463">
        <f t="shared" si="776"/>
        <v>91.873073234797815</v>
      </c>
      <c r="AF950" s="463">
        <f t="shared" si="776"/>
        <v>94.176371911874412</v>
      </c>
      <c r="AG950" s="463">
        <f t="shared" si="776"/>
        <v>90.113351436505482</v>
      </c>
      <c r="AH950" s="463">
        <f t="shared" si="776"/>
        <v>86.3436990901169</v>
      </c>
      <c r="AI950" s="463">
        <f t="shared" si="776"/>
        <v>50.106733441018733</v>
      </c>
      <c r="AJ950" s="463">
        <f t="shared" si="776"/>
        <v>61.652527230880366</v>
      </c>
      <c r="AK950" s="463">
        <f t="shared" si="776"/>
        <v>6.6269533314834765</v>
      </c>
      <c r="AL950" s="463">
        <f t="shared" si="776"/>
        <v>0</v>
      </c>
      <c r="AM950" s="463">
        <f t="shared" si="776"/>
        <v>0</v>
      </c>
      <c r="AN950" s="463">
        <f t="shared" si="776"/>
        <v>0</v>
      </c>
      <c r="AO950" s="463">
        <f t="shared" si="776"/>
        <v>0</v>
      </c>
      <c r="AP950" s="463">
        <f t="shared" si="776"/>
        <v>0</v>
      </c>
      <c r="AQ950" s="463">
        <f t="shared" si="776"/>
        <v>0</v>
      </c>
      <c r="AR950" s="463">
        <f t="shared" si="776"/>
        <v>0</v>
      </c>
      <c r="AS950" s="463">
        <f t="shared" si="776"/>
        <v>0</v>
      </c>
    </row>
    <row r="951" spans="1:45" ht="15" customHeight="1" x14ac:dyDescent="0.3">
      <c r="I951" s="116"/>
      <c r="K951" s="463"/>
      <c r="L951" s="463"/>
      <c r="M951" s="463"/>
      <c r="N951" s="463"/>
      <c r="O951" s="463"/>
      <c r="P951" s="463"/>
      <c r="Q951" s="463"/>
      <c r="R951" s="463"/>
      <c r="S951" s="463"/>
      <c r="T951" s="463"/>
      <c r="U951" s="463"/>
      <c r="V951" s="463"/>
      <c r="W951" s="463"/>
      <c r="X951" s="463"/>
      <c r="Y951" s="463"/>
      <c r="Z951" s="463"/>
      <c r="AA951" s="463"/>
      <c r="AB951" s="463"/>
      <c r="AC951" s="463"/>
      <c r="AD951" s="463"/>
      <c r="AE951" s="463"/>
      <c r="AF951" s="463"/>
      <c r="AG951" s="463"/>
      <c r="AH951" s="463"/>
      <c r="AI951" s="463"/>
      <c r="AJ951" s="463"/>
      <c r="AK951" s="463"/>
      <c r="AL951" s="463"/>
      <c r="AM951" s="463"/>
      <c r="AN951" s="463"/>
      <c r="AO951" s="463"/>
      <c r="AP951" s="463"/>
      <c r="AQ951" s="463"/>
      <c r="AR951" s="463"/>
      <c r="AS951" s="463"/>
    </row>
    <row r="952" spans="1:45" ht="15" customHeight="1" x14ac:dyDescent="0.3">
      <c r="C952" s="113" t="s">
        <v>745</v>
      </c>
      <c r="I952" s="116"/>
      <c r="K952" s="72"/>
      <c r="L952" s="72"/>
      <c r="M952" s="72"/>
      <c r="N952" s="72"/>
      <c r="O952" s="72"/>
      <c r="P952" s="72"/>
      <c r="Q952" s="72"/>
      <c r="R952" s="72"/>
      <c r="S952" s="72"/>
      <c r="T952" s="72"/>
      <c r="U952" s="72"/>
      <c r="V952" s="72"/>
      <c r="W952" s="72"/>
      <c r="X952" s="72"/>
      <c r="Y952" s="72"/>
      <c r="Z952" s="72"/>
      <c r="AA952" s="72"/>
      <c r="AB952" s="72"/>
      <c r="AC952" s="72"/>
      <c r="AD952" s="72"/>
      <c r="AE952" s="72"/>
      <c r="AF952" s="72"/>
      <c r="AG952" s="72"/>
      <c r="AH952" s="72"/>
      <c r="AI952" s="72"/>
      <c r="AJ952" s="72"/>
      <c r="AK952" s="72"/>
      <c r="AL952" s="72"/>
      <c r="AM952" s="72"/>
      <c r="AN952" s="72"/>
      <c r="AO952" s="72"/>
      <c r="AP952" s="72"/>
      <c r="AQ952" s="72"/>
      <c r="AR952" s="72"/>
      <c r="AS952" s="72"/>
    </row>
    <row r="953" spans="1:45" ht="15" customHeight="1" x14ac:dyDescent="0.3">
      <c r="A953" s="244"/>
      <c r="B953" s="244"/>
      <c r="C953" s="245"/>
      <c r="D953" s="246"/>
      <c r="E953" s="549" t="str">
        <f xml:space="preserve"> Inputs_Con!E$126</f>
        <v>Gecamines interest rate (margin over libor/SOFR)</v>
      </c>
      <c r="F953" s="835">
        <f xml:space="preserve"> Inputs_Con!F$126</f>
        <v>0.03</v>
      </c>
      <c r="G953" s="136" t="str">
        <f xml:space="preserve"> Inputs_Con!G$126</f>
        <v>%</v>
      </c>
      <c r="I953" s="116"/>
      <c r="K953" s="836"/>
      <c r="L953" s="836"/>
      <c r="M953" s="836"/>
      <c r="N953" s="836"/>
      <c r="O953" s="836"/>
      <c r="P953" s="836"/>
      <c r="Q953" s="836"/>
      <c r="R953" s="836"/>
      <c r="S953" s="836"/>
      <c r="T953" s="836"/>
      <c r="U953" s="836"/>
      <c r="V953" s="836"/>
      <c r="W953" s="836"/>
      <c r="X953" s="836"/>
      <c r="Y953" s="836"/>
      <c r="Z953" s="836"/>
      <c r="AA953" s="836"/>
      <c r="AB953" s="836"/>
      <c r="AC953" s="836"/>
      <c r="AD953" s="836"/>
      <c r="AE953" s="836"/>
      <c r="AF953" s="836"/>
      <c r="AG953" s="836"/>
      <c r="AH953" s="836"/>
      <c r="AI953" s="836"/>
      <c r="AJ953" s="836"/>
      <c r="AK953" s="836"/>
      <c r="AL953" s="836"/>
      <c r="AM953" s="836"/>
      <c r="AN953" s="836"/>
      <c r="AO953" s="836"/>
      <c r="AP953" s="836"/>
      <c r="AQ953" s="836"/>
      <c r="AR953" s="836"/>
      <c r="AS953" s="836"/>
    </row>
    <row r="954" spans="1:45" ht="15" customHeight="1" x14ac:dyDescent="0.3">
      <c r="A954" s="244"/>
      <c r="B954" s="244"/>
      <c r="C954" s="245"/>
      <c r="D954" s="246"/>
      <c r="E954" s="837" t="str">
        <f xml:space="preserve"> 'T&amp;E'!E$67</f>
        <v>LIBOR  / SOFR history &amp; forecast</v>
      </c>
      <c r="F954" s="837">
        <f xml:space="preserve"> 'T&amp;E'!F$67</f>
        <v>0</v>
      </c>
      <c r="G954" s="837" t="str">
        <f xml:space="preserve"> 'T&amp;E'!G$67</f>
        <v>%</v>
      </c>
      <c r="H954" s="837">
        <f xml:space="preserve"> 'T&amp;E'!H$67</f>
        <v>0</v>
      </c>
      <c r="I954" s="837">
        <f xml:space="preserve"> 'T&amp;E'!I$67</f>
        <v>0</v>
      </c>
      <c r="J954" s="837">
        <f xml:space="preserve"> 'T&amp;E'!J$67</f>
        <v>0</v>
      </c>
      <c r="K954" s="782">
        <f xml:space="preserve"> 'T&amp;E'!K$67</f>
        <v>5.2762301587301573E-2</v>
      </c>
      <c r="L954" s="782">
        <f xml:space="preserve"> 'T&amp;E'!L$67</f>
        <v>5.2522924901185729E-2</v>
      </c>
      <c r="M954" s="782">
        <f xml:space="preserve"> 'T&amp;E'!M$67</f>
        <v>3.0601574803149633E-2</v>
      </c>
      <c r="N954" s="782">
        <f xml:space="preserve"> 'T&amp;E'!N$67</f>
        <v>1.1142292490118577E-2</v>
      </c>
      <c r="O954" s="782">
        <f xml:space="preserve"> 'T&amp;E'!O$67</f>
        <v>5.1861660079051321E-3</v>
      </c>
      <c r="P954" s="782">
        <f xml:space="preserve"> 'T&amp;E'!P$67</f>
        <v>5.0713147410358563E-3</v>
      </c>
      <c r="Q954" s="782">
        <f xml:space="preserve"> 'T&amp;E'!Q$67</f>
        <v>6.8694444444444367E-3</v>
      </c>
      <c r="R954" s="782">
        <f xml:space="preserve"> 'T&amp;E'!R$67</f>
        <v>4.0881422924901149E-3</v>
      </c>
      <c r="S954" s="782">
        <f xml:space="preserve"> 'T&amp;E'!S$67</f>
        <v>3.2919249011857648E-3</v>
      </c>
      <c r="T954" s="782">
        <f xml:space="preserve"> 'T&amp;E'!T$67</f>
        <v>4.8515256916996045E-3</v>
      </c>
      <c r="U954" s="782">
        <f xml:space="preserve"> 'T&amp;E'!U$67</f>
        <v>1.0590186507936503E-2</v>
      </c>
      <c r="V954" s="782">
        <f xml:space="preserve"> 'T&amp;E'!V$67</f>
        <v>1.4752334661354583E-2</v>
      </c>
      <c r="W954" s="782">
        <f xml:space="preserve"> 'T&amp;E'!W$67</f>
        <v>2.4859274900398399E-2</v>
      </c>
      <c r="X954" s="782">
        <f xml:space="preserve"> 'T&amp;E'!X$67</f>
        <v>2.3175798418972337E-2</v>
      </c>
      <c r="Y954" s="782">
        <f xml:space="preserve"> 'T&amp;E'!Y$67</f>
        <v>8.9388713450292371E-3</v>
      </c>
      <c r="Z954" s="782">
        <f xml:space="preserve"> 'T&amp;E'!Z$67</f>
        <v>4.7694199999999984E-4</v>
      </c>
      <c r="AA954" s="782">
        <f xml:space="preserve"> 'T&amp;E'!AA$67</f>
        <v>8.1812538152610682E-3</v>
      </c>
      <c r="AB954" s="782">
        <f xml:space="preserve"> 'T&amp;E'!AB$67</f>
        <v>4.5826553413654623E-2</v>
      </c>
      <c r="AC954" s="782">
        <f xml:space="preserve"> 'T&amp;E'!AC$67</f>
        <v>5.3465279199999986E-2</v>
      </c>
      <c r="AD954" s="782">
        <f xml:space="preserve"> 'T&amp;E'!AD$67</f>
        <v>4.6147064102564105E-2</v>
      </c>
      <c r="AE954" s="782">
        <f xml:space="preserve"> 'T&amp;E'!AE$67</f>
        <v>4.0023911226669151E-2</v>
      </c>
      <c r="AF954" s="782">
        <f xml:space="preserve"> 'T&amp;E'!AF$67</f>
        <v>3.6420061322820718E-2</v>
      </c>
      <c r="AG954" s="782">
        <f xml:space="preserve"> 'T&amp;E'!AG$67</f>
        <v>3.6878196916759531E-2</v>
      </c>
      <c r="AH954" s="782">
        <f xml:space="preserve"> 'T&amp;E'!AH$67</f>
        <v>3.7016205868980245E-2</v>
      </c>
      <c r="AI954" s="782">
        <f xml:space="preserve"> 'T&amp;E'!AI$67</f>
        <v>3.707528692137374E-2</v>
      </c>
      <c r="AJ954" s="782">
        <f xml:space="preserve"> 'T&amp;E'!AJ$67</f>
        <v>3.5299999999999887E-2</v>
      </c>
      <c r="AK954" s="782">
        <f xml:space="preserve"> 'T&amp;E'!AK$67</f>
        <v>3.5299999999999887E-2</v>
      </c>
      <c r="AL954" s="782">
        <f xml:space="preserve"> 'T&amp;E'!AL$67</f>
        <v>3.5299999999999887E-2</v>
      </c>
      <c r="AM954" s="782">
        <f xml:space="preserve"> 'T&amp;E'!AM$67</f>
        <v>3.5299999999999887E-2</v>
      </c>
      <c r="AN954" s="782">
        <f xml:space="preserve"> 'T&amp;E'!AN$67</f>
        <v>3.5299999999999887E-2</v>
      </c>
      <c r="AO954" s="782">
        <f xml:space="preserve"> 'T&amp;E'!AO$67</f>
        <v>3.5299999999999887E-2</v>
      </c>
      <c r="AP954" s="782">
        <f xml:space="preserve"> 'T&amp;E'!AP$67</f>
        <v>3.5299999999999887E-2</v>
      </c>
      <c r="AQ954" s="782">
        <f xml:space="preserve"> 'T&amp;E'!AQ$67</f>
        <v>3.5299999999999887E-2</v>
      </c>
      <c r="AR954" s="782">
        <f xml:space="preserve"> 'T&amp;E'!AR$67</f>
        <v>3.5299999999999887E-2</v>
      </c>
      <c r="AS954" s="782">
        <f xml:space="preserve"> 'T&amp;E'!AS$67</f>
        <v>3.5299999999999887E-2</v>
      </c>
    </row>
    <row r="955" spans="1:45" ht="15" customHeight="1" x14ac:dyDescent="0.3">
      <c r="A955" s="244"/>
      <c r="B955" s="244"/>
      <c r="C955" s="245"/>
      <c r="D955" s="246"/>
      <c r="E955" s="549"/>
      <c r="F955" s="835"/>
      <c r="G955" s="136"/>
      <c r="I955" s="116"/>
      <c r="K955" s="836"/>
      <c r="L955" s="836"/>
      <c r="M955" s="836"/>
      <c r="N955" s="836"/>
      <c r="O955" s="836"/>
      <c r="P955" s="836"/>
      <c r="Q955" s="836"/>
      <c r="R955" s="836"/>
      <c r="S955" s="836"/>
      <c r="T955" s="836"/>
      <c r="U955" s="836"/>
      <c r="V955" s="836"/>
      <c r="W955" s="836"/>
      <c r="X955" s="836"/>
      <c r="Y955" s="836"/>
      <c r="Z955" s="836"/>
      <c r="AA955" s="836"/>
      <c r="AB955" s="836"/>
      <c r="AC955" s="836"/>
      <c r="AD955" s="836"/>
      <c r="AE955" s="836"/>
      <c r="AF955" s="836"/>
      <c r="AG955" s="836"/>
      <c r="AH955" s="836"/>
      <c r="AI955" s="836"/>
      <c r="AJ955" s="836"/>
      <c r="AK955" s="836"/>
      <c r="AL955" s="836"/>
      <c r="AM955" s="836"/>
      <c r="AN955" s="836"/>
      <c r="AO955" s="836"/>
      <c r="AP955" s="836"/>
      <c r="AQ955" s="836"/>
      <c r="AR955" s="836"/>
      <c r="AS955" s="836"/>
    </row>
    <row r="956" spans="1:45" ht="15" customHeight="1" x14ac:dyDescent="0.3">
      <c r="A956" s="524"/>
      <c r="B956" s="524"/>
      <c r="C956" s="525"/>
      <c r="D956" s="243"/>
      <c r="E956" s="482" t="s">
        <v>1037</v>
      </c>
      <c r="F956" s="1094"/>
      <c r="G956" s="243" t="s">
        <v>34</v>
      </c>
      <c r="H956" s="183"/>
      <c r="I956" s="183"/>
      <c r="J956" s="243"/>
      <c r="K956" s="632">
        <f xml:space="preserve"> K954 + $F953</f>
        <v>8.2762301587301579E-2</v>
      </c>
      <c r="L956" s="632">
        <f t="shared" ref="L956:AS956" si="777" xml:space="preserve"> L954 + $F953</f>
        <v>8.2522924901185735E-2</v>
      </c>
      <c r="M956" s="632">
        <f t="shared" si="777"/>
        <v>6.0601574803149635E-2</v>
      </c>
      <c r="N956" s="632">
        <f t="shared" si="777"/>
        <v>4.1142292490118575E-2</v>
      </c>
      <c r="O956" s="632">
        <f t="shared" si="777"/>
        <v>3.5186166007905133E-2</v>
      </c>
      <c r="P956" s="632">
        <f t="shared" si="777"/>
        <v>3.5071314741035857E-2</v>
      </c>
      <c r="Q956" s="632">
        <f t="shared" si="777"/>
        <v>3.6869444444444434E-2</v>
      </c>
      <c r="R956" s="632">
        <f t="shared" si="777"/>
        <v>3.4088142292490117E-2</v>
      </c>
      <c r="S956" s="632">
        <f t="shared" si="777"/>
        <v>3.3291924901185765E-2</v>
      </c>
      <c r="T956" s="632">
        <f t="shared" si="777"/>
        <v>3.4851525691699602E-2</v>
      </c>
      <c r="U956" s="632">
        <f t="shared" si="777"/>
        <v>4.0590186507936499E-2</v>
      </c>
      <c r="V956" s="632">
        <f t="shared" si="777"/>
        <v>4.475233466135458E-2</v>
      </c>
      <c r="W956" s="632">
        <f t="shared" si="777"/>
        <v>5.4859274900398394E-2</v>
      </c>
      <c r="X956" s="632">
        <f t="shared" si="777"/>
        <v>5.3175798418972339E-2</v>
      </c>
      <c r="Y956" s="632">
        <f t="shared" si="777"/>
        <v>3.8938871345029234E-2</v>
      </c>
      <c r="Z956" s="632">
        <f t="shared" si="777"/>
        <v>3.0476942E-2</v>
      </c>
      <c r="AA956" s="632">
        <f t="shared" si="777"/>
        <v>3.8181253815261065E-2</v>
      </c>
      <c r="AB956" s="632">
        <f t="shared" si="777"/>
        <v>7.5826553413654629E-2</v>
      </c>
      <c r="AC956" s="632">
        <f t="shared" si="777"/>
        <v>8.3465279199999992E-2</v>
      </c>
      <c r="AD956" s="632">
        <f t="shared" si="777"/>
        <v>7.614706410256411E-2</v>
      </c>
      <c r="AE956" s="632">
        <f t="shared" si="777"/>
        <v>7.002391122666915E-2</v>
      </c>
      <c r="AF956" s="632">
        <f t="shared" si="777"/>
        <v>6.6420061322820717E-2</v>
      </c>
      <c r="AG956" s="632">
        <f t="shared" si="777"/>
        <v>6.687819691675953E-2</v>
      </c>
      <c r="AH956" s="632">
        <f t="shared" si="777"/>
        <v>6.7016205868980244E-2</v>
      </c>
      <c r="AI956" s="632">
        <f t="shared" si="777"/>
        <v>6.7075286921373739E-2</v>
      </c>
      <c r="AJ956" s="632">
        <f t="shared" si="777"/>
        <v>6.5299999999999886E-2</v>
      </c>
      <c r="AK956" s="632">
        <f t="shared" si="777"/>
        <v>6.5299999999999886E-2</v>
      </c>
      <c r="AL956" s="632">
        <f t="shared" si="777"/>
        <v>6.5299999999999886E-2</v>
      </c>
      <c r="AM956" s="632">
        <f t="shared" si="777"/>
        <v>6.5299999999999886E-2</v>
      </c>
      <c r="AN956" s="632">
        <f t="shared" si="777"/>
        <v>6.5299999999999886E-2</v>
      </c>
      <c r="AO956" s="632">
        <f t="shared" si="777"/>
        <v>6.5299999999999886E-2</v>
      </c>
      <c r="AP956" s="632">
        <f t="shared" si="777"/>
        <v>6.5299999999999886E-2</v>
      </c>
      <c r="AQ956" s="632">
        <f t="shared" si="777"/>
        <v>6.5299999999999886E-2</v>
      </c>
      <c r="AR956" s="632">
        <f t="shared" si="777"/>
        <v>6.5299999999999886E-2</v>
      </c>
      <c r="AS956" s="632">
        <f t="shared" si="777"/>
        <v>6.5299999999999886E-2</v>
      </c>
    </row>
    <row r="957" spans="1:45" ht="15" customHeight="1" x14ac:dyDescent="0.3">
      <c r="A957" s="244"/>
      <c r="B957" s="244"/>
      <c r="C957" s="245"/>
      <c r="D957" s="246"/>
      <c r="E957" s="549"/>
      <c r="F957" s="835"/>
      <c r="G957" s="136"/>
      <c r="I957" s="116"/>
      <c r="K957" s="836"/>
      <c r="L957" s="836"/>
      <c r="M957" s="836"/>
      <c r="N957" s="836"/>
      <c r="O957" s="836"/>
      <c r="P957" s="836"/>
      <c r="Q957" s="836"/>
      <c r="R957" s="836"/>
      <c r="S957" s="836"/>
      <c r="T957" s="836"/>
      <c r="U957" s="836"/>
      <c r="V957" s="836"/>
      <c r="W957" s="836"/>
      <c r="X957" s="836"/>
      <c r="Y957" s="836"/>
      <c r="Z957" s="836"/>
      <c r="AA957" s="836"/>
      <c r="AB957" s="836"/>
      <c r="AC957" s="836"/>
      <c r="AD957" s="836"/>
      <c r="AE957" s="836"/>
      <c r="AF957" s="836"/>
      <c r="AG957" s="836"/>
      <c r="AH957" s="836"/>
      <c r="AI957" s="836"/>
      <c r="AJ957" s="836"/>
      <c r="AK957" s="836"/>
      <c r="AL957" s="836"/>
      <c r="AM957" s="836"/>
      <c r="AN957" s="836"/>
      <c r="AO957" s="836"/>
      <c r="AP957" s="836"/>
      <c r="AQ957" s="836"/>
      <c r="AR957" s="836"/>
      <c r="AS957" s="836"/>
    </row>
    <row r="958" spans="1:45" ht="15" customHeight="1" x14ac:dyDescent="0.3">
      <c r="A958" s="244"/>
      <c r="B958" s="244"/>
      <c r="C958" s="245"/>
      <c r="D958" s="246"/>
      <c r="E958" s="549" t="str">
        <f xml:space="preserve"> Inputs_Con!E$123</f>
        <v>Gecamines carry loan opening balance</v>
      </c>
      <c r="F958" s="549">
        <f xml:space="preserve"> Inputs_Con!F$123</f>
        <v>0</v>
      </c>
      <c r="G958" s="136" t="str">
        <f xml:space="preserve"> Inputs_Con!G$123</f>
        <v>$ mn</v>
      </c>
      <c r="I958" s="116"/>
      <c r="K958" s="836"/>
      <c r="L958" s="836"/>
      <c r="M958" s="836"/>
      <c r="N958" s="836"/>
      <c r="O958" s="836"/>
      <c r="P958" s="836"/>
      <c r="Q958" s="836"/>
      <c r="R958" s="836"/>
      <c r="S958" s="836"/>
      <c r="T958" s="836"/>
      <c r="U958" s="836"/>
      <c r="V958" s="836"/>
      <c r="W958" s="836"/>
      <c r="X958" s="836"/>
      <c r="Y958" s="836"/>
      <c r="Z958" s="836"/>
      <c r="AA958" s="836"/>
      <c r="AB958" s="836"/>
      <c r="AC958" s="836"/>
      <c r="AD958" s="836"/>
      <c r="AE958" s="836"/>
      <c r="AF958" s="836"/>
      <c r="AG958" s="836"/>
      <c r="AH958" s="836"/>
      <c r="AI958" s="836"/>
      <c r="AJ958" s="836"/>
      <c r="AK958" s="836"/>
      <c r="AL958" s="836"/>
      <c r="AM958" s="836"/>
      <c r="AN958" s="836"/>
      <c r="AO958" s="836"/>
      <c r="AP958" s="836"/>
      <c r="AQ958" s="836"/>
      <c r="AR958" s="836"/>
      <c r="AS958" s="836"/>
    </row>
    <row r="959" spans="1:45" ht="15" customHeight="1" x14ac:dyDescent="0.3">
      <c r="A959" s="244"/>
      <c r="B959" s="244"/>
      <c r="C959" s="245"/>
      <c r="D959" s="246"/>
      <c r="E959" s="549" t="str">
        <f xml:space="preserve"> Inputs_Con!E$124</f>
        <v>Opening balance Gecamines loan year</v>
      </c>
      <c r="F959" s="837">
        <f xml:space="preserve"> Inputs_Con!F$124</f>
        <v>2017</v>
      </c>
      <c r="G959" s="136" t="str">
        <f xml:space="preserve"> Inputs_Con!G$124</f>
        <v>year</v>
      </c>
      <c r="I959" s="116"/>
      <c r="K959" s="836"/>
      <c r="L959" s="836"/>
      <c r="M959" s="836"/>
      <c r="N959" s="836"/>
      <c r="O959" s="836"/>
      <c r="P959" s="836"/>
      <c r="Q959" s="836"/>
      <c r="R959" s="836"/>
      <c r="S959" s="836"/>
      <c r="T959" s="836"/>
      <c r="U959" s="836"/>
      <c r="V959" s="836"/>
      <c r="W959" s="836"/>
      <c r="X959" s="836"/>
      <c r="Y959" s="836"/>
      <c r="Z959" s="836"/>
      <c r="AA959" s="836"/>
      <c r="AB959" s="836"/>
      <c r="AC959" s="836"/>
      <c r="AD959" s="836"/>
      <c r="AE959" s="836"/>
      <c r="AF959" s="836"/>
      <c r="AG959" s="836"/>
      <c r="AH959" s="836"/>
      <c r="AI959" s="836"/>
      <c r="AJ959" s="836"/>
      <c r="AK959" s="836"/>
      <c r="AL959" s="836"/>
      <c r="AM959" s="836"/>
      <c r="AN959" s="836"/>
      <c r="AO959" s="836"/>
      <c r="AP959" s="836"/>
      <c r="AQ959" s="836"/>
      <c r="AR959" s="836"/>
      <c r="AS959" s="836"/>
    </row>
    <row r="960" spans="1:45" ht="15" customHeight="1" x14ac:dyDescent="0.3">
      <c r="A960" s="244"/>
      <c r="B960" s="244"/>
      <c r="C960" s="245"/>
      <c r="D960" s="246"/>
      <c r="E960" s="246"/>
      <c r="F960" s="246"/>
      <c r="G960" s="246"/>
      <c r="I960" s="116"/>
      <c r="K960" s="836"/>
      <c r="L960" s="836"/>
      <c r="M960" s="836"/>
      <c r="N960" s="836"/>
      <c r="O960" s="836"/>
      <c r="P960" s="836"/>
      <c r="Q960" s="836"/>
      <c r="R960" s="836"/>
      <c r="S960" s="836"/>
      <c r="T960" s="836"/>
      <c r="U960" s="836"/>
      <c r="V960" s="836"/>
      <c r="W960" s="836"/>
      <c r="X960" s="836"/>
      <c r="Y960" s="836"/>
      <c r="Z960" s="836"/>
      <c r="AA960" s="836"/>
      <c r="AB960" s="836"/>
      <c r="AC960" s="836"/>
      <c r="AD960" s="836"/>
      <c r="AE960" s="836"/>
      <c r="AF960" s="836"/>
      <c r="AG960" s="836"/>
      <c r="AH960" s="836"/>
      <c r="AI960" s="836"/>
      <c r="AJ960" s="836"/>
      <c r="AK960" s="836"/>
      <c r="AL960" s="836"/>
      <c r="AM960" s="836"/>
      <c r="AN960" s="836"/>
      <c r="AO960" s="836"/>
      <c r="AP960" s="836"/>
      <c r="AQ960" s="836"/>
      <c r="AR960" s="836"/>
      <c r="AS960" s="836"/>
    </row>
    <row r="961" spans="1:45" ht="15" customHeight="1" x14ac:dyDescent="0.3">
      <c r="A961" s="244"/>
      <c r="B961" s="244"/>
      <c r="C961" s="245"/>
      <c r="D961" s="246"/>
      <c r="E961" s="549" t="str">
        <f xml:space="preserve"> Inputs_Con!E$128</f>
        <v>Apply opening balance on Gecamines loan</v>
      </c>
      <c r="F961" s="549">
        <f xml:space="preserve"> Inputs_Con!F$128</f>
        <v>1</v>
      </c>
      <c r="G961" s="835" t="str">
        <f xml:space="preserve"> Inputs_Con!G$128</f>
        <v>flag</v>
      </c>
      <c r="I961" s="116"/>
      <c r="K961" s="836"/>
      <c r="L961" s="836"/>
      <c r="M961" s="836"/>
      <c r="N961" s="836"/>
      <c r="O961" s="836"/>
      <c r="P961" s="836"/>
      <c r="Q961" s="836"/>
      <c r="R961" s="836"/>
      <c r="S961" s="836"/>
      <c r="T961" s="836"/>
      <c r="U961" s="836"/>
      <c r="V961" s="836"/>
      <c r="W961" s="836"/>
      <c r="X961" s="836"/>
      <c r="Y961" s="836"/>
      <c r="Z961" s="836"/>
      <c r="AA961" s="836"/>
      <c r="AB961" s="836"/>
      <c r="AC961" s="836"/>
      <c r="AD961" s="836"/>
      <c r="AE961" s="836"/>
      <c r="AF961" s="836"/>
      <c r="AG961" s="836"/>
      <c r="AH961" s="836"/>
      <c r="AI961" s="836"/>
      <c r="AJ961" s="836"/>
      <c r="AK961" s="836"/>
      <c r="AL961" s="836"/>
      <c r="AM961" s="836"/>
      <c r="AN961" s="836"/>
      <c r="AO961" s="836"/>
      <c r="AP961" s="836"/>
      <c r="AQ961" s="836"/>
      <c r="AR961" s="836"/>
      <c r="AS961" s="836"/>
    </row>
    <row r="962" spans="1:45" ht="15" customHeight="1" x14ac:dyDescent="0.3">
      <c r="A962" s="244"/>
      <c r="B962" s="244"/>
      <c r="C962" s="245"/>
      <c r="D962" s="246"/>
      <c r="E962" s="549" t="str">
        <f xml:space="preserve"> Inputs_Con!E$129</f>
        <v>Apply interest on Gecamines loan</v>
      </c>
      <c r="F962" s="549">
        <f xml:space="preserve"> Inputs_Con!F$129</f>
        <v>1</v>
      </c>
      <c r="G962" s="835" t="str">
        <f xml:space="preserve"> Inputs_Con!G$129</f>
        <v>flag</v>
      </c>
      <c r="I962" s="116"/>
      <c r="K962" s="836"/>
      <c r="L962" s="836"/>
      <c r="M962" s="836"/>
      <c r="N962" s="836"/>
      <c r="O962" s="836"/>
      <c r="P962" s="836"/>
      <c r="Q962" s="836"/>
      <c r="R962" s="836"/>
      <c r="S962" s="836"/>
      <c r="T962" s="836"/>
      <c r="U962" s="836"/>
      <c r="V962" s="836"/>
      <c r="W962" s="836"/>
      <c r="X962" s="836"/>
      <c r="Y962" s="836"/>
      <c r="Z962" s="836"/>
      <c r="AA962" s="836"/>
      <c r="AB962" s="836"/>
      <c r="AC962" s="836"/>
      <c r="AD962" s="836"/>
      <c r="AE962" s="836"/>
      <c r="AF962" s="836"/>
      <c r="AG962" s="836"/>
      <c r="AH962" s="836"/>
      <c r="AI962" s="836"/>
      <c r="AJ962" s="836"/>
      <c r="AK962" s="836"/>
      <c r="AL962" s="836"/>
      <c r="AM962" s="836"/>
      <c r="AN962" s="836"/>
      <c r="AO962" s="836"/>
      <c r="AP962" s="836"/>
      <c r="AQ962" s="836"/>
      <c r="AR962" s="836"/>
      <c r="AS962" s="836"/>
    </row>
    <row r="963" spans="1:45" ht="15" customHeight="1" x14ac:dyDescent="0.3">
      <c r="A963" s="244"/>
      <c r="B963" s="244"/>
      <c r="C963" s="245"/>
      <c r="D963" s="246"/>
      <c r="E963" s="246"/>
      <c r="F963" s="246"/>
      <c r="G963" s="246"/>
      <c r="I963" s="116"/>
      <c r="K963" s="836"/>
      <c r="L963" s="836"/>
      <c r="M963" s="836"/>
      <c r="N963" s="836"/>
      <c r="O963" s="836"/>
      <c r="P963" s="836"/>
      <c r="Q963" s="836"/>
      <c r="R963" s="836"/>
      <c r="S963" s="836"/>
      <c r="T963" s="836"/>
      <c r="U963" s="836"/>
      <c r="V963" s="836"/>
      <c r="W963" s="836"/>
      <c r="X963" s="836"/>
      <c r="Y963" s="836"/>
      <c r="Z963" s="836"/>
      <c r="AA963" s="836"/>
      <c r="AB963" s="836"/>
      <c r="AC963" s="836"/>
      <c r="AD963" s="836"/>
      <c r="AE963" s="836"/>
      <c r="AF963" s="836"/>
      <c r="AG963" s="836"/>
      <c r="AH963" s="836"/>
      <c r="AI963" s="836"/>
      <c r="AJ963" s="836"/>
      <c r="AK963" s="836"/>
      <c r="AL963" s="836"/>
      <c r="AM963" s="836"/>
      <c r="AN963" s="836"/>
      <c r="AO963" s="836"/>
      <c r="AP963" s="836"/>
      <c r="AQ963" s="836"/>
      <c r="AR963" s="836"/>
      <c r="AS963" s="836"/>
    </row>
    <row r="964" spans="1:45" ht="15" customHeight="1" x14ac:dyDescent="0.3">
      <c r="A964" s="479"/>
      <c r="B964" s="480"/>
      <c r="C964" s="481"/>
      <c r="D964" s="482"/>
      <c r="E964" s="497" t="str">
        <f xml:space="preserve"> 'T&amp;E'!E$9</f>
        <v>Model calendar year</v>
      </c>
      <c r="F964" s="497"/>
      <c r="G964" s="497" t="str">
        <f xml:space="preserve"> 'T&amp;E'!G$9</f>
        <v>year</v>
      </c>
      <c r="H964" s="497"/>
      <c r="I964" s="497"/>
      <c r="J964" s="497">
        <f xml:space="preserve"> 'T&amp;E'!J$9</f>
        <v>0</v>
      </c>
      <c r="K964" s="497">
        <f xml:space="preserve"> 'T&amp;E'!K$9</f>
        <v>2006</v>
      </c>
      <c r="L964" s="497">
        <f xml:space="preserve"> 'T&amp;E'!L$9</f>
        <v>2007</v>
      </c>
      <c r="M964" s="497">
        <f xml:space="preserve"> 'T&amp;E'!M$9</f>
        <v>2008</v>
      </c>
      <c r="N964" s="497">
        <f xml:space="preserve"> 'T&amp;E'!N$9</f>
        <v>2009</v>
      </c>
      <c r="O964" s="497">
        <f xml:space="preserve"> 'T&amp;E'!O$9</f>
        <v>2010</v>
      </c>
      <c r="P964" s="497">
        <f xml:space="preserve"> 'T&amp;E'!P$9</f>
        <v>2011</v>
      </c>
      <c r="Q964" s="497">
        <f xml:space="preserve"> 'T&amp;E'!Q$9</f>
        <v>2012</v>
      </c>
      <c r="R964" s="497">
        <f xml:space="preserve"> 'T&amp;E'!R$9</f>
        <v>2013</v>
      </c>
      <c r="S964" s="497">
        <f xml:space="preserve"> 'T&amp;E'!S$9</f>
        <v>2014</v>
      </c>
      <c r="T964" s="497">
        <f xml:space="preserve"> 'T&amp;E'!T$9</f>
        <v>2015</v>
      </c>
      <c r="U964" s="497">
        <f xml:space="preserve"> 'T&amp;E'!U$9</f>
        <v>2016</v>
      </c>
      <c r="V964" s="497">
        <f xml:space="preserve"> 'T&amp;E'!V$9</f>
        <v>2017</v>
      </c>
      <c r="W964" s="497">
        <f xml:space="preserve"> 'T&amp;E'!W$9</f>
        <v>2018</v>
      </c>
      <c r="X964" s="497">
        <f xml:space="preserve"> 'T&amp;E'!X$9</f>
        <v>2019</v>
      </c>
      <c r="Y964" s="497">
        <f xml:space="preserve"> 'T&amp;E'!Y$9</f>
        <v>2020</v>
      </c>
      <c r="Z964" s="497">
        <f xml:space="preserve"> 'T&amp;E'!Z$9</f>
        <v>2021</v>
      </c>
      <c r="AA964" s="497">
        <f xml:space="preserve"> 'T&amp;E'!AA$9</f>
        <v>2022</v>
      </c>
      <c r="AB964" s="497">
        <f xml:space="preserve"> 'T&amp;E'!AB$9</f>
        <v>2023</v>
      </c>
      <c r="AC964" s="497">
        <f xml:space="preserve"> 'T&amp;E'!AC$9</f>
        <v>2024</v>
      </c>
      <c r="AD964" s="497">
        <f xml:space="preserve"> 'T&amp;E'!AD$9</f>
        <v>2025</v>
      </c>
      <c r="AE964" s="497">
        <f xml:space="preserve"> 'T&amp;E'!AE$9</f>
        <v>2026</v>
      </c>
      <c r="AF964" s="497">
        <f xml:space="preserve"> 'T&amp;E'!AF$9</f>
        <v>2027</v>
      </c>
      <c r="AG964" s="497">
        <f xml:space="preserve"> 'T&amp;E'!AG$9</f>
        <v>2028</v>
      </c>
      <c r="AH964" s="497">
        <f xml:space="preserve"> 'T&amp;E'!AH$9</f>
        <v>2029</v>
      </c>
      <c r="AI964" s="497">
        <f xml:space="preserve"> 'T&amp;E'!AI$9</f>
        <v>2030</v>
      </c>
      <c r="AJ964" s="497">
        <f xml:space="preserve"> 'T&amp;E'!AJ$9</f>
        <v>2031</v>
      </c>
      <c r="AK964" s="497">
        <f xml:space="preserve"> 'T&amp;E'!AK$9</f>
        <v>2032</v>
      </c>
      <c r="AL964" s="497">
        <f xml:space="preserve"> 'T&amp;E'!AL$9</f>
        <v>2033</v>
      </c>
      <c r="AM964" s="497">
        <f xml:space="preserve"> 'T&amp;E'!AM$9</f>
        <v>2034</v>
      </c>
      <c r="AN964" s="497">
        <f xml:space="preserve"> 'T&amp;E'!AN$9</f>
        <v>2035</v>
      </c>
      <c r="AO964" s="497">
        <f xml:space="preserve"> 'T&amp;E'!AO$9</f>
        <v>2036</v>
      </c>
      <c r="AP964" s="497">
        <f xml:space="preserve"> 'T&amp;E'!AP$9</f>
        <v>2037</v>
      </c>
      <c r="AQ964" s="497">
        <f xml:space="preserve"> 'T&amp;E'!AQ$9</f>
        <v>2038</v>
      </c>
      <c r="AR964" s="497">
        <f xml:space="preserve"> 'T&amp;E'!AR$9</f>
        <v>2039</v>
      </c>
      <c r="AS964" s="497">
        <f xml:space="preserve"> 'T&amp;E'!AS$9</f>
        <v>2040</v>
      </c>
    </row>
    <row r="965" spans="1:45" ht="15" customHeight="1" x14ac:dyDescent="0.3">
      <c r="A965" s="479"/>
      <c r="B965" s="480"/>
      <c r="C965" s="481"/>
      <c r="D965" s="482"/>
      <c r="E965" s="838" t="s">
        <v>825</v>
      </c>
      <c r="F965" s="839"/>
      <c r="G965" s="839" t="s">
        <v>346</v>
      </c>
      <c r="H965" s="839"/>
      <c r="I965" s="839"/>
      <c r="J965" s="839"/>
      <c r="K965" s="839">
        <f>IF( K964 = $F959, $F958 * $F961, J969)</f>
        <v>0</v>
      </c>
      <c r="L965" s="839">
        <f t="shared" ref="L965:AS965" si="778">IF( L964 = $F959, $F958 * $F961, K969)</f>
        <v>0</v>
      </c>
      <c r="M965" s="839">
        <f t="shared" si="778"/>
        <v>0</v>
      </c>
      <c r="N965" s="839">
        <f t="shared" si="778"/>
        <v>0</v>
      </c>
      <c r="O965" s="839">
        <f t="shared" si="778"/>
        <v>0</v>
      </c>
      <c r="P965" s="839">
        <f t="shared" si="778"/>
        <v>0</v>
      </c>
      <c r="Q965" s="839">
        <f t="shared" si="778"/>
        <v>0</v>
      </c>
      <c r="R965" s="839">
        <f t="shared" si="778"/>
        <v>0</v>
      </c>
      <c r="S965" s="839">
        <f t="shared" si="778"/>
        <v>0</v>
      </c>
      <c r="T965" s="839">
        <f t="shared" si="778"/>
        <v>0</v>
      </c>
      <c r="U965" s="839">
        <f t="shared" si="778"/>
        <v>0</v>
      </c>
      <c r="V965" s="839">
        <f t="shared" si="778"/>
        <v>0</v>
      </c>
      <c r="W965" s="839">
        <f t="shared" si="778"/>
        <v>38.457858940199998</v>
      </c>
      <c r="X965" s="839">
        <f t="shared" si="778"/>
        <v>0</v>
      </c>
      <c r="Y965" s="839">
        <f t="shared" si="778"/>
        <v>14.694963553496899</v>
      </c>
      <c r="Z965" s="839">
        <f t="shared" si="778"/>
        <v>0</v>
      </c>
      <c r="AA965" s="839">
        <f t="shared" si="778"/>
        <v>0</v>
      </c>
      <c r="AB965" s="839">
        <f t="shared" si="778"/>
        <v>0</v>
      </c>
      <c r="AC965" s="839">
        <f t="shared" si="778"/>
        <v>0</v>
      </c>
      <c r="AD965" s="839">
        <f t="shared" si="778"/>
        <v>0</v>
      </c>
      <c r="AE965" s="839">
        <f t="shared" si="778"/>
        <v>0</v>
      </c>
      <c r="AF965" s="839">
        <f t="shared" si="778"/>
        <v>0</v>
      </c>
      <c r="AG965" s="839">
        <f t="shared" si="778"/>
        <v>0</v>
      </c>
      <c r="AH965" s="839">
        <f t="shared" si="778"/>
        <v>0</v>
      </c>
      <c r="AI965" s="839">
        <f t="shared" si="778"/>
        <v>0</v>
      </c>
      <c r="AJ965" s="839">
        <f t="shared" si="778"/>
        <v>0</v>
      </c>
      <c r="AK965" s="839">
        <f t="shared" si="778"/>
        <v>0</v>
      </c>
      <c r="AL965" s="839">
        <f t="shared" si="778"/>
        <v>0</v>
      </c>
      <c r="AM965" s="839">
        <f t="shared" si="778"/>
        <v>0</v>
      </c>
      <c r="AN965" s="839">
        <f t="shared" si="778"/>
        <v>0</v>
      </c>
      <c r="AO965" s="839">
        <f t="shared" si="778"/>
        <v>0</v>
      </c>
      <c r="AP965" s="839">
        <f t="shared" si="778"/>
        <v>0</v>
      </c>
      <c r="AQ965" s="839">
        <f t="shared" si="778"/>
        <v>0</v>
      </c>
      <c r="AR965" s="839">
        <f t="shared" si="778"/>
        <v>0</v>
      </c>
      <c r="AS965" s="839">
        <f t="shared" si="778"/>
        <v>0</v>
      </c>
    </row>
    <row r="966" spans="1:45" ht="15" customHeight="1" x14ac:dyDescent="0.3">
      <c r="A966" s="479"/>
      <c r="B966" s="480"/>
      <c r="C966" s="481"/>
      <c r="D966" s="840" t="s">
        <v>826</v>
      </c>
      <c r="E966" s="841" t="s">
        <v>827</v>
      </c>
      <c r="F966" s="842"/>
      <c r="G966" s="842" t="s">
        <v>346</v>
      </c>
      <c r="H966" s="842"/>
      <c r="I966" s="842">
        <f>SUM(K966:AS966)</f>
        <v>2.6819755509106855</v>
      </c>
      <c r="J966" s="842">
        <f xml:space="preserve"> SUM(Q966:AV966)</f>
        <v>2.6819755509106855</v>
      </c>
      <c r="K966" s="842">
        <f xml:space="preserve"> (K965)  * K956 * $F962</f>
        <v>0</v>
      </c>
      <c r="L966" s="842">
        <f xml:space="preserve"> (L965)  * L956 * $F962</f>
        <v>0</v>
      </c>
      <c r="M966" s="842">
        <f t="shared" ref="M966:AS966" si="779" xml:space="preserve"> (M965)  * M956 * $F962</f>
        <v>0</v>
      </c>
      <c r="N966" s="842">
        <f t="shared" si="779"/>
        <v>0</v>
      </c>
      <c r="O966" s="842">
        <f t="shared" si="779"/>
        <v>0</v>
      </c>
      <c r="P966" s="842">
        <f t="shared" si="779"/>
        <v>0</v>
      </c>
      <c r="Q966" s="842">
        <f t="shared" si="779"/>
        <v>0</v>
      </c>
      <c r="R966" s="842">
        <f t="shared" si="779"/>
        <v>0</v>
      </c>
      <c r="S966" s="842">
        <f t="shared" si="779"/>
        <v>0</v>
      </c>
      <c r="T966" s="842">
        <f t="shared" si="779"/>
        <v>0</v>
      </c>
      <c r="U966" s="842">
        <f t="shared" si="779"/>
        <v>0</v>
      </c>
      <c r="V966" s="842">
        <f t="shared" si="779"/>
        <v>0</v>
      </c>
      <c r="W966" s="842">
        <f t="shared" si="779"/>
        <v>2.1097702556811759</v>
      </c>
      <c r="X966" s="842">
        <f t="shared" si="779"/>
        <v>0</v>
      </c>
      <c r="Y966" s="842">
        <f t="shared" si="779"/>
        <v>0.57220529522950936</v>
      </c>
      <c r="Z966" s="842">
        <f t="shared" si="779"/>
        <v>0</v>
      </c>
      <c r="AA966" s="842">
        <f t="shared" si="779"/>
        <v>0</v>
      </c>
      <c r="AB966" s="842">
        <f t="shared" si="779"/>
        <v>0</v>
      </c>
      <c r="AC966" s="842">
        <f t="shared" si="779"/>
        <v>0</v>
      </c>
      <c r="AD966" s="842">
        <f t="shared" si="779"/>
        <v>0</v>
      </c>
      <c r="AE966" s="842">
        <f t="shared" si="779"/>
        <v>0</v>
      </c>
      <c r="AF966" s="842">
        <f t="shared" si="779"/>
        <v>0</v>
      </c>
      <c r="AG966" s="842">
        <f t="shared" si="779"/>
        <v>0</v>
      </c>
      <c r="AH966" s="842">
        <f t="shared" si="779"/>
        <v>0</v>
      </c>
      <c r="AI966" s="842">
        <f t="shared" si="779"/>
        <v>0</v>
      </c>
      <c r="AJ966" s="842">
        <f t="shared" si="779"/>
        <v>0</v>
      </c>
      <c r="AK966" s="842">
        <f t="shared" si="779"/>
        <v>0</v>
      </c>
      <c r="AL966" s="842">
        <f t="shared" si="779"/>
        <v>0</v>
      </c>
      <c r="AM966" s="842">
        <f t="shared" si="779"/>
        <v>0</v>
      </c>
      <c r="AN966" s="842">
        <f t="shared" si="779"/>
        <v>0</v>
      </c>
      <c r="AO966" s="842">
        <f t="shared" si="779"/>
        <v>0</v>
      </c>
      <c r="AP966" s="842">
        <f t="shared" si="779"/>
        <v>0</v>
      </c>
      <c r="AQ966" s="842">
        <f t="shared" si="779"/>
        <v>0</v>
      </c>
      <c r="AR966" s="842">
        <f t="shared" si="779"/>
        <v>0</v>
      </c>
      <c r="AS966" s="842">
        <f t="shared" si="779"/>
        <v>0</v>
      </c>
    </row>
    <row r="967" spans="1:45" ht="15" customHeight="1" x14ac:dyDescent="0.3">
      <c r="A967" s="479"/>
      <c r="B967" s="480"/>
      <c r="C967" s="481"/>
      <c r="D967" s="840" t="s">
        <v>826</v>
      </c>
      <c r="E967" s="841" t="s">
        <v>828</v>
      </c>
      <c r="F967" s="842"/>
      <c r="G967" s="842" t="s">
        <v>346</v>
      </c>
      <c r="H967" s="842"/>
      <c r="I967" s="842"/>
      <c r="J967" s="842"/>
      <c r="K967" s="842">
        <f t="shared" ref="K967:O967" si="780" xml:space="preserve"> (K947 &lt; 0) * K947 * -1</f>
        <v>0</v>
      </c>
      <c r="L967" s="842">
        <f t="shared" si="780"/>
        <v>0</v>
      </c>
      <c r="M967" s="842">
        <f t="shared" si="780"/>
        <v>0</v>
      </c>
      <c r="N967" s="842">
        <f t="shared" si="780"/>
        <v>0</v>
      </c>
      <c r="O967" s="842">
        <f t="shared" si="780"/>
        <v>0</v>
      </c>
      <c r="P967" s="842">
        <f xml:space="preserve"> (P947 &lt; 0) * P947 * -1</f>
        <v>0</v>
      </c>
      <c r="Q967" s="842">
        <f xml:space="preserve"> (Q947 &lt; 0) * Q947 * -1</f>
        <v>0</v>
      </c>
      <c r="R967" s="842">
        <f t="shared" ref="R967:AS967" si="781" xml:space="preserve"> (R947 &lt; 0) * R947 * -1</f>
        <v>0</v>
      </c>
      <c r="S967" s="842">
        <f t="shared" si="781"/>
        <v>0</v>
      </c>
      <c r="T967" s="842">
        <f t="shared" si="781"/>
        <v>0</v>
      </c>
      <c r="U967" s="842">
        <f t="shared" si="781"/>
        <v>0</v>
      </c>
      <c r="V967" s="842">
        <f t="shared" si="781"/>
        <v>38.457858940199998</v>
      </c>
      <c r="W967" s="842">
        <f t="shared" si="781"/>
        <v>0</v>
      </c>
      <c r="X967" s="842">
        <f t="shared" si="781"/>
        <v>14.694963553496899</v>
      </c>
      <c r="Y967" s="842">
        <f t="shared" si="781"/>
        <v>0</v>
      </c>
      <c r="Z967" s="842">
        <f t="shared" si="781"/>
        <v>0</v>
      </c>
      <c r="AA967" s="842">
        <f t="shared" si="781"/>
        <v>0</v>
      </c>
      <c r="AB967" s="842">
        <f t="shared" si="781"/>
        <v>0</v>
      </c>
      <c r="AC967" s="842">
        <f t="shared" si="781"/>
        <v>0</v>
      </c>
      <c r="AD967" s="842">
        <f t="shared" si="781"/>
        <v>0</v>
      </c>
      <c r="AE967" s="842">
        <f t="shared" si="781"/>
        <v>0</v>
      </c>
      <c r="AF967" s="842">
        <f t="shared" si="781"/>
        <v>0</v>
      </c>
      <c r="AG967" s="842">
        <f t="shared" si="781"/>
        <v>0</v>
      </c>
      <c r="AH967" s="842">
        <f t="shared" si="781"/>
        <v>0</v>
      </c>
      <c r="AI967" s="842">
        <f t="shared" si="781"/>
        <v>0</v>
      </c>
      <c r="AJ967" s="842">
        <f t="shared" si="781"/>
        <v>0</v>
      </c>
      <c r="AK967" s="842">
        <f t="shared" si="781"/>
        <v>0</v>
      </c>
      <c r="AL967" s="842">
        <f t="shared" si="781"/>
        <v>0</v>
      </c>
      <c r="AM967" s="842">
        <f t="shared" si="781"/>
        <v>0</v>
      </c>
      <c r="AN967" s="842">
        <f t="shared" si="781"/>
        <v>0</v>
      </c>
      <c r="AO967" s="842">
        <f t="shared" si="781"/>
        <v>0</v>
      </c>
      <c r="AP967" s="842">
        <f t="shared" si="781"/>
        <v>0</v>
      </c>
      <c r="AQ967" s="842">
        <f t="shared" si="781"/>
        <v>0</v>
      </c>
      <c r="AR967" s="842">
        <f t="shared" si="781"/>
        <v>0</v>
      </c>
      <c r="AS967" s="842">
        <f t="shared" si="781"/>
        <v>0</v>
      </c>
    </row>
    <row r="968" spans="1:45" ht="15" customHeight="1" x14ac:dyDescent="0.3">
      <c r="A968" s="479"/>
      <c r="B968" s="480"/>
      <c r="C968" s="481"/>
      <c r="D968" s="840" t="s">
        <v>829</v>
      </c>
      <c r="E968" s="841" t="s">
        <v>830</v>
      </c>
      <c r="F968" s="842"/>
      <c r="G968" s="842" t="s">
        <v>346</v>
      </c>
      <c r="H968" s="842"/>
      <c r="I968" s="842">
        <f>SUM(K968:AS968)</f>
        <v>55.834798044607581</v>
      </c>
      <c r="J968" s="842">
        <f xml:space="preserve"> SUM(Q968:AV968)</f>
        <v>55.834798044607581</v>
      </c>
      <c r="K968" s="826">
        <f t="shared" ref="K968:O968" si="782" xml:space="preserve"> MIN(K965 + K966, K950)</f>
        <v>0</v>
      </c>
      <c r="L968" s="826">
        <f t="shared" si="782"/>
        <v>0</v>
      </c>
      <c r="M968" s="826">
        <f t="shared" si="782"/>
        <v>0</v>
      </c>
      <c r="N968" s="826">
        <f t="shared" si="782"/>
        <v>0</v>
      </c>
      <c r="O968" s="826">
        <f t="shared" si="782"/>
        <v>0</v>
      </c>
      <c r="P968" s="826">
        <f t="shared" ref="P968" si="783" xml:space="preserve"> MIN(P965 + P966, P950)</f>
        <v>0</v>
      </c>
      <c r="Q968" s="826">
        <f xml:space="preserve"> MIN(Q965 + Q966, Q950)</f>
        <v>0</v>
      </c>
      <c r="R968" s="826">
        <f t="shared" ref="R968:AS968" si="784" xml:space="preserve"> MIN(R965 + R966, R950)</f>
        <v>0</v>
      </c>
      <c r="S968" s="826">
        <f t="shared" si="784"/>
        <v>0</v>
      </c>
      <c r="T968" s="826">
        <f t="shared" si="784"/>
        <v>0</v>
      </c>
      <c r="U968" s="826">
        <f t="shared" si="784"/>
        <v>0</v>
      </c>
      <c r="V968" s="826">
        <f t="shared" si="784"/>
        <v>0</v>
      </c>
      <c r="W968" s="826">
        <f t="shared" si="784"/>
        <v>40.567629195881175</v>
      </c>
      <c r="X968" s="826">
        <f t="shared" si="784"/>
        <v>0</v>
      </c>
      <c r="Y968" s="826">
        <f t="shared" si="784"/>
        <v>15.267168848726408</v>
      </c>
      <c r="Z968" s="826">
        <f t="shared" si="784"/>
        <v>0</v>
      </c>
      <c r="AA968" s="826">
        <f t="shared" si="784"/>
        <v>0</v>
      </c>
      <c r="AB968" s="826">
        <f t="shared" si="784"/>
        <v>0</v>
      </c>
      <c r="AC968" s="826">
        <f t="shared" si="784"/>
        <v>0</v>
      </c>
      <c r="AD968" s="826">
        <f t="shared" si="784"/>
        <v>0</v>
      </c>
      <c r="AE968" s="826">
        <f t="shared" si="784"/>
        <v>0</v>
      </c>
      <c r="AF968" s="826">
        <f t="shared" si="784"/>
        <v>0</v>
      </c>
      <c r="AG968" s="826">
        <f t="shared" si="784"/>
        <v>0</v>
      </c>
      <c r="AH968" s="826">
        <f t="shared" si="784"/>
        <v>0</v>
      </c>
      <c r="AI968" s="826">
        <f t="shared" si="784"/>
        <v>0</v>
      </c>
      <c r="AJ968" s="826">
        <f t="shared" si="784"/>
        <v>0</v>
      </c>
      <c r="AK968" s="826">
        <f t="shared" si="784"/>
        <v>0</v>
      </c>
      <c r="AL968" s="826">
        <f t="shared" si="784"/>
        <v>0</v>
      </c>
      <c r="AM968" s="826">
        <f t="shared" si="784"/>
        <v>0</v>
      </c>
      <c r="AN968" s="826">
        <f t="shared" si="784"/>
        <v>0</v>
      </c>
      <c r="AO968" s="826">
        <f t="shared" si="784"/>
        <v>0</v>
      </c>
      <c r="AP968" s="826">
        <f t="shared" si="784"/>
        <v>0</v>
      </c>
      <c r="AQ968" s="826">
        <f t="shared" si="784"/>
        <v>0</v>
      </c>
      <c r="AR968" s="826">
        <f t="shared" si="784"/>
        <v>0</v>
      </c>
      <c r="AS968" s="826">
        <f t="shared" si="784"/>
        <v>0</v>
      </c>
    </row>
    <row r="969" spans="1:45" ht="15" customHeight="1" x14ac:dyDescent="0.3">
      <c r="A969" s="479"/>
      <c r="B969" s="480"/>
      <c r="C969" s="481"/>
      <c r="D969" s="482"/>
      <c r="E969" s="843" t="s">
        <v>831</v>
      </c>
      <c r="F969" s="844"/>
      <c r="G969" s="844" t="s">
        <v>346</v>
      </c>
      <c r="H969" s="844"/>
      <c r="I969" s="844"/>
      <c r="J969" s="845"/>
      <c r="K969" s="844">
        <f t="shared" ref="K969:O969" si="785" xml:space="preserve"> K965 + K966 + K967 - K968</f>
        <v>0</v>
      </c>
      <c r="L969" s="844">
        <f t="shared" si="785"/>
        <v>0</v>
      </c>
      <c r="M969" s="844">
        <f t="shared" si="785"/>
        <v>0</v>
      </c>
      <c r="N969" s="844">
        <f t="shared" si="785"/>
        <v>0</v>
      </c>
      <c r="O969" s="844">
        <f t="shared" si="785"/>
        <v>0</v>
      </c>
      <c r="P969" s="844">
        <f t="shared" ref="P969" si="786" xml:space="preserve"> P965 + P966 + P967 - P968</f>
        <v>0</v>
      </c>
      <c r="Q969" s="844">
        <f xml:space="preserve"> Q965 + Q966 + Q967 - Q968</f>
        <v>0</v>
      </c>
      <c r="R969" s="844">
        <f t="shared" ref="R969:AS969" si="787" xml:space="preserve"> R965 + R966 + R967 - R968</f>
        <v>0</v>
      </c>
      <c r="S969" s="844">
        <f t="shared" si="787"/>
        <v>0</v>
      </c>
      <c r="T969" s="844">
        <f t="shared" si="787"/>
        <v>0</v>
      </c>
      <c r="U969" s="844">
        <f t="shared" si="787"/>
        <v>0</v>
      </c>
      <c r="V969" s="844">
        <f t="shared" si="787"/>
        <v>38.457858940199998</v>
      </c>
      <c r="W969" s="844">
        <f t="shared" si="787"/>
        <v>0</v>
      </c>
      <c r="X969" s="844">
        <f t="shared" si="787"/>
        <v>14.694963553496899</v>
      </c>
      <c r="Y969" s="844">
        <f t="shared" si="787"/>
        <v>0</v>
      </c>
      <c r="Z969" s="844">
        <f t="shared" si="787"/>
        <v>0</v>
      </c>
      <c r="AA969" s="844">
        <f t="shared" si="787"/>
        <v>0</v>
      </c>
      <c r="AB969" s="844">
        <f t="shared" si="787"/>
        <v>0</v>
      </c>
      <c r="AC969" s="844">
        <f t="shared" si="787"/>
        <v>0</v>
      </c>
      <c r="AD969" s="844">
        <f t="shared" si="787"/>
        <v>0</v>
      </c>
      <c r="AE969" s="844">
        <f t="shared" si="787"/>
        <v>0</v>
      </c>
      <c r="AF969" s="844">
        <f t="shared" si="787"/>
        <v>0</v>
      </c>
      <c r="AG969" s="844">
        <f t="shared" si="787"/>
        <v>0</v>
      </c>
      <c r="AH969" s="844">
        <f t="shared" si="787"/>
        <v>0</v>
      </c>
      <c r="AI969" s="844">
        <f t="shared" si="787"/>
        <v>0</v>
      </c>
      <c r="AJ969" s="844">
        <f t="shared" si="787"/>
        <v>0</v>
      </c>
      <c r="AK969" s="844">
        <f t="shared" si="787"/>
        <v>0</v>
      </c>
      <c r="AL969" s="844">
        <f t="shared" si="787"/>
        <v>0</v>
      </c>
      <c r="AM969" s="844">
        <f t="shared" si="787"/>
        <v>0</v>
      </c>
      <c r="AN969" s="844">
        <f t="shared" si="787"/>
        <v>0</v>
      </c>
      <c r="AO969" s="844">
        <f t="shared" si="787"/>
        <v>0</v>
      </c>
      <c r="AP969" s="844">
        <f t="shared" si="787"/>
        <v>0</v>
      </c>
      <c r="AQ969" s="844">
        <f t="shared" si="787"/>
        <v>0</v>
      </c>
      <c r="AR969" s="844">
        <f t="shared" si="787"/>
        <v>0</v>
      </c>
      <c r="AS969" s="844">
        <f t="shared" si="787"/>
        <v>0</v>
      </c>
    </row>
    <row r="970" spans="1:45" ht="15" customHeight="1" x14ac:dyDescent="0.3">
      <c r="I970" s="116"/>
      <c r="AL970" s="42"/>
      <c r="AM970" s="42"/>
      <c r="AN970" s="42"/>
      <c r="AO970" s="42"/>
      <c r="AP970" s="42"/>
      <c r="AQ970" s="42"/>
      <c r="AR970" s="42"/>
      <c r="AS970" s="42"/>
    </row>
    <row r="971" spans="1:45" ht="15" customHeight="1" x14ac:dyDescent="0.3">
      <c r="A971" s="394"/>
      <c r="B971" s="394"/>
      <c r="C971" s="395"/>
      <c r="D971" s="34"/>
      <c r="E971" s="34" t="s">
        <v>833</v>
      </c>
      <c r="F971" s="34"/>
      <c r="G971" s="34" t="s">
        <v>346</v>
      </c>
      <c r="H971" s="230"/>
      <c r="I971" s="230">
        <f>SUM(K971:AS971)</f>
        <v>921.83851310159503</v>
      </c>
      <c r="J971" s="386"/>
      <c r="K971" s="34">
        <f t="shared" ref="K971:O971" si="788">K947 + K967 - K968</f>
        <v>0</v>
      </c>
      <c r="L971" s="34">
        <f t="shared" si="788"/>
        <v>0</v>
      </c>
      <c r="M971" s="34">
        <f t="shared" si="788"/>
        <v>0</v>
      </c>
      <c r="N971" s="34">
        <f t="shared" si="788"/>
        <v>0</v>
      </c>
      <c r="O971" s="34">
        <f t="shared" si="788"/>
        <v>0</v>
      </c>
      <c r="P971" s="34">
        <f>P947 + P967 - P968</f>
        <v>0</v>
      </c>
      <c r="Q971" s="34">
        <f t="shared" ref="Q971:AS971" si="789">Q947 + Q967 - Q968</f>
        <v>0</v>
      </c>
      <c r="R971" s="34">
        <f t="shared" si="789"/>
        <v>0</v>
      </c>
      <c r="S971" s="34">
        <f t="shared" si="789"/>
        <v>0</v>
      </c>
      <c r="T971" s="34">
        <f t="shared" si="789"/>
        <v>0</v>
      </c>
      <c r="U971" s="34">
        <f t="shared" si="789"/>
        <v>0</v>
      </c>
      <c r="V971" s="34">
        <f t="shared" si="789"/>
        <v>0</v>
      </c>
      <c r="W971" s="34">
        <f t="shared" si="789"/>
        <v>55.314913606598815</v>
      </c>
      <c r="X971" s="34">
        <f t="shared" si="789"/>
        <v>0</v>
      </c>
      <c r="Y971" s="34">
        <f t="shared" si="789"/>
        <v>28.804743620437343</v>
      </c>
      <c r="Z971" s="34">
        <f t="shared" si="789"/>
        <v>96.787395966146264</v>
      </c>
      <c r="AA971" s="34">
        <f t="shared" si="789"/>
        <v>66.581495631285847</v>
      </c>
      <c r="AB971" s="34">
        <f t="shared" si="789"/>
        <v>76.207260359806966</v>
      </c>
      <c r="AC971" s="34">
        <f t="shared" si="789"/>
        <v>20.942687830567063</v>
      </c>
      <c r="AD971" s="34">
        <f t="shared" si="789"/>
        <v>96.307306410075569</v>
      </c>
      <c r="AE971" s="34">
        <f t="shared" si="789"/>
        <v>91.873073234797815</v>
      </c>
      <c r="AF971" s="34">
        <f t="shared" si="789"/>
        <v>94.176371911874412</v>
      </c>
      <c r="AG971" s="34">
        <f t="shared" si="789"/>
        <v>90.113351436505482</v>
      </c>
      <c r="AH971" s="34">
        <f t="shared" si="789"/>
        <v>86.3436990901169</v>
      </c>
      <c r="AI971" s="34">
        <f t="shared" si="789"/>
        <v>50.106733441018733</v>
      </c>
      <c r="AJ971" s="34">
        <f t="shared" si="789"/>
        <v>61.652527230880366</v>
      </c>
      <c r="AK971" s="34">
        <f t="shared" si="789"/>
        <v>6.6269533314834765</v>
      </c>
      <c r="AL971" s="34">
        <f t="shared" si="789"/>
        <v>0</v>
      </c>
      <c r="AM971" s="34">
        <f t="shared" si="789"/>
        <v>0</v>
      </c>
      <c r="AN971" s="34">
        <f t="shared" si="789"/>
        <v>0</v>
      </c>
      <c r="AO971" s="34">
        <f t="shared" si="789"/>
        <v>0</v>
      </c>
      <c r="AP971" s="34">
        <f t="shared" si="789"/>
        <v>0</v>
      </c>
      <c r="AQ971" s="34">
        <f t="shared" si="789"/>
        <v>0</v>
      </c>
      <c r="AR971" s="34">
        <f t="shared" si="789"/>
        <v>0</v>
      </c>
      <c r="AS971" s="34">
        <f t="shared" si="789"/>
        <v>0</v>
      </c>
    </row>
    <row r="972" spans="1:45" ht="15" customHeight="1" x14ac:dyDescent="0.3">
      <c r="I972" s="116"/>
      <c r="AL972" s="42"/>
      <c r="AM972" s="42"/>
      <c r="AN972" s="42"/>
      <c r="AO972" s="42"/>
      <c r="AP972" s="42"/>
      <c r="AQ972" s="42"/>
      <c r="AR972" s="42"/>
      <c r="AS972" s="42"/>
    </row>
    <row r="973" spans="1:45" ht="15" customHeight="1" collapsed="1" x14ac:dyDescent="0.3">
      <c r="A973" s="15" t="s">
        <v>738</v>
      </c>
      <c r="B973" s="119"/>
      <c r="C973" s="120"/>
      <c r="D973" s="121"/>
      <c r="E973" s="119"/>
      <c r="F973" s="119"/>
      <c r="G973" s="119"/>
      <c r="H973" s="119"/>
      <c r="I973" s="119"/>
      <c r="J973" s="16"/>
      <c r="K973" s="16"/>
      <c r="L973" s="16"/>
      <c r="M973" s="16"/>
      <c r="N973" s="16"/>
      <c r="O973" s="16"/>
      <c r="P973" s="16"/>
      <c r="Q973" s="16"/>
      <c r="R973" s="16"/>
      <c r="S973" s="16"/>
      <c r="T973" s="16"/>
      <c r="U973" s="16"/>
      <c r="V973" s="16"/>
      <c r="W973" s="16"/>
      <c r="X973" s="16"/>
      <c r="Y973" s="16"/>
      <c r="Z973" s="16"/>
      <c r="AA973" s="16"/>
      <c r="AB973" s="16"/>
      <c r="AC973" s="16"/>
      <c r="AD973" s="16"/>
      <c r="AE973" s="16"/>
      <c r="AF973" s="16"/>
      <c r="AG973" s="16"/>
      <c r="AH973" s="16"/>
      <c r="AI973" s="16"/>
      <c r="AJ973" s="16"/>
      <c r="AK973" s="16"/>
      <c r="AL973" s="16"/>
      <c r="AM973" s="16"/>
      <c r="AN973" s="16"/>
      <c r="AO973" s="16"/>
      <c r="AP973" s="16"/>
      <c r="AQ973" s="16"/>
      <c r="AR973" s="16"/>
      <c r="AS973" s="16"/>
    </row>
    <row r="974" spans="1:45" ht="15" customHeight="1" x14ac:dyDescent="0.3">
      <c r="I974" s="116"/>
      <c r="AL974" s="42"/>
      <c r="AM974" s="42"/>
      <c r="AN974" s="42"/>
      <c r="AO974" s="42"/>
      <c r="AP974" s="42"/>
      <c r="AQ974" s="42"/>
      <c r="AR974" s="42"/>
      <c r="AS974" s="42"/>
    </row>
    <row r="975" spans="1:45" ht="15" customHeight="1" x14ac:dyDescent="0.3">
      <c r="B975" s="112" t="s">
        <v>237</v>
      </c>
      <c r="I975" s="116"/>
      <c r="AL975" s="42"/>
      <c r="AM975" s="42"/>
      <c r="AN975" s="42"/>
      <c r="AO975" s="42"/>
      <c r="AP975" s="42"/>
      <c r="AQ975" s="42"/>
      <c r="AR975" s="42"/>
      <c r="AS975" s="42"/>
    </row>
    <row r="976" spans="1:45" ht="15" customHeight="1" x14ac:dyDescent="0.3">
      <c r="I976" s="116"/>
      <c r="AL976" s="42"/>
      <c r="AM976" s="42"/>
      <c r="AN976" s="42"/>
      <c r="AO976" s="42"/>
      <c r="AP976" s="42"/>
      <c r="AQ976" s="42"/>
      <c r="AR976" s="42"/>
      <c r="AS976" s="42"/>
    </row>
    <row r="977" spans="1:45" ht="15" customHeight="1" x14ac:dyDescent="0.3">
      <c r="E977" s="169" t="str">
        <f xml:space="preserve"> E$938</f>
        <v>Cashflow after debt</v>
      </c>
      <c r="F977" s="169">
        <f t="shared" ref="F977:O977" si="790" xml:space="preserve"> F$938</f>
        <v>0</v>
      </c>
      <c r="G977" s="169" t="str">
        <f t="shared" si="790"/>
        <v>$ mn</v>
      </c>
      <c r="H977" s="169">
        <f t="shared" si="790"/>
        <v>0</v>
      </c>
      <c r="I977" s="169">
        <f t="shared" si="790"/>
        <v>2978.1885937171096</v>
      </c>
      <c r="J977" s="169">
        <f t="shared" si="790"/>
        <v>0</v>
      </c>
      <c r="K977" s="169">
        <f t="shared" si="790"/>
        <v>0</v>
      </c>
      <c r="L977" s="169">
        <f t="shared" si="790"/>
        <v>0</v>
      </c>
      <c r="M977" s="169">
        <f t="shared" si="790"/>
        <v>0</v>
      </c>
      <c r="N977" s="169">
        <f t="shared" si="790"/>
        <v>0</v>
      </c>
      <c r="O977" s="169">
        <f t="shared" si="790"/>
        <v>0</v>
      </c>
      <c r="P977" s="169">
        <f t="shared" ref="P977:AS977" si="791" xml:space="preserve"> P$938</f>
        <v>0</v>
      </c>
      <c r="Q977" s="169">
        <f t="shared" si="791"/>
        <v>0</v>
      </c>
      <c r="R977" s="169">
        <f t="shared" si="791"/>
        <v>0</v>
      </c>
      <c r="S977" s="169">
        <f t="shared" si="791"/>
        <v>0</v>
      </c>
      <c r="T977" s="169">
        <f t="shared" si="791"/>
        <v>0</v>
      </c>
      <c r="U977" s="169">
        <f t="shared" si="791"/>
        <v>0</v>
      </c>
      <c r="V977" s="169">
        <f t="shared" si="791"/>
        <v>-137.34949621499999</v>
      </c>
      <c r="W977" s="169">
        <f t="shared" si="791"/>
        <v>342.43765286599995</v>
      </c>
      <c r="X977" s="169">
        <f t="shared" si="791"/>
        <v>-52.482012691060348</v>
      </c>
      <c r="Y977" s="169">
        <f t="shared" si="791"/>
        <v>157.39968738987051</v>
      </c>
      <c r="Z977" s="169">
        <f t="shared" si="791"/>
        <v>345.66927130766521</v>
      </c>
      <c r="AA977" s="169">
        <f t="shared" si="791"/>
        <v>237.79105582602085</v>
      </c>
      <c r="AB977" s="169">
        <f t="shared" si="791"/>
        <v>272.16878699931056</v>
      </c>
      <c r="AC977" s="169">
        <f t="shared" si="791"/>
        <v>63.462690395657766</v>
      </c>
      <c r="AD977" s="169">
        <f t="shared" si="791"/>
        <v>291.84032245477442</v>
      </c>
      <c r="AE977" s="169">
        <f t="shared" si="791"/>
        <v>278.40325222666002</v>
      </c>
      <c r="AF977" s="169">
        <f t="shared" si="791"/>
        <v>285.38294518749819</v>
      </c>
      <c r="AG977" s="169">
        <f t="shared" si="791"/>
        <v>273.07076192880447</v>
      </c>
      <c r="AH977" s="169">
        <f t="shared" si="791"/>
        <v>261.64757300035421</v>
      </c>
      <c r="AI977" s="169">
        <f t="shared" si="791"/>
        <v>151.83858618490524</v>
      </c>
      <c r="AJ977" s="169">
        <f t="shared" si="791"/>
        <v>186.82584009357686</v>
      </c>
      <c r="AK977" s="169">
        <f t="shared" si="791"/>
        <v>20.08167676207114</v>
      </c>
      <c r="AL977" s="169">
        <f t="shared" si="791"/>
        <v>0</v>
      </c>
      <c r="AM977" s="169">
        <f t="shared" si="791"/>
        <v>0</v>
      </c>
      <c r="AN977" s="169">
        <f t="shared" si="791"/>
        <v>0</v>
      </c>
      <c r="AO977" s="169">
        <f t="shared" si="791"/>
        <v>0</v>
      </c>
      <c r="AP977" s="169">
        <f t="shared" si="791"/>
        <v>0</v>
      </c>
      <c r="AQ977" s="169">
        <f t="shared" si="791"/>
        <v>0</v>
      </c>
      <c r="AR977" s="169">
        <f t="shared" si="791"/>
        <v>0</v>
      </c>
      <c r="AS977" s="169">
        <f t="shared" si="791"/>
        <v>0</v>
      </c>
    </row>
    <row r="978" spans="1:45" ht="15" customHeight="1" x14ac:dyDescent="0.3">
      <c r="E978" s="40" t="str">
        <f xml:space="preserve"> E$971</f>
        <v>Gecamines share of cashflows after repaying loan</v>
      </c>
      <c r="F978" s="40">
        <f t="shared" ref="F978:O978" si="792" xml:space="preserve"> F$971</f>
        <v>0</v>
      </c>
      <c r="G978" s="40" t="str">
        <f t="shared" si="792"/>
        <v>$ mn</v>
      </c>
      <c r="H978" s="40">
        <f t="shared" si="792"/>
        <v>0</v>
      </c>
      <c r="I978" s="40">
        <f t="shared" si="792"/>
        <v>921.83851310159503</v>
      </c>
      <c r="J978" s="40">
        <f t="shared" si="792"/>
        <v>0</v>
      </c>
      <c r="K978" s="40">
        <f t="shared" si="792"/>
        <v>0</v>
      </c>
      <c r="L978" s="40">
        <f t="shared" si="792"/>
        <v>0</v>
      </c>
      <c r="M978" s="40">
        <f t="shared" si="792"/>
        <v>0</v>
      </c>
      <c r="N978" s="40">
        <f t="shared" si="792"/>
        <v>0</v>
      </c>
      <c r="O978" s="40">
        <f t="shared" si="792"/>
        <v>0</v>
      </c>
      <c r="P978" s="40">
        <f t="shared" ref="P978:AS978" si="793" xml:space="preserve"> P$971</f>
        <v>0</v>
      </c>
      <c r="Q978" s="40">
        <f t="shared" si="793"/>
        <v>0</v>
      </c>
      <c r="R978" s="40">
        <f t="shared" si="793"/>
        <v>0</v>
      </c>
      <c r="S978" s="40">
        <f t="shared" si="793"/>
        <v>0</v>
      </c>
      <c r="T978" s="40">
        <f t="shared" si="793"/>
        <v>0</v>
      </c>
      <c r="U978" s="40">
        <f t="shared" si="793"/>
        <v>0</v>
      </c>
      <c r="V978" s="40">
        <f t="shared" si="793"/>
        <v>0</v>
      </c>
      <c r="W978" s="40">
        <f t="shared" si="793"/>
        <v>55.314913606598815</v>
      </c>
      <c r="X978" s="40">
        <f t="shared" si="793"/>
        <v>0</v>
      </c>
      <c r="Y978" s="40">
        <f t="shared" si="793"/>
        <v>28.804743620437343</v>
      </c>
      <c r="Z978" s="40">
        <f t="shared" si="793"/>
        <v>96.787395966146264</v>
      </c>
      <c r="AA978" s="40">
        <f t="shared" si="793"/>
        <v>66.581495631285847</v>
      </c>
      <c r="AB978" s="40">
        <f t="shared" si="793"/>
        <v>76.207260359806966</v>
      </c>
      <c r="AC978" s="40">
        <f t="shared" si="793"/>
        <v>20.942687830567063</v>
      </c>
      <c r="AD978" s="40">
        <f t="shared" si="793"/>
        <v>96.307306410075569</v>
      </c>
      <c r="AE978" s="40">
        <f t="shared" si="793"/>
        <v>91.873073234797815</v>
      </c>
      <c r="AF978" s="40">
        <f t="shared" si="793"/>
        <v>94.176371911874412</v>
      </c>
      <c r="AG978" s="40">
        <f t="shared" si="793"/>
        <v>90.113351436505482</v>
      </c>
      <c r="AH978" s="40">
        <f t="shared" si="793"/>
        <v>86.3436990901169</v>
      </c>
      <c r="AI978" s="40">
        <f t="shared" si="793"/>
        <v>50.106733441018733</v>
      </c>
      <c r="AJ978" s="40">
        <f t="shared" si="793"/>
        <v>61.652527230880366</v>
      </c>
      <c r="AK978" s="40">
        <f t="shared" si="793"/>
        <v>6.6269533314834765</v>
      </c>
      <c r="AL978" s="40">
        <f t="shared" si="793"/>
        <v>0</v>
      </c>
      <c r="AM978" s="40">
        <f t="shared" si="793"/>
        <v>0</v>
      </c>
      <c r="AN978" s="40">
        <f t="shared" si="793"/>
        <v>0</v>
      </c>
      <c r="AO978" s="40">
        <f t="shared" si="793"/>
        <v>0</v>
      </c>
      <c r="AP978" s="40">
        <f t="shared" si="793"/>
        <v>0</v>
      </c>
      <c r="AQ978" s="40">
        <f t="shared" si="793"/>
        <v>0</v>
      </c>
      <c r="AR978" s="40">
        <f t="shared" si="793"/>
        <v>0</v>
      </c>
      <c r="AS978" s="40">
        <f t="shared" si="793"/>
        <v>0</v>
      </c>
    </row>
    <row r="979" spans="1:45" ht="15" customHeight="1" x14ac:dyDescent="0.3">
      <c r="A979" s="558"/>
      <c r="B979" s="558"/>
      <c r="C979" s="559"/>
      <c r="D979" s="548"/>
      <c r="E979" s="548" t="s">
        <v>238</v>
      </c>
      <c r="F979" s="548"/>
      <c r="G979" s="548" t="s">
        <v>346</v>
      </c>
      <c r="H979" s="747"/>
      <c r="I979" s="747">
        <f>SUM(K979:AS979)</f>
        <v>2056.3500806155139</v>
      </c>
      <c r="J979" s="551"/>
      <c r="K979" s="548">
        <f t="shared" ref="K979:O979" si="794">K977 - K978</f>
        <v>0</v>
      </c>
      <c r="L979" s="548">
        <f t="shared" si="794"/>
        <v>0</v>
      </c>
      <c r="M979" s="548">
        <f t="shared" si="794"/>
        <v>0</v>
      </c>
      <c r="N979" s="548">
        <f t="shared" si="794"/>
        <v>0</v>
      </c>
      <c r="O979" s="548">
        <f t="shared" si="794"/>
        <v>0</v>
      </c>
      <c r="P979" s="548">
        <f t="shared" ref="P979:AS979" si="795">P977 - P978</f>
        <v>0</v>
      </c>
      <c r="Q979" s="548">
        <f t="shared" si="795"/>
        <v>0</v>
      </c>
      <c r="R979" s="548">
        <f t="shared" si="795"/>
        <v>0</v>
      </c>
      <c r="S979" s="548">
        <f t="shared" si="795"/>
        <v>0</v>
      </c>
      <c r="T979" s="548">
        <f t="shared" si="795"/>
        <v>0</v>
      </c>
      <c r="U979" s="548">
        <f t="shared" si="795"/>
        <v>0</v>
      </c>
      <c r="V979" s="548">
        <f t="shared" si="795"/>
        <v>-137.34949621499999</v>
      </c>
      <c r="W979" s="548">
        <f t="shared" si="795"/>
        <v>287.12273925940116</v>
      </c>
      <c r="X979" s="548">
        <f t="shared" si="795"/>
        <v>-52.482012691060348</v>
      </c>
      <c r="Y979" s="548">
        <f t="shared" si="795"/>
        <v>128.59494376943317</v>
      </c>
      <c r="Z979" s="548">
        <f t="shared" si="795"/>
        <v>248.88187534151893</v>
      </c>
      <c r="AA979" s="548">
        <f t="shared" si="795"/>
        <v>171.20956019473499</v>
      </c>
      <c r="AB979" s="548">
        <f t="shared" si="795"/>
        <v>195.96152663950357</v>
      </c>
      <c r="AC979" s="548">
        <f t="shared" si="795"/>
        <v>42.520002565090707</v>
      </c>
      <c r="AD979" s="548">
        <f t="shared" si="795"/>
        <v>195.53301604469885</v>
      </c>
      <c r="AE979" s="548">
        <f t="shared" si="795"/>
        <v>186.53017899186221</v>
      </c>
      <c r="AF979" s="548">
        <f t="shared" si="795"/>
        <v>191.20657327562378</v>
      </c>
      <c r="AG979" s="548">
        <f t="shared" si="795"/>
        <v>182.957410492299</v>
      </c>
      <c r="AH979" s="548">
        <f t="shared" si="795"/>
        <v>175.30387391023731</v>
      </c>
      <c r="AI979" s="548">
        <f t="shared" si="795"/>
        <v>101.73185274388651</v>
      </c>
      <c r="AJ979" s="548">
        <f t="shared" si="795"/>
        <v>125.17331286269649</v>
      </c>
      <c r="AK979" s="548">
        <f t="shared" si="795"/>
        <v>13.454723430587663</v>
      </c>
      <c r="AL979" s="548">
        <f t="shared" si="795"/>
        <v>0</v>
      </c>
      <c r="AM979" s="548">
        <f t="shared" si="795"/>
        <v>0</v>
      </c>
      <c r="AN979" s="548">
        <f t="shared" si="795"/>
        <v>0</v>
      </c>
      <c r="AO979" s="548">
        <f t="shared" si="795"/>
        <v>0</v>
      </c>
      <c r="AP979" s="548">
        <f t="shared" si="795"/>
        <v>0</v>
      </c>
      <c r="AQ979" s="548">
        <f t="shared" si="795"/>
        <v>0</v>
      </c>
      <c r="AR979" s="548">
        <f t="shared" si="795"/>
        <v>0</v>
      </c>
      <c r="AS979" s="548">
        <f t="shared" si="795"/>
        <v>0</v>
      </c>
    </row>
    <row r="980" spans="1:45" ht="15" customHeight="1" x14ac:dyDescent="0.3">
      <c r="A980" s="129"/>
      <c r="B980" s="129"/>
      <c r="C980" s="130"/>
      <c r="D980" s="106"/>
      <c r="E980" s="106"/>
      <c r="F980" s="106"/>
      <c r="G980" s="106"/>
      <c r="H980" s="131"/>
      <c r="I980" s="131"/>
      <c r="J980" s="128"/>
      <c r="K980" s="106"/>
      <c r="L980" s="106"/>
      <c r="M980" s="106"/>
      <c r="N980" s="106"/>
      <c r="O980" s="106"/>
      <c r="P980" s="106"/>
      <c r="Q980" s="106"/>
      <c r="R980" s="106"/>
      <c r="S980" s="106"/>
      <c r="T980" s="106"/>
      <c r="U980" s="106"/>
      <c r="V980" s="106"/>
      <c r="W980" s="106"/>
      <c r="X980" s="106"/>
      <c r="Y980" s="106"/>
      <c r="Z980" s="106"/>
      <c r="AA980" s="106"/>
      <c r="AB980" s="106"/>
      <c r="AC980" s="106"/>
      <c r="AD980" s="106"/>
      <c r="AE980" s="106"/>
      <c r="AF980" s="106"/>
      <c r="AG980" s="106"/>
      <c r="AH980" s="106"/>
      <c r="AI980" s="106"/>
      <c r="AJ980" s="106"/>
      <c r="AK980" s="106"/>
      <c r="AL980" s="106"/>
      <c r="AM980" s="106"/>
      <c r="AN980" s="106"/>
      <c r="AO980" s="106"/>
      <c r="AP980" s="106"/>
      <c r="AQ980" s="106"/>
      <c r="AR980" s="106"/>
      <c r="AS980" s="106"/>
    </row>
    <row r="981" spans="1:45" ht="15" customHeight="1" x14ac:dyDescent="0.3">
      <c r="A981" s="129"/>
      <c r="B981" s="129"/>
      <c r="C981" s="130"/>
      <c r="D981" s="106"/>
      <c r="E981" s="145" t="str">
        <f xml:space="preserve"> Inputs_Con!E$110</f>
        <v>Dividend withholding tax</v>
      </c>
      <c r="F981" s="435">
        <f xml:space="preserve"> Inputs_Con!F$110</f>
        <v>0.1</v>
      </c>
      <c r="G981" s="147" t="str">
        <f xml:space="preserve"> Inputs_Con!G$110</f>
        <v>%</v>
      </c>
      <c r="H981" s="57" t="str">
        <f xml:space="preserve"> Sources!I$24</f>
        <v>XIX</v>
      </c>
      <c r="I981" s="57"/>
      <c r="J981" s="128"/>
      <c r="K981" s="106"/>
      <c r="L981" s="106"/>
      <c r="M981" s="106"/>
      <c r="N981" s="106"/>
      <c r="O981" s="106"/>
      <c r="P981" s="106"/>
      <c r="Q981" s="106"/>
      <c r="R981" s="106"/>
      <c r="S981" s="106"/>
      <c r="T981" s="106"/>
      <c r="U981" s="106"/>
      <c r="V981" s="106"/>
      <c r="W981" s="106"/>
      <c r="X981" s="106"/>
      <c r="Y981" s="106"/>
      <c r="Z981" s="106"/>
      <c r="AA981" s="106"/>
      <c r="AB981" s="106"/>
      <c r="AC981" s="106"/>
      <c r="AD981" s="106"/>
      <c r="AE981" s="106"/>
      <c r="AF981" s="106"/>
      <c r="AG981" s="106"/>
      <c r="AH981" s="106"/>
      <c r="AI981" s="106"/>
      <c r="AJ981" s="106"/>
      <c r="AK981" s="106"/>
      <c r="AL981" s="106"/>
      <c r="AM981" s="106"/>
      <c r="AN981" s="106"/>
      <c r="AO981" s="106"/>
      <c r="AP981" s="106"/>
      <c r="AQ981" s="106"/>
      <c r="AR981" s="106"/>
      <c r="AS981" s="106"/>
    </row>
    <row r="982" spans="1:45" ht="15" customHeight="1" x14ac:dyDescent="0.3">
      <c r="E982" s="855" t="str">
        <f xml:space="preserve"> Inputs_Con!E$111</f>
        <v>Investment treaty Dividend Witholding Tax</v>
      </c>
      <c r="F982" s="1050">
        <f xml:space="preserve"> Inputs_Con!F$111</f>
        <v>0.05</v>
      </c>
      <c r="G982" s="104" t="str">
        <f xml:space="preserve"> Inputs_Con!G$111</f>
        <v>%</v>
      </c>
      <c r="I982" s="116"/>
      <c r="AL982" s="42"/>
      <c r="AM982" s="42"/>
      <c r="AN982" s="42"/>
      <c r="AO982" s="42"/>
      <c r="AP982" s="42"/>
      <c r="AQ982" s="42"/>
      <c r="AR982" s="42"/>
      <c r="AS982" s="42"/>
    </row>
    <row r="983" spans="1:45" ht="15" customHeight="1" x14ac:dyDescent="0.3">
      <c r="A983" s="394"/>
      <c r="B983" s="394"/>
      <c r="C983" s="395"/>
      <c r="D983" s="34"/>
      <c r="E983" s="34" t="s">
        <v>239</v>
      </c>
      <c r="F983" s="540"/>
      <c r="G983" s="34" t="s">
        <v>346</v>
      </c>
      <c r="H983" s="230"/>
      <c r="I983" s="230">
        <f>SUM(K983:AS983)</f>
        <v>224.61815895215742</v>
      </c>
      <c r="J983" s="386"/>
      <c r="K983" s="34">
        <f t="shared" ref="K983:O983" si="796">(K979 &gt; 0) * K979 * $F981</f>
        <v>0</v>
      </c>
      <c r="L983" s="34">
        <f t="shared" si="796"/>
        <v>0</v>
      </c>
      <c r="M983" s="34">
        <f t="shared" si="796"/>
        <v>0</v>
      </c>
      <c r="N983" s="34">
        <f t="shared" si="796"/>
        <v>0</v>
      </c>
      <c r="O983" s="34">
        <f t="shared" si="796"/>
        <v>0</v>
      </c>
      <c r="P983" s="34">
        <f t="shared" ref="P983:AS983" si="797">(P979 &gt; 0) * P979 * $F981</f>
        <v>0</v>
      </c>
      <c r="Q983" s="34">
        <f t="shared" si="797"/>
        <v>0</v>
      </c>
      <c r="R983" s="34">
        <f t="shared" si="797"/>
        <v>0</v>
      </c>
      <c r="S983" s="34">
        <f t="shared" si="797"/>
        <v>0</v>
      </c>
      <c r="T983" s="34">
        <f t="shared" si="797"/>
        <v>0</v>
      </c>
      <c r="U983" s="34">
        <f t="shared" si="797"/>
        <v>0</v>
      </c>
      <c r="V983" s="34">
        <f t="shared" si="797"/>
        <v>0</v>
      </c>
      <c r="W983" s="34">
        <f t="shared" si="797"/>
        <v>28.712273925940117</v>
      </c>
      <c r="X983" s="34">
        <f t="shared" si="797"/>
        <v>0</v>
      </c>
      <c r="Y983" s="34">
        <f t="shared" si="797"/>
        <v>12.859494376943317</v>
      </c>
      <c r="Z983" s="34">
        <f t="shared" si="797"/>
        <v>24.888187534151896</v>
      </c>
      <c r="AA983" s="34">
        <f t="shared" si="797"/>
        <v>17.1209560194735</v>
      </c>
      <c r="AB983" s="34">
        <f t="shared" si="797"/>
        <v>19.59615266395036</v>
      </c>
      <c r="AC983" s="34">
        <f t="shared" si="797"/>
        <v>4.2520002565090707</v>
      </c>
      <c r="AD983" s="34">
        <f t="shared" si="797"/>
        <v>19.553301604469887</v>
      </c>
      <c r="AE983" s="34">
        <f t="shared" si="797"/>
        <v>18.653017899186221</v>
      </c>
      <c r="AF983" s="34">
        <f t="shared" si="797"/>
        <v>19.12065732756238</v>
      </c>
      <c r="AG983" s="34">
        <f t="shared" si="797"/>
        <v>18.2957410492299</v>
      </c>
      <c r="AH983" s="34">
        <f t="shared" si="797"/>
        <v>17.530387391023734</v>
      </c>
      <c r="AI983" s="34">
        <f t="shared" si="797"/>
        <v>10.173185274388651</v>
      </c>
      <c r="AJ983" s="34">
        <f t="shared" si="797"/>
        <v>12.51733128626965</v>
      </c>
      <c r="AK983" s="34">
        <f t="shared" si="797"/>
        <v>1.3454723430587663</v>
      </c>
      <c r="AL983" s="34">
        <f t="shared" si="797"/>
        <v>0</v>
      </c>
      <c r="AM983" s="34">
        <f t="shared" si="797"/>
        <v>0</v>
      </c>
      <c r="AN983" s="34">
        <f t="shared" si="797"/>
        <v>0</v>
      </c>
      <c r="AO983" s="34">
        <f t="shared" si="797"/>
        <v>0</v>
      </c>
      <c r="AP983" s="34">
        <f t="shared" si="797"/>
        <v>0</v>
      </c>
      <c r="AQ983" s="34">
        <f t="shared" si="797"/>
        <v>0</v>
      </c>
      <c r="AR983" s="34">
        <f t="shared" si="797"/>
        <v>0</v>
      </c>
      <c r="AS983" s="34">
        <f t="shared" si="797"/>
        <v>0</v>
      </c>
    </row>
    <row r="984" spans="1:45" s="143" customFormat="1" ht="15" customHeight="1" x14ac:dyDescent="0.3">
      <c r="A984" s="180"/>
      <c r="B984" s="180"/>
      <c r="C984" s="181"/>
      <c r="D984" s="36"/>
      <c r="E984" s="36" t="s">
        <v>1122</v>
      </c>
      <c r="F984" s="193"/>
      <c r="G984" s="36" t="s">
        <v>346</v>
      </c>
      <c r="H984" s="183"/>
      <c r="I984" s="183">
        <f xml:space="preserve"> SUM(K984:AS984)</f>
        <v>102.81750403077569</v>
      </c>
      <c r="J984" s="243"/>
      <c r="K984" s="36">
        <f t="shared" ref="K984:AS984" si="798" xml:space="preserve"> K979 * $F$982</f>
        <v>0</v>
      </c>
      <c r="L984" s="36">
        <f t="shared" si="798"/>
        <v>0</v>
      </c>
      <c r="M984" s="36">
        <f t="shared" si="798"/>
        <v>0</v>
      </c>
      <c r="N984" s="36">
        <f t="shared" si="798"/>
        <v>0</v>
      </c>
      <c r="O984" s="36">
        <f t="shared" si="798"/>
        <v>0</v>
      </c>
      <c r="P984" s="36">
        <f t="shared" si="798"/>
        <v>0</v>
      </c>
      <c r="Q984" s="36">
        <f t="shared" si="798"/>
        <v>0</v>
      </c>
      <c r="R984" s="36">
        <f t="shared" si="798"/>
        <v>0</v>
      </c>
      <c r="S984" s="36">
        <f t="shared" si="798"/>
        <v>0</v>
      </c>
      <c r="T984" s="36">
        <f t="shared" si="798"/>
        <v>0</v>
      </c>
      <c r="U984" s="36">
        <f t="shared" si="798"/>
        <v>0</v>
      </c>
      <c r="V984" s="36">
        <f t="shared" si="798"/>
        <v>-6.8674748107500001</v>
      </c>
      <c r="W984" s="36">
        <f t="shared" si="798"/>
        <v>14.356136962970059</v>
      </c>
      <c r="X984" s="36">
        <f t="shared" si="798"/>
        <v>-2.6241006345530176</v>
      </c>
      <c r="Y984" s="36">
        <f t="shared" si="798"/>
        <v>6.4297471884716586</v>
      </c>
      <c r="Z984" s="36">
        <f t="shared" si="798"/>
        <v>12.444093767075948</v>
      </c>
      <c r="AA984" s="36">
        <f t="shared" si="798"/>
        <v>8.5604780097367499</v>
      </c>
      <c r="AB984" s="36">
        <f t="shared" si="798"/>
        <v>9.7980763319751798</v>
      </c>
      <c r="AC984" s="36">
        <f t="shared" si="798"/>
        <v>2.1260001282545353</v>
      </c>
      <c r="AD984" s="36">
        <f t="shared" si="798"/>
        <v>9.7766508022349434</v>
      </c>
      <c r="AE984" s="36">
        <f t="shared" si="798"/>
        <v>9.3265089495931104</v>
      </c>
      <c r="AF984" s="36">
        <f t="shared" si="798"/>
        <v>9.5603286637811902</v>
      </c>
      <c r="AG984" s="36">
        <f t="shared" si="798"/>
        <v>9.1478705246149499</v>
      </c>
      <c r="AH984" s="36">
        <f t="shared" si="798"/>
        <v>8.7651936955118668</v>
      </c>
      <c r="AI984" s="36">
        <f t="shared" si="798"/>
        <v>5.0865926371943253</v>
      </c>
      <c r="AJ984" s="36">
        <f t="shared" si="798"/>
        <v>6.2586656431348251</v>
      </c>
      <c r="AK984" s="36">
        <f t="shared" si="798"/>
        <v>0.67273617152938314</v>
      </c>
      <c r="AL984" s="36">
        <f t="shared" si="798"/>
        <v>0</v>
      </c>
      <c r="AM984" s="36">
        <f t="shared" si="798"/>
        <v>0</v>
      </c>
      <c r="AN984" s="36">
        <f t="shared" si="798"/>
        <v>0</v>
      </c>
      <c r="AO984" s="36">
        <f t="shared" si="798"/>
        <v>0</v>
      </c>
      <c r="AP984" s="36">
        <f t="shared" si="798"/>
        <v>0</v>
      </c>
      <c r="AQ984" s="36">
        <f t="shared" si="798"/>
        <v>0</v>
      </c>
      <c r="AR984" s="36">
        <f t="shared" si="798"/>
        <v>0</v>
      </c>
      <c r="AS984" s="36">
        <f t="shared" si="798"/>
        <v>0</v>
      </c>
    </row>
    <row r="985" spans="1:45" s="143" customFormat="1" ht="15" customHeight="1" x14ac:dyDescent="0.3">
      <c r="A985" s="180"/>
      <c r="B985" s="180"/>
      <c r="C985" s="181"/>
      <c r="D985" s="36"/>
      <c r="E985" s="36" t="s">
        <v>1123</v>
      </c>
      <c r="F985" s="193"/>
      <c r="G985" s="36" t="s">
        <v>346</v>
      </c>
      <c r="H985" s="183"/>
      <c r="I985" s="183">
        <f xml:space="preserve"> SUM(K985:AS985)</f>
        <v>121.80065492138172</v>
      </c>
      <c r="J985" s="243"/>
      <c r="K985" s="36">
        <f t="shared" ref="K985:AS985" si="799" xml:space="preserve"> K983 - K984</f>
        <v>0</v>
      </c>
      <c r="L985" s="36">
        <f t="shared" si="799"/>
        <v>0</v>
      </c>
      <c r="M985" s="36">
        <f t="shared" si="799"/>
        <v>0</v>
      </c>
      <c r="N985" s="36">
        <f t="shared" si="799"/>
        <v>0</v>
      </c>
      <c r="O985" s="36">
        <f t="shared" si="799"/>
        <v>0</v>
      </c>
      <c r="P985" s="36">
        <f t="shared" si="799"/>
        <v>0</v>
      </c>
      <c r="Q985" s="36">
        <f t="shared" si="799"/>
        <v>0</v>
      </c>
      <c r="R985" s="36">
        <f t="shared" si="799"/>
        <v>0</v>
      </c>
      <c r="S985" s="36">
        <f t="shared" si="799"/>
        <v>0</v>
      </c>
      <c r="T985" s="36">
        <f t="shared" si="799"/>
        <v>0</v>
      </c>
      <c r="U985" s="36">
        <f t="shared" si="799"/>
        <v>0</v>
      </c>
      <c r="V985" s="36">
        <f t="shared" si="799"/>
        <v>6.8674748107500001</v>
      </c>
      <c r="W985" s="36">
        <f t="shared" si="799"/>
        <v>14.356136962970059</v>
      </c>
      <c r="X985" s="36">
        <f t="shared" si="799"/>
        <v>2.6241006345530176</v>
      </c>
      <c r="Y985" s="36">
        <f t="shared" si="799"/>
        <v>6.4297471884716586</v>
      </c>
      <c r="Z985" s="36">
        <f t="shared" si="799"/>
        <v>12.444093767075948</v>
      </c>
      <c r="AA985" s="36">
        <f t="shared" si="799"/>
        <v>8.5604780097367499</v>
      </c>
      <c r="AB985" s="36">
        <f t="shared" si="799"/>
        <v>9.7980763319751798</v>
      </c>
      <c r="AC985" s="36">
        <f t="shared" si="799"/>
        <v>2.1260001282545353</v>
      </c>
      <c r="AD985" s="36">
        <f t="shared" si="799"/>
        <v>9.7766508022349434</v>
      </c>
      <c r="AE985" s="36">
        <f t="shared" si="799"/>
        <v>9.3265089495931104</v>
      </c>
      <c r="AF985" s="36">
        <f t="shared" si="799"/>
        <v>9.5603286637811902</v>
      </c>
      <c r="AG985" s="36">
        <f t="shared" si="799"/>
        <v>9.1478705246149499</v>
      </c>
      <c r="AH985" s="36">
        <f t="shared" si="799"/>
        <v>8.7651936955118668</v>
      </c>
      <c r="AI985" s="36">
        <f t="shared" si="799"/>
        <v>5.0865926371943253</v>
      </c>
      <c r="AJ985" s="36">
        <f t="shared" si="799"/>
        <v>6.2586656431348251</v>
      </c>
      <c r="AK985" s="36">
        <f t="shared" si="799"/>
        <v>0.67273617152938314</v>
      </c>
      <c r="AL985" s="36">
        <f t="shared" si="799"/>
        <v>0</v>
      </c>
      <c r="AM985" s="36">
        <f t="shared" si="799"/>
        <v>0</v>
      </c>
      <c r="AN985" s="36">
        <f t="shared" si="799"/>
        <v>0</v>
      </c>
      <c r="AO985" s="36">
        <f t="shared" si="799"/>
        <v>0</v>
      </c>
      <c r="AP985" s="36">
        <f t="shared" si="799"/>
        <v>0</v>
      </c>
      <c r="AQ985" s="36">
        <f t="shared" si="799"/>
        <v>0</v>
      </c>
      <c r="AR985" s="36">
        <f t="shared" si="799"/>
        <v>0</v>
      </c>
      <c r="AS985" s="36">
        <f t="shared" si="799"/>
        <v>0</v>
      </c>
    </row>
    <row r="986" spans="1:45" ht="15" customHeight="1" x14ac:dyDescent="0.3">
      <c r="I986" s="116"/>
      <c r="AL986" s="42"/>
      <c r="AM986" s="42"/>
      <c r="AN986" s="42"/>
      <c r="AO986" s="42"/>
      <c r="AP986" s="42"/>
      <c r="AQ986" s="42"/>
      <c r="AR986" s="42"/>
      <c r="AS986" s="42"/>
    </row>
    <row r="987" spans="1:45" ht="15" customHeight="1" x14ac:dyDescent="0.3">
      <c r="A987" s="394"/>
      <c r="B987" s="394"/>
      <c r="C987" s="395"/>
      <c r="D987" s="34"/>
      <c r="E987" s="34" t="s">
        <v>243</v>
      </c>
      <c r="F987" s="34"/>
      <c r="G987" s="34" t="s">
        <v>346</v>
      </c>
      <c r="H987" s="230"/>
      <c r="I987" s="230">
        <f>SUM(K987:AS987)</f>
        <v>1831.7319216633568</v>
      </c>
      <c r="J987" s="386"/>
      <c r="K987" s="34">
        <f t="shared" ref="K987:AS987" si="800">K979 - K983</f>
        <v>0</v>
      </c>
      <c r="L987" s="34">
        <f t="shared" si="800"/>
        <v>0</v>
      </c>
      <c r="M987" s="34">
        <f t="shared" si="800"/>
        <v>0</v>
      </c>
      <c r="N987" s="34">
        <f t="shared" si="800"/>
        <v>0</v>
      </c>
      <c r="O987" s="34">
        <f t="shared" si="800"/>
        <v>0</v>
      </c>
      <c r="P987" s="34">
        <f t="shared" si="800"/>
        <v>0</v>
      </c>
      <c r="Q987" s="34">
        <f t="shared" si="800"/>
        <v>0</v>
      </c>
      <c r="R987" s="34">
        <f t="shared" si="800"/>
        <v>0</v>
      </c>
      <c r="S987" s="34">
        <f t="shared" si="800"/>
        <v>0</v>
      </c>
      <c r="T987" s="34">
        <f t="shared" si="800"/>
        <v>0</v>
      </c>
      <c r="U987" s="34">
        <f t="shared" si="800"/>
        <v>0</v>
      </c>
      <c r="V987" s="34">
        <f t="shared" si="800"/>
        <v>-137.34949621499999</v>
      </c>
      <c r="W987" s="34">
        <f t="shared" si="800"/>
        <v>258.41046533346105</v>
      </c>
      <c r="X987" s="34">
        <f t="shared" si="800"/>
        <v>-52.482012691060348</v>
      </c>
      <c r="Y987" s="34">
        <f t="shared" si="800"/>
        <v>115.73544939248985</v>
      </c>
      <c r="Z987" s="34">
        <f t="shared" si="800"/>
        <v>223.99368780736705</v>
      </c>
      <c r="AA987" s="34">
        <f t="shared" si="800"/>
        <v>154.08860417526148</v>
      </c>
      <c r="AB987" s="34">
        <f t="shared" si="800"/>
        <v>176.36537397555321</v>
      </c>
      <c r="AC987" s="34">
        <f t="shared" si="800"/>
        <v>38.268002308581636</v>
      </c>
      <c r="AD987" s="34">
        <f t="shared" si="800"/>
        <v>175.97971444022897</v>
      </c>
      <c r="AE987" s="34">
        <f t="shared" si="800"/>
        <v>167.877161092676</v>
      </c>
      <c r="AF987" s="34">
        <f t="shared" si="800"/>
        <v>172.0859159480614</v>
      </c>
      <c r="AG987" s="34">
        <f t="shared" si="800"/>
        <v>164.66166944306912</v>
      </c>
      <c r="AH987" s="34">
        <f t="shared" si="800"/>
        <v>157.77348651921358</v>
      </c>
      <c r="AI987" s="34">
        <f t="shared" si="800"/>
        <v>91.558667469497863</v>
      </c>
      <c r="AJ987" s="34">
        <f t="shared" si="800"/>
        <v>112.65598157642684</v>
      </c>
      <c r="AK987" s="34">
        <f t="shared" si="800"/>
        <v>12.109251087528897</v>
      </c>
      <c r="AL987" s="34">
        <f t="shared" si="800"/>
        <v>0</v>
      </c>
      <c r="AM987" s="34">
        <f t="shared" si="800"/>
        <v>0</v>
      </c>
      <c r="AN987" s="34">
        <f t="shared" si="800"/>
        <v>0</v>
      </c>
      <c r="AO987" s="34">
        <f t="shared" si="800"/>
        <v>0</v>
      </c>
      <c r="AP987" s="34">
        <f t="shared" si="800"/>
        <v>0</v>
      </c>
      <c r="AQ987" s="34">
        <f t="shared" si="800"/>
        <v>0</v>
      </c>
      <c r="AR987" s="34">
        <f t="shared" si="800"/>
        <v>0</v>
      </c>
      <c r="AS987" s="34">
        <f t="shared" si="800"/>
        <v>0</v>
      </c>
    </row>
    <row r="988" spans="1:45" ht="15" customHeight="1" x14ac:dyDescent="0.3">
      <c r="I988" s="116"/>
      <c r="AL988" s="42"/>
      <c r="AM988" s="42"/>
      <c r="AN988" s="42"/>
      <c r="AO988" s="42"/>
      <c r="AP988" s="42"/>
      <c r="AQ988" s="42"/>
      <c r="AR988" s="42"/>
      <c r="AS988" s="42"/>
    </row>
    <row r="989" spans="1:45" ht="15" customHeight="1" x14ac:dyDescent="0.3">
      <c r="B989" s="112" t="s">
        <v>1124</v>
      </c>
      <c r="I989" s="116"/>
      <c r="AL989" s="42"/>
      <c r="AM989" s="42"/>
      <c r="AN989" s="42"/>
      <c r="AO989" s="42"/>
      <c r="AP989" s="42"/>
      <c r="AQ989" s="42"/>
      <c r="AR989" s="42"/>
      <c r="AS989" s="42"/>
    </row>
    <row r="990" spans="1:45" ht="15" customHeight="1" x14ac:dyDescent="0.3">
      <c r="E990" s="40" t="str">
        <f t="shared" ref="E990:AS990" si="801" xml:space="preserve"> E$985</f>
        <v>Difference in DWT Rates</v>
      </c>
      <c r="F990" s="40">
        <f t="shared" si="801"/>
        <v>0</v>
      </c>
      <c r="G990" s="40" t="str">
        <f t="shared" si="801"/>
        <v>$ mn</v>
      </c>
      <c r="H990" s="40">
        <f t="shared" si="801"/>
        <v>0</v>
      </c>
      <c r="I990" s="40">
        <f t="shared" si="801"/>
        <v>121.80065492138172</v>
      </c>
      <c r="J990" s="40">
        <f t="shared" si="801"/>
        <v>0</v>
      </c>
      <c r="K990" s="40">
        <f t="shared" si="801"/>
        <v>0</v>
      </c>
      <c r="L990" s="40">
        <f t="shared" si="801"/>
        <v>0</v>
      </c>
      <c r="M990" s="40">
        <f t="shared" si="801"/>
        <v>0</v>
      </c>
      <c r="N990" s="40">
        <f t="shared" si="801"/>
        <v>0</v>
      </c>
      <c r="O990" s="40">
        <f t="shared" si="801"/>
        <v>0</v>
      </c>
      <c r="P990" s="40">
        <f t="shared" si="801"/>
        <v>0</v>
      </c>
      <c r="Q990" s="40">
        <f t="shared" si="801"/>
        <v>0</v>
      </c>
      <c r="R990" s="40">
        <f t="shared" si="801"/>
        <v>0</v>
      </c>
      <c r="S990" s="40">
        <f t="shared" si="801"/>
        <v>0</v>
      </c>
      <c r="T990" s="40">
        <f t="shared" si="801"/>
        <v>0</v>
      </c>
      <c r="U990" s="40">
        <f t="shared" si="801"/>
        <v>0</v>
      </c>
      <c r="V990" s="40">
        <f t="shared" si="801"/>
        <v>6.8674748107500001</v>
      </c>
      <c r="W990" s="40">
        <f t="shared" si="801"/>
        <v>14.356136962970059</v>
      </c>
      <c r="X990" s="40">
        <f t="shared" si="801"/>
        <v>2.6241006345530176</v>
      </c>
      <c r="Y990" s="40">
        <f t="shared" si="801"/>
        <v>6.4297471884716586</v>
      </c>
      <c r="Z990" s="40">
        <f t="shared" si="801"/>
        <v>12.444093767075948</v>
      </c>
      <c r="AA990" s="40">
        <f t="shared" si="801"/>
        <v>8.5604780097367499</v>
      </c>
      <c r="AB990" s="40">
        <f t="shared" si="801"/>
        <v>9.7980763319751798</v>
      </c>
      <c r="AC990" s="40">
        <f t="shared" si="801"/>
        <v>2.1260001282545353</v>
      </c>
      <c r="AD990" s="40">
        <f t="shared" si="801"/>
        <v>9.7766508022349434</v>
      </c>
      <c r="AE990" s="40">
        <f t="shared" si="801"/>
        <v>9.3265089495931104</v>
      </c>
      <c r="AF990" s="40">
        <f t="shared" si="801"/>
        <v>9.5603286637811902</v>
      </c>
      <c r="AG990" s="40">
        <f t="shared" si="801"/>
        <v>9.1478705246149499</v>
      </c>
      <c r="AH990" s="40">
        <f t="shared" si="801"/>
        <v>8.7651936955118668</v>
      </c>
      <c r="AI990" s="40">
        <f t="shared" si="801"/>
        <v>5.0865926371943253</v>
      </c>
      <c r="AJ990" s="40">
        <f t="shared" si="801"/>
        <v>6.2586656431348251</v>
      </c>
      <c r="AK990" s="40">
        <f t="shared" si="801"/>
        <v>0.67273617152938314</v>
      </c>
      <c r="AL990" s="40">
        <f t="shared" si="801"/>
        <v>0</v>
      </c>
      <c r="AM990" s="40">
        <f t="shared" si="801"/>
        <v>0</v>
      </c>
      <c r="AN990" s="40">
        <f t="shared" si="801"/>
        <v>0</v>
      </c>
      <c r="AO990" s="40">
        <f t="shared" si="801"/>
        <v>0</v>
      </c>
      <c r="AP990" s="40">
        <f t="shared" si="801"/>
        <v>0</v>
      </c>
      <c r="AQ990" s="40">
        <f t="shared" si="801"/>
        <v>0</v>
      </c>
      <c r="AR990" s="40">
        <f t="shared" si="801"/>
        <v>0</v>
      </c>
      <c r="AS990" s="40">
        <f t="shared" si="801"/>
        <v>0</v>
      </c>
    </row>
    <row r="991" spans="1:45" ht="15" customHeight="1" x14ac:dyDescent="0.3">
      <c r="E991" s="40" t="str">
        <f t="shared" ref="E991:AS991" si="802" xml:space="preserve"> E$848</f>
        <v>WHT on non-resident services</v>
      </c>
      <c r="F991" s="40">
        <f t="shared" si="802"/>
        <v>0</v>
      </c>
      <c r="G991" s="40" t="str">
        <f t="shared" si="802"/>
        <v>$ mn</v>
      </c>
      <c r="H991" s="40">
        <f t="shared" si="802"/>
        <v>0</v>
      </c>
      <c r="I991" s="40">
        <f t="shared" si="802"/>
        <v>72.445296483462641</v>
      </c>
      <c r="J991" s="40">
        <f t="shared" si="802"/>
        <v>0</v>
      </c>
      <c r="K991" s="40">
        <f t="shared" si="802"/>
        <v>0</v>
      </c>
      <c r="L991" s="40">
        <f t="shared" si="802"/>
        <v>0</v>
      </c>
      <c r="M991" s="40">
        <f t="shared" si="802"/>
        <v>0</v>
      </c>
      <c r="N991" s="40">
        <f t="shared" si="802"/>
        <v>0</v>
      </c>
      <c r="O991" s="40">
        <f t="shared" si="802"/>
        <v>0</v>
      </c>
      <c r="P991" s="40">
        <f t="shared" si="802"/>
        <v>0</v>
      </c>
      <c r="Q991" s="40">
        <f t="shared" si="802"/>
        <v>0</v>
      </c>
      <c r="R991" s="40">
        <f t="shared" si="802"/>
        <v>0</v>
      </c>
      <c r="S991" s="40">
        <f t="shared" si="802"/>
        <v>0</v>
      </c>
      <c r="T991" s="40">
        <f t="shared" si="802"/>
        <v>0</v>
      </c>
      <c r="U991" s="40">
        <f t="shared" si="802"/>
        <v>0</v>
      </c>
      <c r="V991" s="40">
        <f t="shared" si="802"/>
        <v>5.6123427587850001</v>
      </c>
      <c r="W991" s="40">
        <f t="shared" si="802"/>
        <v>3.1552135312705007</v>
      </c>
      <c r="X991" s="40">
        <f t="shared" si="802"/>
        <v>4.857328718290721</v>
      </c>
      <c r="Y991" s="40">
        <f t="shared" si="802"/>
        <v>2.5007843498043005</v>
      </c>
      <c r="Z991" s="40">
        <f t="shared" si="802"/>
        <v>3.6758916944584801</v>
      </c>
      <c r="AA991" s="40">
        <f t="shared" si="802"/>
        <v>6.5267786363856652</v>
      </c>
      <c r="AB991" s="40">
        <f t="shared" si="802"/>
        <v>6.0511123997289111</v>
      </c>
      <c r="AC991" s="40">
        <f t="shared" si="802"/>
        <v>5.0615623491353485</v>
      </c>
      <c r="AD991" s="40">
        <f t="shared" si="802"/>
        <v>4.3697018046981171</v>
      </c>
      <c r="AE991" s="40">
        <f t="shared" si="802"/>
        <v>4.4768667496040315</v>
      </c>
      <c r="AF991" s="40">
        <f t="shared" si="802"/>
        <v>4.5716721586344811</v>
      </c>
      <c r="AG991" s="40">
        <f t="shared" si="802"/>
        <v>4.6706893208561171</v>
      </c>
      <c r="AH991" s="40">
        <f t="shared" si="802"/>
        <v>4.7714848136522852</v>
      </c>
      <c r="AI991" s="40">
        <f t="shared" si="802"/>
        <v>4.9266382979590038</v>
      </c>
      <c r="AJ991" s="40">
        <f t="shared" si="802"/>
        <v>4.5576136621084924</v>
      </c>
      <c r="AK991" s="40">
        <f t="shared" si="802"/>
        <v>2.6596152380911815</v>
      </c>
      <c r="AL991" s="40">
        <f t="shared" si="802"/>
        <v>0</v>
      </c>
      <c r="AM991" s="40">
        <f t="shared" si="802"/>
        <v>0</v>
      </c>
      <c r="AN991" s="40">
        <f t="shared" si="802"/>
        <v>0</v>
      </c>
      <c r="AO991" s="40">
        <f t="shared" si="802"/>
        <v>0</v>
      </c>
      <c r="AP991" s="40">
        <f t="shared" si="802"/>
        <v>0</v>
      </c>
      <c r="AQ991" s="40">
        <f t="shared" si="802"/>
        <v>0</v>
      </c>
      <c r="AR991" s="40">
        <f t="shared" si="802"/>
        <v>0</v>
      </c>
      <c r="AS991" s="40">
        <f t="shared" si="802"/>
        <v>0</v>
      </c>
    </row>
    <row r="992" spans="1:45" ht="15" customHeight="1" x14ac:dyDescent="0.3">
      <c r="E992" s="1172" t="s">
        <v>1124</v>
      </c>
      <c r="F992" s="1172"/>
      <c r="G992" s="1172" t="s">
        <v>346</v>
      </c>
      <c r="H992" s="1173"/>
      <c r="I992" s="1173">
        <f xml:space="preserve"> SUM(K992:AS992)</f>
        <v>194.24595140484439</v>
      </c>
      <c r="J992" s="1174"/>
      <c r="K992" s="1172">
        <f t="shared" ref="K992:AS992" si="803" xml:space="preserve"> K990 + K991</f>
        <v>0</v>
      </c>
      <c r="L992" s="1172">
        <f t="shared" si="803"/>
        <v>0</v>
      </c>
      <c r="M992" s="1172">
        <f t="shared" si="803"/>
        <v>0</v>
      </c>
      <c r="N992" s="1172">
        <f t="shared" si="803"/>
        <v>0</v>
      </c>
      <c r="O992" s="1172">
        <f t="shared" si="803"/>
        <v>0</v>
      </c>
      <c r="P992" s="1172">
        <f t="shared" si="803"/>
        <v>0</v>
      </c>
      <c r="Q992" s="1172">
        <f t="shared" si="803"/>
        <v>0</v>
      </c>
      <c r="R992" s="1172">
        <f t="shared" si="803"/>
        <v>0</v>
      </c>
      <c r="S992" s="1172">
        <f t="shared" si="803"/>
        <v>0</v>
      </c>
      <c r="T992" s="1172">
        <f t="shared" si="803"/>
        <v>0</v>
      </c>
      <c r="U992" s="1172">
        <f t="shared" si="803"/>
        <v>0</v>
      </c>
      <c r="V992" s="1172">
        <f t="shared" si="803"/>
        <v>12.479817569535001</v>
      </c>
      <c r="W992" s="1172">
        <f t="shared" si="803"/>
        <v>17.51135049424056</v>
      </c>
      <c r="X992" s="1172">
        <f t="shared" si="803"/>
        <v>7.4814293528437386</v>
      </c>
      <c r="Y992" s="1172">
        <f t="shared" si="803"/>
        <v>8.9305315382759591</v>
      </c>
      <c r="Z992" s="1172">
        <f t="shared" si="803"/>
        <v>16.119985461534426</v>
      </c>
      <c r="AA992" s="1172">
        <f t="shared" si="803"/>
        <v>15.087256646122416</v>
      </c>
      <c r="AB992" s="1172">
        <f t="shared" si="803"/>
        <v>15.849188731704091</v>
      </c>
      <c r="AC992" s="1172">
        <f t="shared" si="803"/>
        <v>7.1875624773898839</v>
      </c>
      <c r="AD992" s="1172">
        <f t="shared" si="803"/>
        <v>14.146352606933061</v>
      </c>
      <c r="AE992" s="1172">
        <f t="shared" si="803"/>
        <v>13.803375699197142</v>
      </c>
      <c r="AF992" s="1172">
        <f t="shared" si="803"/>
        <v>14.132000822415671</v>
      </c>
      <c r="AG992" s="1172">
        <f t="shared" si="803"/>
        <v>13.818559845471068</v>
      </c>
      <c r="AH992" s="1172">
        <f t="shared" si="803"/>
        <v>13.536678509164151</v>
      </c>
      <c r="AI992" s="1172">
        <f t="shared" si="803"/>
        <v>10.013230935153329</v>
      </c>
      <c r="AJ992" s="1172">
        <f t="shared" si="803"/>
        <v>10.816279305243317</v>
      </c>
      <c r="AK992" s="1172">
        <f t="shared" si="803"/>
        <v>3.3323514096205646</v>
      </c>
      <c r="AL992" s="1172">
        <f t="shared" si="803"/>
        <v>0</v>
      </c>
      <c r="AM992" s="1172">
        <f t="shared" si="803"/>
        <v>0</v>
      </c>
      <c r="AN992" s="1172">
        <f t="shared" si="803"/>
        <v>0</v>
      </c>
      <c r="AO992" s="1172">
        <f t="shared" si="803"/>
        <v>0</v>
      </c>
      <c r="AP992" s="1172">
        <f t="shared" si="803"/>
        <v>0</v>
      </c>
      <c r="AQ992" s="1172">
        <f t="shared" si="803"/>
        <v>0</v>
      </c>
      <c r="AR992" s="1172">
        <f t="shared" si="803"/>
        <v>0</v>
      </c>
      <c r="AS992" s="1172">
        <f t="shared" si="803"/>
        <v>0</v>
      </c>
    </row>
    <row r="993" spans="1:45" s="70" customFormat="1" ht="15" customHeight="1" x14ac:dyDescent="0.3">
      <c r="A993" s="394"/>
      <c r="B993" s="394"/>
      <c r="C993" s="395"/>
      <c r="D993" s="34"/>
      <c r="E993" s="540" t="str">
        <f xml:space="preserve"> "Cumulative " &amp; E992</f>
        <v>Cumulative Potential Impact of Tax and Investment treaty obligations</v>
      </c>
      <c r="F993" s="540">
        <f>SUM(K992:AS992)</f>
        <v>194.24595140484439</v>
      </c>
      <c r="G993" s="540" t="s">
        <v>346</v>
      </c>
      <c r="H993" s="569"/>
      <c r="I993" s="569"/>
      <c r="J993" s="562"/>
      <c r="K993" s="540"/>
      <c r="L993" s="540"/>
      <c r="M993" s="540"/>
      <c r="N993" s="540"/>
      <c r="O993" s="540"/>
      <c r="P993" s="540"/>
      <c r="Q993" s="540"/>
      <c r="R993" s="540"/>
      <c r="S993" s="540"/>
      <c r="T993" s="540"/>
      <c r="U993" s="540"/>
      <c r="V993" s="540"/>
      <c r="W993" s="540"/>
      <c r="X993" s="540"/>
      <c r="Y993" s="540"/>
      <c r="Z993" s="540"/>
      <c r="AA993" s="540"/>
      <c r="AB993" s="540"/>
      <c r="AC993" s="540"/>
      <c r="AD993" s="540"/>
      <c r="AE993" s="540"/>
      <c r="AF993" s="540"/>
      <c r="AG993" s="540"/>
      <c r="AH993" s="540"/>
      <c r="AI993" s="540"/>
      <c r="AJ993" s="540"/>
      <c r="AK993" s="540"/>
      <c r="AL993" s="540"/>
      <c r="AM993" s="540"/>
      <c r="AN993" s="540"/>
      <c r="AO993" s="540"/>
      <c r="AP993" s="540"/>
      <c r="AQ993" s="540"/>
      <c r="AR993" s="540"/>
      <c r="AS993" s="540"/>
    </row>
    <row r="994" spans="1:45" ht="15" customHeight="1" x14ac:dyDescent="0.3">
      <c r="I994" s="116"/>
      <c r="AL994" s="42"/>
      <c r="AM994" s="42"/>
      <c r="AN994" s="42"/>
      <c r="AO994" s="42"/>
      <c r="AP994" s="42"/>
      <c r="AQ994" s="42"/>
      <c r="AR994" s="42"/>
      <c r="AS994" s="42"/>
    </row>
    <row r="995" spans="1:45" ht="15" customHeight="1" collapsed="1" x14ac:dyDescent="0.3">
      <c r="A995" s="15" t="s">
        <v>739</v>
      </c>
      <c r="B995" s="119"/>
      <c r="C995" s="120"/>
      <c r="D995" s="121"/>
      <c r="E995" s="119"/>
      <c r="F995" s="119"/>
      <c r="G995" s="119"/>
      <c r="H995" s="119"/>
      <c r="I995" s="119"/>
      <c r="J995" s="16"/>
      <c r="K995" s="16"/>
      <c r="L995" s="16"/>
      <c r="M995" s="16"/>
      <c r="N995" s="16"/>
      <c r="O995" s="16"/>
      <c r="P995" s="16"/>
      <c r="Q995" s="16"/>
      <c r="R995" s="16"/>
      <c r="S995" s="16"/>
      <c r="T995" s="16"/>
      <c r="U995" s="16"/>
      <c r="V995" s="16"/>
      <c r="W995" s="16"/>
      <c r="X995" s="16"/>
      <c r="Y995" s="16"/>
      <c r="Z995" s="16"/>
      <c r="AA995" s="16"/>
      <c r="AB995" s="16"/>
      <c r="AC995" s="16"/>
      <c r="AD995" s="16"/>
      <c r="AE995" s="16"/>
      <c r="AF995" s="16"/>
      <c r="AG995" s="16"/>
      <c r="AH995" s="16"/>
      <c r="AI995" s="16"/>
      <c r="AJ995" s="16"/>
      <c r="AK995" s="16"/>
      <c r="AL995" s="16"/>
      <c r="AM995" s="16"/>
      <c r="AN995" s="16"/>
      <c r="AO995" s="16"/>
      <c r="AP995" s="16"/>
      <c r="AQ995" s="16"/>
      <c r="AR995" s="16"/>
      <c r="AS995" s="16"/>
    </row>
    <row r="996" spans="1:45" ht="15" customHeight="1" x14ac:dyDescent="0.3">
      <c r="A996" s="52"/>
      <c r="B996" s="244"/>
      <c r="C996" s="787"/>
      <c r="D996" s="788"/>
      <c r="E996" s="244"/>
      <c r="F996" s="244"/>
      <c r="G996" s="244"/>
      <c r="H996" s="244"/>
      <c r="I996" s="244"/>
      <c r="J996" s="53"/>
      <c r="K996" s="53"/>
      <c r="L996" s="53"/>
      <c r="M996" s="53"/>
      <c r="N996" s="53"/>
      <c r="O996" s="53"/>
      <c r="P996" s="53"/>
      <c r="Q996" s="53"/>
      <c r="R996" s="53"/>
      <c r="S996" s="53"/>
      <c r="T996" s="53"/>
      <c r="U996" s="53"/>
      <c r="V996" s="53"/>
      <c r="W996" s="53"/>
      <c r="X996" s="53"/>
      <c r="Y996" s="53"/>
      <c r="Z996" s="53"/>
      <c r="AA996" s="53"/>
      <c r="AB996" s="53"/>
      <c r="AC996" s="53"/>
      <c r="AD996" s="53"/>
      <c r="AE996" s="53"/>
      <c r="AF996" s="53"/>
      <c r="AG996" s="53"/>
      <c r="AH996" s="53"/>
      <c r="AI996" s="53"/>
      <c r="AJ996" s="53"/>
      <c r="AK996" s="53"/>
      <c r="AL996" s="53"/>
      <c r="AM996" s="53"/>
      <c r="AN996" s="53"/>
      <c r="AO996" s="53"/>
      <c r="AP996" s="53"/>
      <c r="AQ996" s="53"/>
      <c r="AR996" s="53"/>
      <c r="AS996" s="53"/>
    </row>
    <row r="997" spans="1:45" ht="15" customHeight="1" x14ac:dyDescent="0.3">
      <c r="B997" s="112" t="s">
        <v>245</v>
      </c>
      <c r="I997" s="116"/>
      <c r="AL997" s="42"/>
      <c r="AM997" s="42"/>
      <c r="AN997" s="42"/>
      <c r="AO997" s="42"/>
      <c r="AP997" s="42"/>
      <c r="AQ997" s="42"/>
      <c r="AR997" s="42"/>
      <c r="AS997" s="42"/>
    </row>
    <row r="998" spans="1:45" ht="15" customHeight="1" x14ac:dyDescent="0.3">
      <c r="A998" s="739"/>
      <c r="B998" s="739"/>
      <c r="C998" s="740"/>
      <c r="D998" s="703"/>
      <c r="E998" s="703"/>
      <c r="F998" s="703" t="s">
        <v>319</v>
      </c>
      <c r="G998" s="703"/>
      <c r="H998" s="703"/>
      <c r="I998" s="703"/>
      <c r="J998" s="703"/>
      <c r="K998" s="703"/>
      <c r="L998" s="703"/>
      <c r="M998" s="703"/>
      <c r="N998" s="703"/>
      <c r="O998" s="703"/>
      <c r="P998" s="703"/>
      <c r="Q998" s="703"/>
      <c r="R998" s="703"/>
      <c r="S998" s="703"/>
      <c r="T998" s="703"/>
      <c r="U998" s="703"/>
      <c r="V998" s="703"/>
      <c r="W998" s="703"/>
      <c r="X998" s="703"/>
      <c r="Y998" s="703"/>
      <c r="Z998" s="703"/>
      <c r="AA998" s="703"/>
      <c r="AB998" s="703"/>
      <c r="AC998" s="703"/>
      <c r="AD998" s="703"/>
      <c r="AE998" s="703"/>
      <c r="AF998" s="703"/>
      <c r="AG998" s="703"/>
      <c r="AH998" s="703"/>
      <c r="AI998" s="703"/>
      <c r="AJ998" s="703"/>
      <c r="AK998" s="703"/>
      <c r="AL998" s="703"/>
      <c r="AM998" s="703"/>
      <c r="AN998" s="703"/>
      <c r="AO998" s="703"/>
      <c r="AP998" s="703"/>
      <c r="AQ998" s="703"/>
      <c r="AR998" s="703"/>
      <c r="AS998" s="703"/>
    </row>
    <row r="999" spans="1:45" ht="15" customHeight="1" x14ac:dyDescent="0.3">
      <c r="A999" s="762"/>
      <c r="B999" s="762"/>
      <c r="C999" s="763"/>
      <c r="D999" s="386"/>
      <c r="E999" s="386" t="str">
        <f xml:space="preserve"> E$450</f>
        <v>Total royalty</v>
      </c>
      <c r="F999" s="386">
        <f t="shared" ref="F999:O999" si="804" xml:space="preserve"> F$450</f>
        <v>0</v>
      </c>
      <c r="G999" s="386" t="str">
        <f t="shared" si="804"/>
        <v>$ mn</v>
      </c>
      <c r="H999" s="386">
        <f t="shared" si="804"/>
        <v>0</v>
      </c>
      <c r="I999" s="386">
        <f t="shared" si="804"/>
        <v>457.74229303356492</v>
      </c>
      <c r="J999" s="386">
        <f t="shared" si="804"/>
        <v>0</v>
      </c>
      <c r="K999" s="386">
        <f t="shared" si="804"/>
        <v>0</v>
      </c>
      <c r="L999" s="386">
        <f t="shared" si="804"/>
        <v>0</v>
      </c>
      <c r="M999" s="386">
        <f t="shared" si="804"/>
        <v>0</v>
      </c>
      <c r="N999" s="386">
        <f t="shared" si="804"/>
        <v>0</v>
      </c>
      <c r="O999" s="386">
        <f t="shared" si="804"/>
        <v>0</v>
      </c>
      <c r="P999" s="386">
        <f t="shared" ref="P999:AS999" si="805" xml:space="preserve"> P$450</f>
        <v>0</v>
      </c>
      <c r="Q999" s="386">
        <f t="shared" si="805"/>
        <v>0</v>
      </c>
      <c r="R999" s="386">
        <f t="shared" si="805"/>
        <v>0</v>
      </c>
      <c r="S999" s="386">
        <f t="shared" si="805"/>
        <v>0</v>
      </c>
      <c r="T999" s="386">
        <f t="shared" si="805"/>
        <v>0</v>
      </c>
      <c r="U999" s="386">
        <f t="shared" si="805"/>
        <v>0</v>
      </c>
      <c r="V999" s="386">
        <f t="shared" si="805"/>
        <v>2.0936121000000005</v>
      </c>
      <c r="W999" s="386">
        <f t="shared" si="805"/>
        <v>7.5658579699999997</v>
      </c>
      <c r="X999" s="386">
        <f t="shared" si="805"/>
        <v>16.337975890432002</v>
      </c>
      <c r="Y999" s="386">
        <f t="shared" si="805"/>
        <v>25.546252756080001</v>
      </c>
      <c r="Z999" s="386">
        <f t="shared" si="805"/>
        <v>43.023062557888011</v>
      </c>
      <c r="AA999" s="386">
        <f t="shared" si="805"/>
        <v>43.288425837524002</v>
      </c>
      <c r="AB999" s="386">
        <f t="shared" si="805"/>
        <v>39.115809928424305</v>
      </c>
      <c r="AC999" s="386">
        <f t="shared" si="805"/>
        <v>23.714695633259289</v>
      </c>
      <c r="AD999" s="386">
        <f t="shared" si="805"/>
        <v>36.174084346767344</v>
      </c>
      <c r="AE999" s="386">
        <f t="shared" si="805"/>
        <v>36.23127661610944</v>
      </c>
      <c r="AF999" s="386">
        <f t="shared" si="805"/>
        <v>36.198843743194338</v>
      </c>
      <c r="AG999" s="386">
        <f t="shared" si="805"/>
        <v>36.152806681136795</v>
      </c>
      <c r="AH999" s="386">
        <f t="shared" si="805"/>
        <v>36.201691396517489</v>
      </c>
      <c r="AI999" s="386">
        <f t="shared" si="805"/>
        <v>31.43504126794684</v>
      </c>
      <c r="AJ999" s="386">
        <f t="shared" si="805"/>
        <v>31.402193175662639</v>
      </c>
      <c r="AK999" s="386">
        <f t="shared" si="805"/>
        <v>13.260663132622414</v>
      </c>
      <c r="AL999" s="386">
        <f t="shared" si="805"/>
        <v>0</v>
      </c>
      <c r="AM999" s="386">
        <f t="shared" si="805"/>
        <v>0</v>
      </c>
      <c r="AN999" s="386">
        <f t="shared" si="805"/>
        <v>0</v>
      </c>
      <c r="AO999" s="386">
        <f t="shared" si="805"/>
        <v>0</v>
      </c>
      <c r="AP999" s="386">
        <f t="shared" si="805"/>
        <v>0</v>
      </c>
      <c r="AQ999" s="386">
        <f t="shared" si="805"/>
        <v>0</v>
      </c>
      <c r="AR999" s="386">
        <f t="shared" si="805"/>
        <v>0</v>
      </c>
      <c r="AS999" s="386">
        <f t="shared" si="805"/>
        <v>0</v>
      </c>
    </row>
    <row r="1000" spans="1:45" ht="15" customHeight="1" x14ac:dyDescent="0.3">
      <c r="A1000" s="762"/>
      <c r="B1000" s="762"/>
      <c r="C1000" s="763"/>
      <c r="D1000" s="386"/>
      <c r="E1000" s="386" t="str">
        <f xml:space="preserve"> E$670</f>
        <v>Turnover tax (Chiffre d'Affaires 0.3PC)</v>
      </c>
      <c r="F1000" s="386">
        <f t="shared" ref="F1000:AS1000" si="806" xml:space="preserve"> F$670</f>
        <v>0</v>
      </c>
      <c r="G1000" s="386" t="str">
        <f t="shared" si="806"/>
        <v>$ mn</v>
      </c>
      <c r="H1000" s="386">
        <f t="shared" si="806"/>
        <v>0</v>
      </c>
      <c r="I1000" s="386">
        <f t="shared" si="806"/>
        <v>36.17168207429534</v>
      </c>
      <c r="J1000" s="386">
        <f t="shared" si="806"/>
        <v>0</v>
      </c>
      <c r="K1000" s="386">
        <f t="shared" si="806"/>
        <v>0</v>
      </c>
      <c r="L1000" s="386">
        <f t="shared" si="806"/>
        <v>0</v>
      </c>
      <c r="M1000" s="386">
        <f t="shared" si="806"/>
        <v>0</v>
      </c>
      <c r="N1000" s="386">
        <f t="shared" si="806"/>
        <v>0</v>
      </c>
      <c r="O1000" s="386">
        <f t="shared" si="806"/>
        <v>0</v>
      </c>
      <c r="P1000" s="386">
        <f t="shared" si="806"/>
        <v>0</v>
      </c>
      <c r="Q1000" s="386">
        <f t="shared" si="806"/>
        <v>0</v>
      </c>
      <c r="R1000" s="386">
        <f t="shared" si="806"/>
        <v>0</v>
      </c>
      <c r="S1000" s="386">
        <f t="shared" si="806"/>
        <v>0</v>
      </c>
      <c r="T1000" s="386">
        <f t="shared" si="806"/>
        <v>0</v>
      </c>
      <c r="U1000" s="386">
        <f t="shared" si="806"/>
        <v>0</v>
      </c>
      <c r="V1000" s="386">
        <f t="shared" si="806"/>
        <v>0.31404181500000006</v>
      </c>
      <c r="W1000" s="386">
        <f t="shared" si="806"/>
        <v>0.82536632399999987</v>
      </c>
      <c r="X1000" s="386">
        <f t="shared" si="806"/>
        <v>1.3029954585129602</v>
      </c>
      <c r="Y1000" s="386">
        <f t="shared" si="806"/>
        <v>2.0061437958324002</v>
      </c>
      <c r="Z1000" s="386">
        <f t="shared" si="806"/>
        <v>3.3560971628366403</v>
      </c>
      <c r="AA1000" s="386">
        <f t="shared" si="806"/>
        <v>3.1286356200757202</v>
      </c>
      <c r="AB1000" s="386">
        <f t="shared" si="806"/>
        <v>3.0706451289885188</v>
      </c>
      <c r="AC1000" s="386">
        <f t="shared" si="806"/>
        <v>1.9614291687777747</v>
      </c>
      <c r="AD1000" s="386">
        <f t="shared" si="806"/>
        <v>2.8500910989634924</v>
      </c>
      <c r="AE1000" s="386">
        <f t="shared" si="806"/>
        <v>2.8549932934785289</v>
      </c>
      <c r="AF1000" s="386">
        <f t="shared" si="806"/>
        <v>2.8522133329429491</v>
      </c>
      <c r="AG1000" s="386">
        <f t="shared" si="806"/>
        <v>2.8482672990523024</v>
      </c>
      <c r="AH1000" s="386">
        <f t="shared" si="806"/>
        <v>2.852457417513504</v>
      </c>
      <c r="AI1000" s="386">
        <f t="shared" si="806"/>
        <v>2.4380476477577542</v>
      </c>
      <c r="AJ1000" s="386">
        <f t="shared" si="806"/>
        <v>2.4680766210267722</v>
      </c>
      <c r="AK1000" s="386">
        <f t="shared" si="806"/>
        <v>1.0421808895360172</v>
      </c>
      <c r="AL1000" s="386">
        <f t="shared" si="806"/>
        <v>0</v>
      </c>
      <c r="AM1000" s="386">
        <f t="shared" si="806"/>
        <v>0</v>
      </c>
      <c r="AN1000" s="386">
        <f t="shared" si="806"/>
        <v>0</v>
      </c>
      <c r="AO1000" s="386">
        <f t="shared" si="806"/>
        <v>0</v>
      </c>
      <c r="AP1000" s="386">
        <f t="shared" si="806"/>
        <v>0</v>
      </c>
      <c r="AQ1000" s="386">
        <f t="shared" si="806"/>
        <v>0</v>
      </c>
      <c r="AR1000" s="386">
        <f t="shared" si="806"/>
        <v>0</v>
      </c>
      <c r="AS1000" s="386">
        <f t="shared" si="806"/>
        <v>0</v>
      </c>
    </row>
    <row r="1001" spans="1:45" ht="15" customHeight="1" x14ac:dyDescent="0.3">
      <c r="A1001" s="394"/>
      <c r="B1001" s="394"/>
      <c r="C1001" s="395"/>
      <c r="D1001" s="34"/>
      <c r="E1001" s="34" t="str">
        <f t="shared" ref="E1001:J1001" si="807" xml:space="preserve"> E$795</f>
        <v>CIT payable</v>
      </c>
      <c r="F1001" s="34">
        <f t="shared" si="807"/>
        <v>0</v>
      </c>
      <c r="G1001" s="34" t="str">
        <f t="shared" si="807"/>
        <v>$ mn</v>
      </c>
      <c r="H1001" s="34">
        <f t="shared" si="807"/>
        <v>0</v>
      </c>
      <c r="I1001" s="34">
        <f t="shared" si="807"/>
        <v>1297.2944426677445</v>
      </c>
      <c r="J1001" s="34">
        <f t="shared" si="807"/>
        <v>0</v>
      </c>
      <c r="K1001" s="34">
        <f t="shared" ref="K1001:O1001" si="808" xml:space="preserve"> K$795</f>
        <v>0</v>
      </c>
      <c r="L1001" s="34">
        <f t="shared" si="808"/>
        <v>0</v>
      </c>
      <c r="M1001" s="34">
        <f t="shared" si="808"/>
        <v>0</v>
      </c>
      <c r="N1001" s="34">
        <f t="shared" si="808"/>
        <v>0</v>
      </c>
      <c r="O1001" s="34">
        <f t="shared" si="808"/>
        <v>0</v>
      </c>
      <c r="P1001" s="34">
        <f t="shared" ref="P1001:AS1001" si="809" xml:space="preserve"> P$795</f>
        <v>0</v>
      </c>
      <c r="Q1001" s="34">
        <f t="shared" si="809"/>
        <v>0</v>
      </c>
      <c r="R1001" s="34">
        <f t="shared" si="809"/>
        <v>0</v>
      </c>
      <c r="S1001" s="34">
        <f t="shared" si="809"/>
        <v>0</v>
      </c>
      <c r="T1001" s="34">
        <f t="shared" si="809"/>
        <v>0</v>
      </c>
      <c r="U1001" s="34">
        <f t="shared" si="809"/>
        <v>0</v>
      </c>
      <c r="V1001" s="34">
        <f t="shared" si="809"/>
        <v>1.0468060500000003</v>
      </c>
      <c r="W1001" s="34">
        <f t="shared" si="809"/>
        <v>2.7512210799999997</v>
      </c>
      <c r="X1001" s="34">
        <f t="shared" si="809"/>
        <v>33.206817816867449</v>
      </c>
      <c r="Y1001" s="34">
        <f t="shared" si="809"/>
        <v>91.036694725097149</v>
      </c>
      <c r="Z1001" s="34">
        <f t="shared" si="809"/>
        <v>229.8752354083783</v>
      </c>
      <c r="AA1001" s="34">
        <f t="shared" si="809"/>
        <v>119.32897273914344</v>
      </c>
      <c r="AB1001" s="34">
        <f t="shared" si="809"/>
        <v>129.2104604228746</v>
      </c>
      <c r="AC1001" s="34">
        <f t="shared" si="809"/>
        <v>13.921063440907346</v>
      </c>
      <c r="AD1001" s="34">
        <f t="shared" si="809"/>
        <v>103.64997645515984</v>
      </c>
      <c r="AE1001" s="34">
        <f t="shared" si="809"/>
        <v>106.97229478280092</v>
      </c>
      <c r="AF1001" s="34">
        <f t="shared" si="809"/>
        <v>103.82695725435919</v>
      </c>
      <c r="AG1001" s="34">
        <f t="shared" si="809"/>
        <v>103.5575318677414</v>
      </c>
      <c r="AH1001" s="34">
        <f t="shared" si="809"/>
        <v>104.80486722509302</v>
      </c>
      <c r="AI1001" s="34">
        <f t="shared" si="809"/>
        <v>63.926497242374566</v>
      </c>
      <c r="AJ1001" s="34">
        <f t="shared" si="809"/>
        <v>81.125964306258666</v>
      </c>
      <c r="AK1001" s="34">
        <f t="shared" si="809"/>
        <v>9.0530818506887716</v>
      </c>
      <c r="AL1001" s="34">
        <f t="shared" si="809"/>
        <v>0</v>
      </c>
      <c r="AM1001" s="34">
        <f t="shared" si="809"/>
        <v>0</v>
      </c>
      <c r="AN1001" s="34">
        <f t="shared" si="809"/>
        <v>0</v>
      </c>
      <c r="AO1001" s="34">
        <f t="shared" si="809"/>
        <v>0</v>
      </c>
      <c r="AP1001" s="34">
        <f t="shared" si="809"/>
        <v>0</v>
      </c>
      <c r="AQ1001" s="34">
        <f t="shared" si="809"/>
        <v>0</v>
      </c>
      <c r="AR1001" s="34">
        <f t="shared" si="809"/>
        <v>0</v>
      </c>
      <c r="AS1001" s="34">
        <f t="shared" si="809"/>
        <v>0</v>
      </c>
    </row>
    <row r="1002" spans="1:45" ht="15" customHeight="1" x14ac:dyDescent="0.3">
      <c r="A1002" s="394"/>
      <c r="B1002" s="394"/>
      <c r="C1002" s="395"/>
      <c r="D1002" s="34"/>
      <c r="E1002" s="34" t="str">
        <f xml:space="preserve"> E$753</f>
        <v>Special Tax On Excess Profits</v>
      </c>
      <c r="F1002" s="34">
        <f t="shared" ref="F1002:O1002" si="810" xml:space="preserve"> F$753</f>
        <v>0</v>
      </c>
      <c r="G1002" s="34" t="str">
        <f t="shared" si="810"/>
        <v>$ mn</v>
      </c>
      <c r="H1002" s="34">
        <f t="shared" si="810"/>
        <v>0</v>
      </c>
      <c r="I1002" s="34">
        <f t="shared" si="810"/>
        <v>0</v>
      </c>
      <c r="J1002" s="34">
        <f t="shared" si="810"/>
        <v>0</v>
      </c>
      <c r="K1002" s="34">
        <f t="shared" si="810"/>
        <v>0</v>
      </c>
      <c r="L1002" s="34">
        <f t="shared" si="810"/>
        <v>0</v>
      </c>
      <c r="M1002" s="34">
        <f t="shared" si="810"/>
        <v>0</v>
      </c>
      <c r="N1002" s="34">
        <f t="shared" si="810"/>
        <v>0</v>
      </c>
      <c r="O1002" s="34">
        <f t="shared" si="810"/>
        <v>0</v>
      </c>
      <c r="P1002" s="34">
        <f t="shared" ref="P1002:AS1002" si="811" xml:space="preserve"> P$753</f>
        <v>0</v>
      </c>
      <c r="Q1002" s="34">
        <f t="shared" si="811"/>
        <v>0</v>
      </c>
      <c r="R1002" s="34">
        <f t="shared" si="811"/>
        <v>0</v>
      </c>
      <c r="S1002" s="34">
        <f t="shared" si="811"/>
        <v>0</v>
      </c>
      <c r="T1002" s="34">
        <f t="shared" si="811"/>
        <v>0</v>
      </c>
      <c r="U1002" s="34">
        <f t="shared" si="811"/>
        <v>0</v>
      </c>
      <c r="V1002" s="34">
        <f t="shared" si="811"/>
        <v>0</v>
      </c>
      <c r="W1002" s="34">
        <f t="shared" si="811"/>
        <v>0</v>
      </c>
      <c r="X1002" s="34">
        <f t="shared" si="811"/>
        <v>0</v>
      </c>
      <c r="Y1002" s="34">
        <f t="shared" si="811"/>
        <v>0</v>
      </c>
      <c r="Z1002" s="34">
        <f t="shared" si="811"/>
        <v>0</v>
      </c>
      <c r="AA1002" s="34">
        <f t="shared" si="811"/>
        <v>0</v>
      </c>
      <c r="AB1002" s="34">
        <f t="shared" si="811"/>
        <v>0</v>
      </c>
      <c r="AC1002" s="34">
        <f t="shared" si="811"/>
        <v>0</v>
      </c>
      <c r="AD1002" s="34">
        <f t="shared" si="811"/>
        <v>0</v>
      </c>
      <c r="AE1002" s="34">
        <f t="shared" si="811"/>
        <v>0</v>
      </c>
      <c r="AF1002" s="34">
        <f t="shared" si="811"/>
        <v>0</v>
      </c>
      <c r="AG1002" s="34">
        <f t="shared" si="811"/>
        <v>0</v>
      </c>
      <c r="AH1002" s="34">
        <f t="shared" si="811"/>
        <v>0</v>
      </c>
      <c r="AI1002" s="34">
        <f t="shared" si="811"/>
        <v>0</v>
      </c>
      <c r="AJ1002" s="34">
        <f t="shared" si="811"/>
        <v>0</v>
      </c>
      <c r="AK1002" s="34">
        <f t="shared" si="811"/>
        <v>0</v>
      </c>
      <c r="AL1002" s="34">
        <f t="shared" si="811"/>
        <v>0</v>
      </c>
      <c r="AM1002" s="34">
        <f t="shared" si="811"/>
        <v>0</v>
      </c>
      <c r="AN1002" s="34">
        <f t="shared" si="811"/>
        <v>0</v>
      </c>
      <c r="AO1002" s="34">
        <f t="shared" si="811"/>
        <v>0</v>
      </c>
      <c r="AP1002" s="34">
        <f t="shared" si="811"/>
        <v>0</v>
      </c>
      <c r="AQ1002" s="34">
        <f t="shared" si="811"/>
        <v>0</v>
      </c>
      <c r="AR1002" s="34">
        <f t="shared" si="811"/>
        <v>0</v>
      </c>
      <c r="AS1002" s="34">
        <f t="shared" si="811"/>
        <v>0</v>
      </c>
    </row>
    <row r="1003" spans="1:45" ht="15" customHeight="1" x14ac:dyDescent="0.3">
      <c r="A1003" s="394"/>
      <c r="B1003" s="394"/>
      <c r="C1003" s="395"/>
      <c r="D1003" s="34"/>
      <c r="E1003" s="34" t="str">
        <f xml:space="preserve"> E$862</f>
        <v>Signature Bonus (EITI)</v>
      </c>
      <c r="F1003" s="34" t="str">
        <f t="shared" ref="F1003:O1003" si="812" xml:space="preserve"> F$862</f>
        <v>yes</v>
      </c>
      <c r="G1003" s="34" t="str">
        <f t="shared" si="812"/>
        <v>$ mn</v>
      </c>
      <c r="H1003" s="34">
        <f t="shared" si="812"/>
        <v>0</v>
      </c>
      <c r="I1003" s="34">
        <f t="shared" si="812"/>
        <v>42.679182000000004</v>
      </c>
      <c r="J1003" s="34">
        <f t="shared" si="812"/>
        <v>0</v>
      </c>
      <c r="K1003" s="34">
        <f t="shared" si="812"/>
        <v>0</v>
      </c>
      <c r="L1003" s="34">
        <f t="shared" si="812"/>
        <v>0</v>
      </c>
      <c r="M1003" s="34">
        <f t="shared" si="812"/>
        <v>0</v>
      </c>
      <c r="N1003" s="34">
        <f t="shared" si="812"/>
        <v>0</v>
      </c>
      <c r="O1003" s="34">
        <f t="shared" si="812"/>
        <v>0</v>
      </c>
      <c r="P1003" s="34">
        <f t="shared" ref="P1003:AS1003" si="813" xml:space="preserve"> P$862</f>
        <v>0</v>
      </c>
      <c r="Q1003" s="34">
        <f t="shared" si="813"/>
        <v>0</v>
      </c>
      <c r="R1003" s="34">
        <f t="shared" si="813"/>
        <v>0</v>
      </c>
      <c r="S1003" s="34">
        <f t="shared" si="813"/>
        <v>0</v>
      </c>
      <c r="T1003" s="34">
        <f t="shared" si="813"/>
        <v>0</v>
      </c>
      <c r="U1003" s="34">
        <f t="shared" si="813"/>
        <v>0</v>
      </c>
      <c r="V1003" s="34">
        <f t="shared" si="813"/>
        <v>2.7</v>
      </c>
      <c r="W1003" s="34">
        <f t="shared" si="813"/>
        <v>8.1</v>
      </c>
      <c r="X1003" s="34">
        <f t="shared" si="813"/>
        <v>5.4</v>
      </c>
      <c r="Y1003" s="34">
        <f t="shared" si="813"/>
        <v>0</v>
      </c>
      <c r="Z1003" s="34">
        <f t="shared" si="813"/>
        <v>0</v>
      </c>
      <c r="AA1003" s="34">
        <f t="shared" si="813"/>
        <v>26.479182000000002</v>
      </c>
      <c r="AB1003" s="34">
        <f t="shared" si="813"/>
        <v>0</v>
      </c>
      <c r="AC1003" s="34">
        <f t="shared" si="813"/>
        <v>0</v>
      </c>
      <c r="AD1003" s="34">
        <f t="shared" si="813"/>
        <v>0</v>
      </c>
      <c r="AE1003" s="34">
        <f t="shared" si="813"/>
        <v>0</v>
      </c>
      <c r="AF1003" s="34">
        <f t="shared" si="813"/>
        <v>0</v>
      </c>
      <c r="AG1003" s="34">
        <f t="shared" si="813"/>
        <v>0</v>
      </c>
      <c r="AH1003" s="34">
        <f t="shared" si="813"/>
        <v>0</v>
      </c>
      <c r="AI1003" s="34">
        <f t="shared" si="813"/>
        <v>0</v>
      </c>
      <c r="AJ1003" s="34">
        <f t="shared" si="813"/>
        <v>0</v>
      </c>
      <c r="AK1003" s="34">
        <f t="shared" si="813"/>
        <v>0</v>
      </c>
      <c r="AL1003" s="34">
        <f t="shared" si="813"/>
        <v>0</v>
      </c>
      <c r="AM1003" s="34">
        <f t="shared" si="813"/>
        <v>0</v>
      </c>
      <c r="AN1003" s="34">
        <f t="shared" si="813"/>
        <v>0</v>
      </c>
      <c r="AO1003" s="34">
        <f t="shared" si="813"/>
        <v>0</v>
      </c>
      <c r="AP1003" s="34">
        <f t="shared" si="813"/>
        <v>0</v>
      </c>
      <c r="AQ1003" s="34">
        <f t="shared" si="813"/>
        <v>0</v>
      </c>
      <c r="AR1003" s="34">
        <f t="shared" si="813"/>
        <v>0</v>
      </c>
      <c r="AS1003" s="34">
        <f t="shared" si="813"/>
        <v>0</v>
      </c>
    </row>
    <row r="1004" spans="1:45" ht="15" customHeight="1" x14ac:dyDescent="0.3">
      <c r="A1004" s="394"/>
      <c r="B1004" s="394"/>
      <c r="C1004" s="395"/>
      <c r="D1004" s="34"/>
      <c r="E1004" s="381" t="str">
        <f xml:space="preserve"> E$863</f>
        <v>Payroll taxes (included in costs)</v>
      </c>
      <c r="F1004" s="381">
        <f t="shared" ref="F1004:O1004" si="814" xml:space="preserve"> F$863</f>
        <v>0</v>
      </c>
      <c r="G1004" s="381" t="str">
        <f t="shared" si="814"/>
        <v>$ mn</v>
      </c>
      <c r="H1004" s="381">
        <f t="shared" si="814"/>
        <v>0</v>
      </c>
      <c r="I1004" s="381">
        <f t="shared" si="814"/>
        <v>256.69892824335369</v>
      </c>
      <c r="J1004" s="381">
        <f t="shared" si="814"/>
        <v>0</v>
      </c>
      <c r="K1004" s="381">
        <f t="shared" si="814"/>
        <v>0</v>
      </c>
      <c r="L1004" s="381">
        <f t="shared" si="814"/>
        <v>0</v>
      </c>
      <c r="M1004" s="381">
        <f t="shared" si="814"/>
        <v>0</v>
      </c>
      <c r="N1004" s="381">
        <f t="shared" si="814"/>
        <v>0</v>
      </c>
      <c r="O1004" s="381">
        <f t="shared" si="814"/>
        <v>0</v>
      </c>
      <c r="P1004" s="381">
        <f t="shared" ref="P1004:AS1004" si="815" xml:space="preserve"> P$863</f>
        <v>0</v>
      </c>
      <c r="Q1004" s="381">
        <f t="shared" si="815"/>
        <v>0</v>
      </c>
      <c r="R1004" s="381">
        <f t="shared" si="815"/>
        <v>0</v>
      </c>
      <c r="S1004" s="381">
        <f t="shared" si="815"/>
        <v>0</v>
      </c>
      <c r="T1004" s="381">
        <f t="shared" si="815"/>
        <v>0</v>
      </c>
      <c r="U1004" s="381">
        <f t="shared" si="815"/>
        <v>0</v>
      </c>
      <c r="V1004" s="381">
        <f t="shared" si="815"/>
        <v>3.7018979160000001</v>
      </c>
      <c r="W1004" s="381">
        <f t="shared" si="815"/>
        <v>4.4483312812000007</v>
      </c>
      <c r="X1004" s="381">
        <f t="shared" si="815"/>
        <v>8.918173364382719</v>
      </c>
      <c r="Y1004" s="381">
        <f t="shared" si="815"/>
        <v>11.003173489756801</v>
      </c>
      <c r="Z1004" s="381">
        <f t="shared" si="815"/>
        <v>9.4736950976844803</v>
      </c>
      <c r="AA1004" s="381">
        <f t="shared" si="815"/>
        <v>20.849272566499039</v>
      </c>
      <c r="AB1004" s="381">
        <f t="shared" si="815"/>
        <v>18.354245632181723</v>
      </c>
      <c r="AC1004" s="381">
        <f t="shared" si="815"/>
        <v>19.930563830032</v>
      </c>
      <c r="AD1004" s="381">
        <f t="shared" si="815"/>
        <v>19.975779678619961</v>
      </c>
      <c r="AE1004" s="381">
        <f t="shared" si="815"/>
        <v>20.465676569618431</v>
      </c>
      <c r="AF1004" s="381">
        <f t="shared" si="815"/>
        <v>20.899072725186198</v>
      </c>
      <c r="AG1004" s="381">
        <f t="shared" si="815"/>
        <v>21.351722609627963</v>
      </c>
      <c r="AH1004" s="381">
        <f t="shared" si="815"/>
        <v>21.812502005267589</v>
      </c>
      <c r="AI1004" s="381">
        <f t="shared" si="815"/>
        <v>22.521775076384014</v>
      </c>
      <c r="AJ1004" s="381">
        <f t="shared" si="815"/>
        <v>20.834805312495966</v>
      </c>
      <c r="AK1004" s="381">
        <f t="shared" si="815"/>
        <v>12.158241088416828</v>
      </c>
      <c r="AL1004" s="381">
        <f t="shared" si="815"/>
        <v>0</v>
      </c>
      <c r="AM1004" s="381">
        <f t="shared" si="815"/>
        <v>0</v>
      </c>
      <c r="AN1004" s="381">
        <f t="shared" si="815"/>
        <v>0</v>
      </c>
      <c r="AO1004" s="381">
        <f t="shared" si="815"/>
        <v>0</v>
      </c>
      <c r="AP1004" s="381">
        <f t="shared" si="815"/>
        <v>0</v>
      </c>
      <c r="AQ1004" s="381">
        <f t="shared" si="815"/>
        <v>0</v>
      </c>
      <c r="AR1004" s="381">
        <f t="shared" si="815"/>
        <v>0</v>
      </c>
      <c r="AS1004" s="381">
        <f t="shared" si="815"/>
        <v>0</v>
      </c>
    </row>
    <row r="1005" spans="1:45" ht="15" customHeight="1" x14ac:dyDescent="0.3">
      <c r="A1005" s="394"/>
      <c r="B1005" s="394"/>
      <c r="C1005" s="395"/>
      <c r="D1005" s="34"/>
      <c r="E1005" s="381" t="str">
        <f xml:space="preserve"> E$864</f>
        <v>Import duties (included in costs)</v>
      </c>
      <c r="F1005" s="381">
        <f t="shared" ref="F1005:O1005" si="816" xml:space="preserve"> F$864</f>
        <v>0</v>
      </c>
      <c r="G1005" s="381" t="str">
        <f t="shared" si="816"/>
        <v>$ mn</v>
      </c>
      <c r="H1005" s="381">
        <f t="shared" si="816"/>
        <v>0</v>
      </c>
      <c r="I1005" s="381">
        <f t="shared" si="816"/>
        <v>378.04054337098842</v>
      </c>
      <c r="J1005" s="381">
        <f t="shared" si="816"/>
        <v>378.04054337098842</v>
      </c>
      <c r="K1005" s="381">
        <f t="shared" si="816"/>
        <v>0</v>
      </c>
      <c r="L1005" s="381">
        <f t="shared" si="816"/>
        <v>0</v>
      </c>
      <c r="M1005" s="381">
        <f t="shared" si="816"/>
        <v>0</v>
      </c>
      <c r="N1005" s="381">
        <f t="shared" si="816"/>
        <v>0</v>
      </c>
      <c r="O1005" s="381">
        <f t="shared" si="816"/>
        <v>0</v>
      </c>
      <c r="P1005" s="381">
        <f t="shared" ref="P1005:AS1005" si="817" xml:space="preserve"> P$864</f>
        <v>0</v>
      </c>
      <c r="Q1005" s="381">
        <f t="shared" si="817"/>
        <v>0</v>
      </c>
      <c r="R1005" s="381">
        <f t="shared" si="817"/>
        <v>0</v>
      </c>
      <c r="S1005" s="381">
        <f t="shared" si="817"/>
        <v>0</v>
      </c>
      <c r="T1005" s="381">
        <f t="shared" si="817"/>
        <v>0</v>
      </c>
      <c r="U1005" s="381">
        <f t="shared" si="817"/>
        <v>0</v>
      </c>
      <c r="V1005" s="381">
        <f t="shared" si="817"/>
        <v>4.9504272399999998</v>
      </c>
      <c r="W1005" s="381">
        <f t="shared" si="817"/>
        <v>18.157969999999999</v>
      </c>
      <c r="X1005" s="381">
        <f t="shared" si="817"/>
        <v>40.621609999999997</v>
      </c>
      <c r="Y1005" s="381">
        <f t="shared" si="817"/>
        <v>3.393662</v>
      </c>
      <c r="Z1005" s="381">
        <f t="shared" si="817"/>
        <v>15.932733392105598</v>
      </c>
      <c r="AA1005" s="381">
        <f t="shared" si="817"/>
        <v>40.119290999999997</v>
      </c>
      <c r="AB1005" s="381">
        <f t="shared" si="817"/>
        <v>28.136993692495412</v>
      </c>
      <c r="AC1005" s="381">
        <f t="shared" si="817"/>
        <v>26.703387214366145</v>
      </c>
      <c r="AD1005" s="381">
        <f t="shared" si="817"/>
        <v>24.969724598274951</v>
      </c>
      <c r="AE1005" s="381">
        <f t="shared" si="817"/>
        <v>25.582095712023037</v>
      </c>
      <c r="AF1005" s="381">
        <f t="shared" si="817"/>
        <v>26.123840906482748</v>
      </c>
      <c r="AG1005" s="381">
        <f t="shared" si="817"/>
        <v>26.689653262034955</v>
      </c>
      <c r="AH1005" s="381">
        <f t="shared" si="817"/>
        <v>27.265627506584487</v>
      </c>
      <c r="AI1005" s="381">
        <f t="shared" si="817"/>
        <v>28.152218845480022</v>
      </c>
      <c r="AJ1005" s="381">
        <f t="shared" si="817"/>
        <v>26.043506640619956</v>
      </c>
      <c r="AK1005" s="381">
        <f t="shared" si="817"/>
        <v>15.197801360521035</v>
      </c>
      <c r="AL1005" s="381">
        <f t="shared" si="817"/>
        <v>0</v>
      </c>
      <c r="AM1005" s="381">
        <f t="shared" si="817"/>
        <v>0</v>
      </c>
      <c r="AN1005" s="381">
        <f t="shared" si="817"/>
        <v>0</v>
      </c>
      <c r="AO1005" s="381">
        <f t="shared" si="817"/>
        <v>0</v>
      </c>
      <c r="AP1005" s="381">
        <f t="shared" si="817"/>
        <v>0</v>
      </c>
      <c r="AQ1005" s="381">
        <f t="shared" si="817"/>
        <v>0</v>
      </c>
      <c r="AR1005" s="381">
        <f t="shared" si="817"/>
        <v>0</v>
      </c>
      <c r="AS1005" s="381">
        <f t="shared" si="817"/>
        <v>0</v>
      </c>
    </row>
    <row r="1006" spans="1:45" ht="15" customHeight="1" x14ac:dyDescent="0.3">
      <c r="A1006" s="394"/>
      <c r="B1006" s="394"/>
      <c r="C1006" s="395"/>
      <c r="D1006" s="34"/>
      <c r="E1006" s="381" t="str">
        <f xml:space="preserve"> E$918</f>
        <v>Interest withholding tax</v>
      </c>
      <c r="F1006" s="381">
        <f t="shared" ref="F1006:O1006" si="818" xml:space="preserve"> F$918</f>
        <v>0</v>
      </c>
      <c r="G1006" s="381" t="str">
        <f t="shared" si="818"/>
        <v>$ mn</v>
      </c>
      <c r="H1006" s="381">
        <f t="shared" si="818"/>
        <v>0</v>
      </c>
      <c r="I1006" s="381">
        <f t="shared" si="818"/>
        <v>0</v>
      </c>
      <c r="J1006" s="381">
        <f t="shared" si="818"/>
        <v>0</v>
      </c>
      <c r="K1006" s="381">
        <f t="shared" si="818"/>
        <v>0</v>
      </c>
      <c r="L1006" s="381">
        <f t="shared" si="818"/>
        <v>0</v>
      </c>
      <c r="M1006" s="381">
        <f t="shared" si="818"/>
        <v>0</v>
      </c>
      <c r="N1006" s="381">
        <f t="shared" si="818"/>
        <v>0</v>
      </c>
      <c r="O1006" s="381">
        <f t="shared" si="818"/>
        <v>0</v>
      </c>
      <c r="P1006" s="381">
        <f t="shared" ref="P1006:AS1006" si="819" xml:space="preserve"> P$918</f>
        <v>0</v>
      </c>
      <c r="Q1006" s="381">
        <f t="shared" si="819"/>
        <v>0</v>
      </c>
      <c r="R1006" s="381">
        <f t="shared" si="819"/>
        <v>0</v>
      </c>
      <c r="S1006" s="381">
        <f t="shared" si="819"/>
        <v>0</v>
      </c>
      <c r="T1006" s="381">
        <f t="shared" si="819"/>
        <v>0</v>
      </c>
      <c r="U1006" s="381">
        <f t="shared" si="819"/>
        <v>0</v>
      </c>
      <c r="V1006" s="381">
        <f t="shared" si="819"/>
        <v>0</v>
      </c>
      <c r="W1006" s="381">
        <f t="shared" si="819"/>
        <v>0</v>
      </c>
      <c r="X1006" s="381">
        <f t="shared" si="819"/>
        <v>0</v>
      </c>
      <c r="Y1006" s="381">
        <f t="shared" si="819"/>
        <v>0</v>
      </c>
      <c r="Z1006" s="381">
        <f t="shared" si="819"/>
        <v>0</v>
      </c>
      <c r="AA1006" s="381">
        <f t="shared" si="819"/>
        <v>0</v>
      </c>
      <c r="AB1006" s="381">
        <f t="shared" si="819"/>
        <v>0</v>
      </c>
      <c r="AC1006" s="381">
        <f t="shared" si="819"/>
        <v>0</v>
      </c>
      <c r="AD1006" s="381">
        <f t="shared" si="819"/>
        <v>0</v>
      </c>
      <c r="AE1006" s="381">
        <f t="shared" si="819"/>
        <v>0</v>
      </c>
      <c r="AF1006" s="381">
        <f t="shared" si="819"/>
        <v>0</v>
      </c>
      <c r="AG1006" s="381">
        <f t="shared" si="819"/>
        <v>0</v>
      </c>
      <c r="AH1006" s="381">
        <f t="shared" si="819"/>
        <v>0</v>
      </c>
      <c r="AI1006" s="381">
        <f t="shared" si="819"/>
        <v>0</v>
      </c>
      <c r="AJ1006" s="381">
        <f t="shared" si="819"/>
        <v>0</v>
      </c>
      <c r="AK1006" s="381">
        <f t="shared" si="819"/>
        <v>0</v>
      </c>
      <c r="AL1006" s="381">
        <f t="shared" si="819"/>
        <v>0</v>
      </c>
      <c r="AM1006" s="381">
        <f t="shared" si="819"/>
        <v>0</v>
      </c>
      <c r="AN1006" s="381">
        <f t="shared" si="819"/>
        <v>0</v>
      </c>
      <c r="AO1006" s="381">
        <f t="shared" si="819"/>
        <v>0</v>
      </c>
      <c r="AP1006" s="381">
        <f t="shared" si="819"/>
        <v>0</v>
      </c>
      <c r="AQ1006" s="381">
        <f t="shared" si="819"/>
        <v>0</v>
      </c>
      <c r="AR1006" s="381">
        <f t="shared" si="819"/>
        <v>0</v>
      </c>
      <c r="AS1006" s="381">
        <f t="shared" si="819"/>
        <v>0</v>
      </c>
    </row>
    <row r="1007" spans="1:45" ht="15" customHeight="1" x14ac:dyDescent="0.3">
      <c r="A1007" s="394"/>
      <c r="B1007" s="394"/>
      <c r="C1007" s="395"/>
      <c r="D1007" s="34"/>
      <c r="E1007" s="34" t="str">
        <f t="shared" ref="E1007:O1007" si="820" xml:space="preserve"> E$983</f>
        <v>Dividend withholding tax</v>
      </c>
      <c r="F1007" s="34">
        <f t="shared" si="820"/>
        <v>0</v>
      </c>
      <c r="G1007" s="34" t="str">
        <f t="shared" si="820"/>
        <v>$ mn</v>
      </c>
      <c r="H1007" s="34">
        <f t="shared" si="820"/>
        <v>0</v>
      </c>
      <c r="I1007" s="34">
        <f t="shared" si="820"/>
        <v>224.61815895215742</v>
      </c>
      <c r="J1007" s="34">
        <f t="shared" si="820"/>
        <v>0</v>
      </c>
      <c r="K1007" s="34">
        <f t="shared" si="820"/>
        <v>0</v>
      </c>
      <c r="L1007" s="34">
        <f t="shared" si="820"/>
        <v>0</v>
      </c>
      <c r="M1007" s="34">
        <f t="shared" si="820"/>
        <v>0</v>
      </c>
      <c r="N1007" s="34">
        <f t="shared" si="820"/>
        <v>0</v>
      </c>
      <c r="O1007" s="34">
        <f t="shared" si="820"/>
        <v>0</v>
      </c>
      <c r="P1007" s="34">
        <f t="shared" ref="P1007:AS1007" si="821" xml:space="preserve"> P$983</f>
        <v>0</v>
      </c>
      <c r="Q1007" s="34">
        <f t="shared" si="821"/>
        <v>0</v>
      </c>
      <c r="R1007" s="34">
        <f t="shared" si="821"/>
        <v>0</v>
      </c>
      <c r="S1007" s="34">
        <f t="shared" si="821"/>
        <v>0</v>
      </c>
      <c r="T1007" s="34">
        <f t="shared" si="821"/>
        <v>0</v>
      </c>
      <c r="U1007" s="34">
        <f t="shared" si="821"/>
        <v>0</v>
      </c>
      <c r="V1007" s="34">
        <f t="shared" si="821"/>
        <v>0</v>
      </c>
      <c r="W1007" s="34">
        <f t="shared" si="821"/>
        <v>28.712273925940117</v>
      </c>
      <c r="X1007" s="34">
        <f t="shared" si="821"/>
        <v>0</v>
      </c>
      <c r="Y1007" s="34">
        <f t="shared" si="821"/>
        <v>12.859494376943317</v>
      </c>
      <c r="Z1007" s="34">
        <f t="shared" si="821"/>
        <v>24.888187534151896</v>
      </c>
      <c r="AA1007" s="34">
        <f t="shared" si="821"/>
        <v>17.1209560194735</v>
      </c>
      <c r="AB1007" s="34">
        <f t="shared" si="821"/>
        <v>19.59615266395036</v>
      </c>
      <c r="AC1007" s="34">
        <f t="shared" si="821"/>
        <v>4.2520002565090707</v>
      </c>
      <c r="AD1007" s="34">
        <f t="shared" si="821"/>
        <v>19.553301604469887</v>
      </c>
      <c r="AE1007" s="34">
        <f t="shared" si="821"/>
        <v>18.653017899186221</v>
      </c>
      <c r="AF1007" s="34">
        <f t="shared" si="821"/>
        <v>19.12065732756238</v>
      </c>
      <c r="AG1007" s="34">
        <f t="shared" si="821"/>
        <v>18.2957410492299</v>
      </c>
      <c r="AH1007" s="34">
        <f t="shared" si="821"/>
        <v>17.530387391023734</v>
      </c>
      <c r="AI1007" s="34">
        <f t="shared" si="821"/>
        <v>10.173185274388651</v>
      </c>
      <c r="AJ1007" s="34">
        <f t="shared" si="821"/>
        <v>12.51733128626965</v>
      </c>
      <c r="AK1007" s="34">
        <f t="shared" si="821"/>
        <v>1.3454723430587663</v>
      </c>
      <c r="AL1007" s="34">
        <f t="shared" si="821"/>
        <v>0</v>
      </c>
      <c r="AM1007" s="34">
        <f t="shared" si="821"/>
        <v>0</v>
      </c>
      <c r="AN1007" s="34">
        <f t="shared" si="821"/>
        <v>0</v>
      </c>
      <c r="AO1007" s="34">
        <f t="shared" si="821"/>
        <v>0</v>
      </c>
      <c r="AP1007" s="34">
        <f t="shared" si="821"/>
        <v>0</v>
      </c>
      <c r="AQ1007" s="34">
        <f t="shared" si="821"/>
        <v>0</v>
      </c>
      <c r="AR1007" s="34">
        <f t="shared" si="821"/>
        <v>0</v>
      </c>
      <c r="AS1007" s="34">
        <f t="shared" si="821"/>
        <v>0</v>
      </c>
    </row>
    <row r="1008" spans="1:45" ht="15" customHeight="1" x14ac:dyDescent="0.3">
      <c r="A1008" s="394"/>
      <c r="B1008" s="394"/>
      <c r="C1008" s="395"/>
      <c r="D1008" s="34"/>
      <c r="E1008" s="381" t="str">
        <f xml:space="preserve"> E$848</f>
        <v>WHT on non-resident services</v>
      </c>
      <c r="F1008" s="381">
        <f t="shared" ref="F1008:AS1008" si="822" xml:space="preserve"> F$848</f>
        <v>0</v>
      </c>
      <c r="G1008" s="381" t="str">
        <f t="shared" si="822"/>
        <v>$ mn</v>
      </c>
      <c r="H1008" s="381">
        <f t="shared" si="822"/>
        <v>0</v>
      </c>
      <c r="I1008" s="381">
        <f t="shared" si="822"/>
        <v>72.445296483462641</v>
      </c>
      <c r="J1008" s="381">
        <f t="shared" si="822"/>
        <v>0</v>
      </c>
      <c r="K1008" s="381">
        <f t="shared" si="822"/>
        <v>0</v>
      </c>
      <c r="L1008" s="381">
        <f t="shared" si="822"/>
        <v>0</v>
      </c>
      <c r="M1008" s="381">
        <f t="shared" si="822"/>
        <v>0</v>
      </c>
      <c r="N1008" s="381">
        <f t="shared" si="822"/>
        <v>0</v>
      </c>
      <c r="O1008" s="381">
        <f t="shared" si="822"/>
        <v>0</v>
      </c>
      <c r="P1008" s="381">
        <f t="shared" si="822"/>
        <v>0</v>
      </c>
      <c r="Q1008" s="381">
        <f t="shared" si="822"/>
        <v>0</v>
      </c>
      <c r="R1008" s="381">
        <f t="shared" si="822"/>
        <v>0</v>
      </c>
      <c r="S1008" s="381">
        <f t="shared" si="822"/>
        <v>0</v>
      </c>
      <c r="T1008" s="381">
        <f t="shared" si="822"/>
        <v>0</v>
      </c>
      <c r="U1008" s="381">
        <f t="shared" si="822"/>
        <v>0</v>
      </c>
      <c r="V1008" s="381">
        <f t="shared" si="822"/>
        <v>5.6123427587850001</v>
      </c>
      <c r="W1008" s="381">
        <f t="shared" si="822"/>
        <v>3.1552135312705007</v>
      </c>
      <c r="X1008" s="381">
        <f t="shared" si="822"/>
        <v>4.857328718290721</v>
      </c>
      <c r="Y1008" s="381">
        <f t="shared" si="822"/>
        <v>2.5007843498043005</v>
      </c>
      <c r="Z1008" s="381">
        <f t="shared" si="822"/>
        <v>3.6758916944584801</v>
      </c>
      <c r="AA1008" s="381">
        <f t="shared" si="822"/>
        <v>6.5267786363856652</v>
      </c>
      <c r="AB1008" s="381">
        <f t="shared" si="822"/>
        <v>6.0511123997289111</v>
      </c>
      <c r="AC1008" s="381">
        <f t="shared" si="822"/>
        <v>5.0615623491353485</v>
      </c>
      <c r="AD1008" s="381">
        <f t="shared" si="822"/>
        <v>4.3697018046981171</v>
      </c>
      <c r="AE1008" s="381">
        <f t="shared" si="822"/>
        <v>4.4768667496040315</v>
      </c>
      <c r="AF1008" s="381">
        <f t="shared" si="822"/>
        <v>4.5716721586344811</v>
      </c>
      <c r="AG1008" s="381">
        <f t="shared" si="822"/>
        <v>4.6706893208561171</v>
      </c>
      <c r="AH1008" s="381">
        <f t="shared" si="822"/>
        <v>4.7714848136522852</v>
      </c>
      <c r="AI1008" s="381">
        <f t="shared" si="822"/>
        <v>4.9266382979590038</v>
      </c>
      <c r="AJ1008" s="381">
        <f t="shared" si="822"/>
        <v>4.5576136621084924</v>
      </c>
      <c r="AK1008" s="381">
        <f t="shared" si="822"/>
        <v>2.6596152380911815</v>
      </c>
      <c r="AL1008" s="381">
        <f t="shared" si="822"/>
        <v>0</v>
      </c>
      <c r="AM1008" s="381">
        <f t="shared" si="822"/>
        <v>0</v>
      </c>
      <c r="AN1008" s="381">
        <f t="shared" si="822"/>
        <v>0</v>
      </c>
      <c r="AO1008" s="381">
        <f t="shared" si="822"/>
        <v>0</v>
      </c>
      <c r="AP1008" s="381">
        <f t="shared" si="822"/>
        <v>0</v>
      </c>
      <c r="AQ1008" s="381">
        <f t="shared" si="822"/>
        <v>0</v>
      </c>
      <c r="AR1008" s="381">
        <f t="shared" si="822"/>
        <v>0</v>
      </c>
      <c r="AS1008" s="381">
        <f t="shared" si="822"/>
        <v>0</v>
      </c>
    </row>
    <row r="1009" spans="1:45" ht="15" customHeight="1" x14ac:dyDescent="0.3">
      <c r="A1009" s="736"/>
      <c r="B1009" s="736"/>
      <c r="C1009" s="737"/>
      <c r="D1009" s="738"/>
      <c r="E1009" s="738"/>
      <c r="F1009" s="738" t="s">
        <v>320</v>
      </c>
      <c r="G1009" s="738"/>
      <c r="H1009" s="738"/>
      <c r="I1009" s="738"/>
      <c r="J1009" s="738"/>
      <c r="K1009" s="738"/>
      <c r="L1009" s="738"/>
      <c r="M1009" s="738"/>
      <c r="N1009" s="738"/>
      <c r="O1009" s="738"/>
      <c r="P1009" s="738"/>
      <c r="Q1009" s="738"/>
      <c r="R1009" s="738"/>
      <c r="S1009" s="738"/>
      <c r="T1009" s="738"/>
      <c r="U1009" s="738"/>
      <c r="V1009" s="738"/>
      <c r="W1009" s="738"/>
      <c r="X1009" s="738"/>
      <c r="Y1009" s="738"/>
      <c r="Z1009" s="738"/>
      <c r="AA1009" s="738"/>
      <c r="AB1009" s="738"/>
      <c r="AC1009" s="738"/>
      <c r="AD1009" s="738"/>
      <c r="AE1009" s="738"/>
      <c r="AF1009" s="738"/>
      <c r="AG1009" s="738"/>
      <c r="AH1009" s="738"/>
      <c r="AI1009" s="738"/>
      <c r="AJ1009" s="738"/>
      <c r="AK1009" s="738"/>
      <c r="AL1009" s="738"/>
      <c r="AM1009" s="738"/>
      <c r="AN1009" s="738"/>
      <c r="AO1009" s="738"/>
      <c r="AP1009" s="738"/>
      <c r="AQ1009" s="738"/>
      <c r="AR1009" s="738"/>
      <c r="AS1009" s="738"/>
    </row>
    <row r="1010" spans="1:45" ht="15" customHeight="1" x14ac:dyDescent="0.3">
      <c r="A1010" s="771"/>
      <c r="B1010" s="771"/>
      <c r="C1010" s="772"/>
      <c r="D1010" s="773"/>
      <c r="E1010" s="773" t="s">
        <v>658</v>
      </c>
      <c r="F1010" s="773"/>
      <c r="G1010" s="773" t="s">
        <v>346</v>
      </c>
      <c r="H1010" s="773"/>
      <c r="I1010" s="773">
        <f>SUM(K1010:AS1010)</f>
        <v>2765.6905268255668</v>
      </c>
      <c r="J1010" s="773"/>
      <c r="K1010" s="773">
        <f t="shared" ref="K1010:AS1010" si="823">SUM(K998:K1009)</f>
        <v>0</v>
      </c>
      <c r="L1010" s="773">
        <f t="shared" si="823"/>
        <v>0</v>
      </c>
      <c r="M1010" s="773">
        <f t="shared" si="823"/>
        <v>0</v>
      </c>
      <c r="N1010" s="773">
        <f t="shared" si="823"/>
        <v>0</v>
      </c>
      <c r="O1010" s="773">
        <f t="shared" si="823"/>
        <v>0</v>
      </c>
      <c r="P1010" s="773">
        <f t="shared" si="823"/>
        <v>0</v>
      </c>
      <c r="Q1010" s="773">
        <f t="shared" si="823"/>
        <v>0</v>
      </c>
      <c r="R1010" s="773">
        <f t="shared" si="823"/>
        <v>0</v>
      </c>
      <c r="S1010" s="773">
        <f t="shared" si="823"/>
        <v>0</v>
      </c>
      <c r="T1010" s="773">
        <f t="shared" si="823"/>
        <v>0</v>
      </c>
      <c r="U1010" s="773">
        <f t="shared" si="823"/>
        <v>0</v>
      </c>
      <c r="V1010" s="773">
        <f t="shared" si="823"/>
        <v>20.419127879785002</v>
      </c>
      <c r="W1010" s="773">
        <f t="shared" si="823"/>
        <v>73.716234112410632</v>
      </c>
      <c r="X1010" s="773">
        <f t="shared" si="823"/>
        <v>110.64490124848584</v>
      </c>
      <c r="Y1010" s="773">
        <f t="shared" si="823"/>
        <v>148.34620549351393</v>
      </c>
      <c r="Z1010" s="773">
        <f t="shared" si="823"/>
        <v>330.22490284750336</v>
      </c>
      <c r="AA1010" s="773">
        <f t="shared" si="823"/>
        <v>276.84151441910132</v>
      </c>
      <c r="AB1010" s="773">
        <f t="shared" si="823"/>
        <v>243.53541986864383</v>
      </c>
      <c r="AC1010" s="773">
        <f t="shared" si="823"/>
        <v>95.544701892986964</v>
      </c>
      <c r="AD1010" s="773">
        <f t="shared" si="823"/>
        <v>211.54265958695359</v>
      </c>
      <c r="AE1010" s="773">
        <f t="shared" si="823"/>
        <v>215.23622162282058</v>
      </c>
      <c r="AF1010" s="773">
        <f t="shared" si="823"/>
        <v>213.59325744836227</v>
      </c>
      <c r="AG1010" s="773">
        <f t="shared" si="823"/>
        <v>213.56641208967943</v>
      </c>
      <c r="AH1010" s="773">
        <f t="shared" si="823"/>
        <v>215.2390177556521</v>
      </c>
      <c r="AI1010" s="773">
        <f t="shared" si="823"/>
        <v>163.57340365229086</v>
      </c>
      <c r="AJ1010" s="773">
        <f t="shared" si="823"/>
        <v>178.94949100444214</v>
      </c>
      <c r="AK1010" s="773">
        <f t="shared" si="823"/>
        <v>54.717055902935016</v>
      </c>
      <c r="AL1010" s="773">
        <f t="shared" si="823"/>
        <v>0</v>
      </c>
      <c r="AM1010" s="773">
        <f t="shared" si="823"/>
        <v>0</v>
      </c>
      <c r="AN1010" s="773">
        <f t="shared" si="823"/>
        <v>0</v>
      </c>
      <c r="AO1010" s="773">
        <f t="shared" si="823"/>
        <v>0</v>
      </c>
      <c r="AP1010" s="773">
        <f t="shared" si="823"/>
        <v>0</v>
      </c>
      <c r="AQ1010" s="773">
        <f t="shared" si="823"/>
        <v>0</v>
      </c>
      <c r="AR1010" s="773">
        <f t="shared" si="823"/>
        <v>0</v>
      </c>
      <c r="AS1010" s="773">
        <f t="shared" si="823"/>
        <v>0</v>
      </c>
    </row>
    <row r="1011" spans="1:45" ht="15" customHeight="1" x14ac:dyDescent="0.3">
      <c r="A1011" s="394"/>
      <c r="B1011" s="394"/>
      <c r="C1011" s="395"/>
      <c r="D1011" s="34"/>
      <c r="E1011" s="34" t="str">
        <f xml:space="preserve"> E$971</f>
        <v>Gecamines share of cashflows after repaying loan</v>
      </c>
      <c r="F1011" s="34">
        <f t="shared" ref="F1011:O1011" si="824" xml:space="preserve"> F$971</f>
        <v>0</v>
      </c>
      <c r="G1011" s="34" t="str">
        <f t="shared" si="824"/>
        <v>$ mn</v>
      </c>
      <c r="H1011" s="34">
        <f t="shared" si="824"/>
        <v>0</v>
      </c>
      <c r="I1011" s="34">
        <f t="shared" si="824"/>
        <v>921.83851310159503</v>
      </c>
      <c r="J1011" s="34">
        <f t="shared" si="824"/>
        <v>0</v>
      </c>
      <c r="K1011" s="34">
        <f t="shared" si="824"/>
        <v>0</v>
      </c>
      <c r="L1011" s="34">
        <f t="shared" si="824"/>
        <v>0</v>
      </c>
      <c r="M1011" s="34">
        <f t="shared" si="824"/>
        <v>0</v>
      </c>
      <c r="N1011" s="34">
        <f t="shared" si="824"/>
        <v>0</v>
      </c>
      <c r="O1011" s="34">
        <f t="shared" si="824"/>
        <v>0</v>
      </c>
      <c r="P1011" s="34">
        <f t="shared" ref="P1011:AS1011" si="825" xml:space="preserve"> P$971</f>
        <v>0</v>
      </c>
      <c r="Q1011" s="34">
        <f t="shared" si="825"/>
        <v>0</v>
      </c>
      <c r="R1011" s="34">
        <f t="shared" si="825"/>
        <v>0</v>
      </c>
      <c r="S1011" s="34">
        <f t="shared" si="825"/>
        <v>0</v>
      </c>
      <c r="T1011" s="34">
        <f t="shared" si="825"/>
        <v>0</v>
      </c>
      <c r="U1011" s="34">
        <f t="shared" si="825"/>
        <v>0</v>
      </c>
      <c r="V1011" s="34">
        <f t="shared" si="825"/>
        <v>0</v>
      </c>
      <c r="W1011" s="34">
        <f t="shared" si="825"/>
        <v>55.314913606598815</v>
      </c>
      <c r="X1011" s="34">
        <f t="shared" si="825"/>
        <v>0</v>
      </c>
      <c r="Y1011" s="34">
        <f t="shared" si="825"/>
        <v>28.804743620437343</v>
      </c>
      <c r="Z1011" s="34">
        <f t="shared" si="825"/>
        <v>96.787395966146264</v>
      </c>
      <c r="AA1011" s="34">
        <f t="shared" si="825"/>
        <v>66.581495631285847</v>
      </c>
      <c r="AB1011" s="34">
        <f t="shared" si="825"/>
        <v>76.207260359806966</v>
      </c>
      <c r="AC1011" s="34">
        <f t="shared" si="825"/>
        <v>20.942687830567063</v>
      </c>
      <c r="AD1011" s="34">
        <f t="shared" si="825"/>
        <v>96.307306410075569</v>
      </c>
      <c r="AE1011" s="34">
        <f t="shared" si="825"/>
        <v>91.873073234797815</v>
      </c>
      <c r="AF1011" s="34">
        <f t="shared" si="825"/>
        <v>94.176371911874412</v>
      </c>
      <c r="AG1011" s="34">
        <f t="shared" si="825"/>
        <v>90.113351436505482</v>
      </c>
      <c r="AH1011" s="34">
        <f t="shared" si="825"/>
        <v>86.3436990901169</v>
      </c>
      <c r="AI1011" s="34">
        <f t="shared" si="825"/>
        <v>50.106733441018733</v>
      </c>
      <c r="AJ1011" s="34">
        <f t="shared" si="825"/>
        <v>61.652527230880366</v>
      </c>
      <c r="AK1011" s="34">
        <f t="shared" si="825"/>
        <v>6.6269533314834765</v>
      </c>
      <c r="AL1011" s="34">
        <f t="shared" si="825"/>
        <v>0</v>
      </c>
      <c r="AM1011" s="34">
        <f t="shared" si="825"/>
        <v>0</v>
      </c>
      <c r="AN1011" s="34">
        <f t="shared" si="825"/>
        <v>0</v>
      </c>
      <c r="AO1011" s="34">
        <f t="shared" si="825"/>
        <v>0</v>
      </c>
      <c r="AP1011" s="34">
        <f t="shared" si="825"/>
        <v>0</v>
      </c>
      <c r="AQ1011" s="34">
        <f t="shared" si="825"/>
        <v>0</v>
      </c>
      <c r="AR1011" s="34">
        <f t="shared" si="825"/>
        <v>0</v>
      </c>
      <c r="AS1011" s="34">
        <f t="shared" si="825"/>
        <v>0</v>
      </c>
    </row>
    <row r="1012" spans="1:45" ht="15" customHeight="1" x14ac:dyDescent="0.3">
      <c r="A1012" s="558"/>
      <c r="B1012" s="558"/>
      <c r="C1012" s="559"/>
      <c r="D1012" s="548"/>
      <c r="E1012" s="548" t="s">
        <v>659</v>
      </c>
      <c r="F1012" s="548"/>
      <c r="G1012" s="548" t="s">
        <v>346</v>
      </c>
      <c r="H1012" s="747"/>
      <c r="I1012" s="747">
        <f>SUM(K1012:AS1012)</f>
        <v>3687.5290399271621</v>
      </c>
      <c r="J1012" s="551"/>
      <c r="K1012" s="548">
        <f t="shared" ref="K1012:O1012" si="826">K1010 + K1011</f>
        <v>0</v>
      </c>
      <c r="L1012" s="548">
        <f t="shared" si="826"/>
        <v>0</v>
      </c>
      <c r="M1012" s="548">
        <f t="shared" si="826"/>
        <v>0</v>
      </c>
      <c r="N1012" s="548">
        <f t="shared" si="826"/>
        <v>0</v>
      </c>
      <c r="O1012" s="548">
        <f t="shared" si="826"/>
        <v>0</v>
      </c>
      <c r="P1012" s="548">
        <f>P1010 + P1011</f>
        <v>0</v>
      </c>
      <c r="Q1012" s="548">
        <f t="shared" ref="Q1012:R1012" si="827">Q1010 + Q1011</f>
        <v>0</v>
      </c>
      <c r="R1012" s="548">
        <f t="shared" si="827"/>
        <v>0</v>
      </c>
      <c r="S1012" s="548">
        <f>S1010 + S1011</f>
        <v>0</v>
      </c>
      <c r="T1012" s="548">
        <f t="shared" ref="T1012:AS1012" si="828">T1010 + T1011</f>
        <v>0</v>
      </c>
      <c r="U1012" s="548">
        <f t="shared" si="828"/>
        <v>0</v>
      </c>
      <c r="V1012" s="548">
        <f t="shared" si="828"/>
        <v>20.419127879785002</v>
      </c>
      <c r="W1012" s="548">
        <f t="shared" si="828"/>
        <v>129.03114771900945</v>
      </c>
      <c r="X1012" s="548">
        <f t="shared" si="828"/>
        <v>110.64490124848584</v>
      </c>
      <c r="Y1012" s="548">
        <f t="shared" si="828"/>
        <v>177.15094911395127</v>
      </c>
      <c r="Z1012" s="548">
        <f t="shared" si="828"/>
        <v>427.01229881364964</v>
      </c>
      <c r="AA1012" s="548">
        <f t="shared" si="828"/>
        <v>343.42301005038718</v>
      </c>
      <c r="AB1012" s="548">
        <f t="shared" si="828"/>
        <v>319.74268022845081</v>
      </c>
      <c r="AC1012" s="548">
        <f t="shared" si="828"/>
        <v>116.48738972355403</v>
      </c>
      <c r="AD1012" s="548">
        <f t="shared" si="828"/>
        <v>307.84996599702913</v>
      </c>
      <c r="AE1012" s="548">
        <f t="shared" si="828"/>
        <v>307.10929485761841</v>
      </c>
      <c r="AF1012" s="548">
        <f t="shared" si="828"/>
        <v>307.76962936023665</v>
      </c>
      <c r="AG1012" s="548">
        <f t="shared" si="828"/>
        <v>303.6797635261849</v>
      </c>
      <c r="AH1012" s="548">
        <f t="shared" si="828"/>
        <v>301.58271684576903</v>
      </c>
      <c r="AI1012" s="548">
        <f t="shared" si="828"/>
        <v>213.68013709330961</v>
      </c>
      <c r="AJ1012" s="548">
        <f t="shared" si="828"/>
        <v>240.6020182353225</v>
      </c>
      <c r="AK1012" s="548">
        <f t="shared" si="828"/>
        <v>61.344009234418493</v>
      </c>
      <c r="AL1012" s="548">
        <f t="shared" si="828"/>
        <v>0</v>
      </c>
      <c r="AM1012" s="548">
        <f t="shared" si="828"/>
        <v>0</v>
      </c>
      <c r="AN1012" s="548">
        <f t="shared" si="828"/>
        <v>0</v>
      </c>
      <c r="AO1012" s="548">
        <f t="shared" si="828"/>
        <v>0</v>
      </c>
      <c r="AP1012" s="548">
        <f t="shared" si="828"/>
        <v>0</v>
      </c>
      <c r="AQ1012" s="548">
        <f t="shared" si="828"/>
        <v>0</v>
      </c>
      <c r="AR1012" s="548">
        <f t="shared" si="828"/>
        <v>0</v>
      </c>
      <c r="AS1012" s="548">
        <f t="shared" si="828"/>
        <v>0</v>
      </c>
    </row>
    <row r="1013" spans="1:45" ht="15" customHeight="1" x14ac:dyDescent="0.3">
      <c r="I1013" s="116"/>
      <c r="AL1013" s="42"/>
      <c r="AM1013" s="42"/>
      <c r="AN1013" s="42"/>
      <c r="AO1013" s="42"/>
      <c r="AP1013" s="42"/>
      <c r="AQ1013" s="42"/>
      <c r="AR1013" s="42"/>
      <c r="AS1013" s="42"/>
    </row>
    <row r="1014" spans="1:45" ht="15" customHeight="1" collapsed="1" x14ac:dyDescent="0.3">
      <c r="A1014" s="15" t="s">
        <v>853</v>
      </c>
      <c r="B1014" s="119"/>
      <c r="C1014" s="120"/>
      <c r="D1014" s="121"/>
      <c r="E1014" s="119"/>
      <c r="F1014" s="119"/>
      <c r="G1014" s="119"/>
      <c r="H1014" s="119"/>
      <c r="I1014" s="119"/>
      <c r="J1014" s="16"/>
      <c r="K1014" s="16"/>
      <c r="L1014" s="16"/>
      <c r="M1014" s="16"/>
      <c r="N1014" s="16"/>
      <c r="O1014" s="16"/>
      <c r="P1014" s="16"/>
      <c r="Q1014" s="16"/>
      <c r="R1014" s="16"/>
      <c r="S1014" s="16"/>
      <c r="T1014" s="16"/>
      <c r="U1014" s="16"/>
      <c r="V1014" s="16"/>
      <c r="W1014" s="16"/>
      <c r="X1014" s="16"/>
      <c r="Y1014" s="16"/>
      <c r="Z1014" s="16"/>
      <c r="AA1014" s="16"/>
      <c r="AB1014" s="16"/>
      <c r="AC1014" s="16"/>
      <c r="AD1014" s="16"/>
      <c r="AE1014" s="16"/>
      <c r="AF1014" s="16"/>
      <c r="AG1014" s="16"/>
      <c r="AH1014" s="16"/>
      <c r="AI1014" s="16"/>
      <c r="AJ1014" s="16"/>
      <c r="AK1014" s="16"/>
      <c r="AL1014" s="16"/>
      <c r="AM1014" s="16"/>
      <c r="AN1014" s="16"/>
      <c r="AO1014" s="16"/>
      <c r="AP1014" s="16"/>
      <c r="AQ1014" s="16"/>
      <c r="AR1014" s="16"/>
      <c r="AS1014" s="16"/>
    </row>
    <row r="1015" spans="1:45" ht="15" customHeight="1" x14ac:dyDescent="0.3">
      <c r="I1015" s="116"/>
      <c r="AL1015" s="42"/>
      <c r="AM1015" s="42"/>
      <c r="AN1015" s="42"/>
      <c r="AO1015" s="42"/>
      <c r="AP1015" s="42"/>
      <c r="AQ1015" s="42"/>
      <c r="AR1015" s="42"/>
      <c r="AS1015" s="42"/>
    </row>
    <row r="1016" spans="1:45" ht="15" customHeight="1" x14ac:dyDescent="0.3">
      <c r="A1016" s="180"/>
      <c r="B1016" s="180"/>
      <c r="C1016" s="181"/>
      <c r="D1016" s="36"/>
      <c r="E1016" s="849" t="str">
        <f xml:space="preserve"> E$661</f>
        <v>Project cashflow before tax</v>
      </c>
      <c r="F1016" s="849">
        <f t="shared" ref="F1016:O1016" si="829" xml:space="preserve"> F$661</f>
        <v>0</v>
      </c>
      <c r="G1016" s="849" t="str">
        <f t="shared" si="829"/>
        <v>$ mn</v>
      </c>
      <c r="H1016" s="849">
        <f t="shared" si="829"/>
        <v>0</v>
      </c>
      <c r="I1016" s="849">
        <f t="shared" si="829"/>
        <v>4808.508951492714</v>
      </c>
      <c r="J1016" s="849">
        <f t="shared" si="829"/>
        <v>0</v>
      </c>
      <c r="K1016" s="849">
        <f t="shared" si="829"/>
        <v>0</v>
      </c>
      <c r="L1016" s="849">
        <f t="shared" si="829"/>
        <v>0</v>
      </c>
      <c r="M1016" s="849">
        <f t="shared" si="829"/>
        <v>0</v>
      </c>
      <c r="N1016" s="849">
        <f t="shared" si="829"/>
        <v>0</v>
      </c>
      <c r="O1016" s="849">
        <f t="shared" si="829"/>
        <v>0</v>
      </c>
      <c r="P1016" s="849">
        <f t="shared" ref="P1016:AS1016" si="830" xml:space="preserve"> P$661</f>
        <v>0</v>
      </c>
      <c r="Q1016" s="849">
        <f t="shared" si="830"/>
        <v>0</v>
      </c>
      <c r="R1016" s="849">
        <f t="shared" si="830"/>
        <v>0</v>
      </c>
      <c r="S1016" s="849">
        <f t="shared" si="830"/>
        <v>0</v>
      </c>
      <c r="T1016" s="849">
        <f t="shared" si="830"/>
        <v>0</v>
      </c>
      <c r="U1016" s="849">
        <f t="shared" si="830"/>
        <v>0</v>
      </c>
      <c r="V1016" s="849">
        <f t="shared" si="830"/>
        <v>-232.89503624999998</v>
      </c>
      <c r="W1016" s="849">
        <f t="shared" si="830"/>
        <v>52.580098239999941</v>
      </c>
      <c r="X1016" s="849">
        <f t="shared" si="830"/>
        <v>63.087776474752047</v>
      </c>
      <c r="Y1016" s="849">
        <f t="shared" si="830"/>
        <v>388.84749866688009</v>
      </c>
      <c r="Z1016" s="849">
        <f t="shared" si="830"/>
        <v>800.04438643676804</v>
      </c>
      <c r="AA1016" s="849">
        <f t="shared" si="830"/>
        <v>421.34059002276399</v>
      </c>
      <c r="AB1016" s="849">
        <f t="shared" si="830"/>
        <v>460.80850247959802</v>
      </c>
      <c r="AC1016" s="849">
        <f t="shared" si="830"/>
        <v>119.74197863860209</v>
      </c>
      <c r="AD1016" s="849">
        <f t="shared" si="830"/>
        <v>450.63587435566512</v>
      </c>
      <c r="AE1016" s="849">
        <f t="shared" si="830"/>
        <v>440.02251691904888</v>
      </c>
      <c r="AF1016" s="849">
        <f t="shared" si="830"/>
        <v>428.26095951799471</v>
      </c>
      <c r="AG1016" s="849">
        <f t="shared" si="830"/>
        <v>415.62936777673497</v>
      </c>
      <c r="AH1016" s="849">
        <f t="shared" si="830"/>
        <v>405.50658903947829</v>
      </c>
      <c r="AI1016" s="849">
        <f t="shared" si="830"/>
        <v>249.63817234298438</v>
      </c>
      <c r="AJ1016" s="849">
        <f t="shared" si="830"/>
        <v>301.82207419652491</v>
      </c>
      <c r="AK1016" s="849">
        <f t="shared" si="830"/>
        <v>43.437602634918335</v>
      </c>
      <c r="AL1016" s="849">
        <f t="shared" si="830"/>
        <v>0</v>
      </c>
      <c r="AM1016" s="849">
        <f t="shared" si="830"/>
        <v>0</v>
      </c>
      <c r="AN1016" s="849">
        <f t="shared" si="830"/>
        <v>0</v>
      </c>
      <c r="AO1016" s="849">
        <f t="shared" si="830"/>
        <v>0</v>
      </c>
      <c r="AP1016" s="849">
        <f t="shared" si="830"/>
        <v>0</v>
      </c>
      <c r="AQ1016" s="849">
        <f t="shared" si="830"/>
        <v>0</v>
      </c>
      <c r="AR1016" s="849">
        <f t="shared" si="830"/>
        <v>0</v>
      </c>
      <c r="AS1016" s="849">
        <f t="shared" si="830"/>
        <v>0</v>
      </c>
    </row>
    <row r="1017" spans="1:45" ht="15" customHeight="1" x14ac:dyDescent="0.3">
      <c r="A1017" s="180"/>
      <c r="B1017" s="180"/>
      <c r="C1017" s="181"/>
      <c r="D1017" s="36"/>
      <c r="E1017" s="293" t="str">
        <f xml:space="preserve"> E$1010</f>
        <v>Government revenues excl Gecamines participation</v>
      </c>
      <c r="F1017" s="293">
        <f t="shared" ref="F1017:O1017" si="831" xml:space="preserve"> F$1010</f>
        <v>0</v>
      </c>
      <c r="G1017" s="293" t="str">
        <f t="shared" si="831"/>
        <v>$ mn</v>
      </c>
      <c r="H1017" s="293">
        <f t="shared" si="831"/>
        <v>0</v>
      </c>
      <c r="I1017" s="293">
        <f t="shared" si="831"/>
        <v>2765.6905268255668</v>
      </c>
      <c r="J1017" s="293">
        <f t="shared" si="831"/>
        <v>0</v>
      </c>
      <c r="K1017" s="293">
        <f t="shared" si="831"/>
        <v>0</v>
      </c>
      <c r="L1017" s="293">
        <f t="shared" si="831"/>
        <v>0</v>
      </c>
      <c r="M1017" s="293">
        <f t="shared" si="831"/>
        <v>0</v>
      </c>
      <c r="N1017" s="293">
        <f t="shared" si="831"/>
        <v>0</v>
      </c>
      <c r="O1017" s="293">
        <f t="shared" si="831"/>
        <v>0</v>
      </c>
      <c r="P1017" s="293">
        <f t="shared" ref="P1017:AS1017" si="832" xml:space="preserve"> P$1010</f>
        <v>0</v>
      </c>
      <c r="Q1017" s="293">
        <f t="shared" si="832"/>
        <v>0</v>
      </c>
      <c r="R1017" s="293">
        <f t="shared" si="832"/>
        <v>0</v>
      </c>
      <c r="S1017" s="293">
        <f t="shared" si="832"/>
        <v>0</v>
      </c>
      <c r="T1017" s="293">
        <f t="shared" si="832"/>
        <v>0</v>
      </c>
      <c r="U1017" s="293">
        <f t="shared" si="832"/>
        <v>0</v>
      </c>
      <c r="V1017" s="293">
        <f t="shared" si="832"/>
        <v>20.419127879785002</v>
      </c>
      <c r="W1017" s="293">
        <f t="shared" si="832"/>
        <v>73.716234112410632</v>
      </c>
      <c r="X1017" s="293">
        <f t="shared" si="832"/>
        <v>110.64490124848584</v>
      </c>
      <c r="Y1017" s="293">
        <f t="shared" si="832"/>
        <v>148.34620549351393</v>
      </c>
      <c r="Z1017" s="293">
        <f t="shared" si="832"/>
        <v>330.22490284750336</v>
      </c>
      <c r="AA1017" s="293">
        <f t="shared" si="832"/>
        <v>276.84151441910132</v>
      </c>
      <c r="AB1017" s="293">
        <f t="shared" si="832"/>
        <v>243.53541986864383</v>
      </c>
      <c r="AC1017" s="293">
        <f t="shared" si="832"/>
        <v>95.544701892986964</v>
      </c>
      <c r="AD1017" s="293">
        <f t="shared" si="832"/>
        <v>211.54265958695359</v>
      </c>
      <c r="AE1017" s="293">
        <f t="shared" si="832"/>
        <v>215.23622162282058</v>
      </c>
      <c r="AF1017" s="293">
        <f t="shared" si="832"/>
        <v>213.59325744836227</v>
      </c>
      <c r="AG1017" s="293">
        <f t="shared" si="832"/>
        <v>213.56641208967943</v>
      </c>
      <c r="AH1017" s="293">
        <f t="shared" si="832"/>
        <v>215.2390177556521</v>
      </c>
      <c r="AI1017" s="293">
        <f t="shared" si="832"/>
        <v>163.57340365229086</v>
      </c>
      <c r="AJ1017" s="293">
        <f t="shared" si="832"/>
        <v>178.94949100444214</v>
      </c>
      <c r="AK1017" s="293">
        <f t="shared" si="832"/>
        <v>54.717055902935016</v>
      </c>
      <c r="AL1017" s="293">
        <f t="shared" si="832"/>
        <v>0</v>
      </c>
      <c r="AM1017" s="293">
        <f t="shared" si="832"/>
        <v>0</v>
      </c>
      <c r="AN1017" s="293">
        <f t="shared" si="832"/>
        <v>0</v>
      </c>
      <c r="AO1017" s="293">
        <f t="shared" si="832"/>
        <v>0</v>
      </c>
      <c r="AP1017" s="293">
        <f t="shared" si="832"/>
        <v>0</v>
      </c>
      <c r="AQ1017" s="293">
        <f t="shared" si="832"/>
        <v>0</v>
      </c>
      <c r="AR1017" s="293">
        <f t="shared" si="832"/>
        <v>0</v>
      </c>
      <c r="AS1017" s="293">
        <f t="shared" si="832"/>
        <v>0</v>
      </c>
    </row>
    <row r="1018" spans="1:45" ht="15" customHeight="1" x14ac:dyDescent="0.3">
      <c r="A1018" s="180"/>
      <c r="B1018" s="180"/>
      <c r="C1018" s="181"/>
      <c r="D1018" s="36"/>
      <c r="E1018" s="36" t="str">
        <f xml:space="preserve"> E$1011</f>
        <v>Gecamines share of cashflows after repaying loan</v>
      </c>
      <c r="F1018" s="36">
        <f t="shared" ref="F1018:O1018" si="833" xml:space="preserve"> F$1011</f>
        <v>0</v>
      </c>
      <c r="G1018" s="36" t="str">
        <f t="shared" si="833"/>
        <v>$ mn</v>
      </c>
      <c r="H1018" s="36">
        <f t="shared" si="833"/>
        <v>0</v>
      </c>
      <c r="I1018" s="36">
        <f t="shared" si="833"/>
        <v>921.83851310159503</v>
      </c>
      <c r="J1018" s="36">
        <f t="shared" si="833"/>
        <v>0</v>
      </c>
      <c r="K1018" s="36">
        <f t="shared" si="833"/>
        <v>0</v>
      </c>
      <c r="L1018" s="36">
        <f t="shared" si="833"/>
        <v>0</v>
      </c>
      <c r="M1018" s="36">
        <f t="shared" si="833"/>
        <v>0</v>
      </c>
      <c r="N1018" s="36">
        <f t="shared" si="833"/>
        <v>0</v>
      </c>
      <c r="O1018" s="36">
        <f t="shared" si="833"/>
        <v>0</v>
      </c>
      <c r="P1018" s="36">
        <f t="shared" ref="P1018:AS1018" si="834" xml:space="preserve"> P$1011</f>
        <v>0</v>
      </c>
      <c r="Q1018" s="36">
        <f t="shared" si="834"/>
        <v>0</v>
      </c>
      <c r="R1018" s="36">
        <f t="shared" si="834"/>
        <v>0</v>
      </c>
      <c r="S1018" s="36">
        <f t="shared" si="834"/>
        <v>0</v>
      </c>
      <c r="T1018" s="36">
        <f t="shared" si="834"/>
        <v>0</v>
      </c>
      <c r="U1018" s="36">
        <f t="shared" si="834"/>
        <v>0</v>
      </c>
      <c r="V1018" s="36">
        <f t="shared" si="834"/>
        <v>0</v>
      </c>
      <c r="W1018" s="36">
        <f t="shared" si="834"/>
        <v>55.314913606598815</v>
      </c>
      <c r="X1018" s="36">
        <f t="shared" si="834"/>
        <v>0</v>
      </c>
      <c r="Y1018" s="36">
        <f t="shared" si="834"/>
        <v>28.804743620437343</v>
      </c>
      <c r="Z1018" s="36">
        <f t="shared" si="834"/>
        <v>96.787395966146264</v>
      </c>
      <c r="AA1018" s="36">
        <f t="shared" si="834"/>
        <v>66.581495631285847</v>
      </c>
      <c r="AB1018" s="36">
        <f t="shared" si="834"/>
        <v>76.207260359806966</v>
      </c>
      <c r="AC1018" s="36">
        <f t="shared" si="834"/>
        <v>20.942687830567063</v>
      </c>
      <c r="AD1018" s="36">
        <f t="shared" si="834"/>
        <v>96.307306410075569</v>
      </c>
      <c r="AE1018" s="36">
        <f t="shared" si="834"/>
        <v>91.873073234797815</v>
      </c>
      <c r="AF1018" s="36">
        <f t="shared" si="834"/>
        <v>94.176371911874412</v>
      </c>
      <c r="AG1018" s="36">
        <f t="shared" si="834"/>
        <v>90.113351436505482</v>
      </c>
      <c r="AH1018" s="36">
        <f t="shared" si="834"/>
        <v>86.3436990901169</v>
      </c>
      <c r="AI1018" s="36">
        <f t="shared" si="834"/>
        <v>50.106733441018733</v>
      </c>
      <c r="AJ1018" s="36">
        <f t="shared" si="834"/>
        <v>61.652527230880366</v>
      </c>
      <c r="AK1018" s="36">
        <f t="shared" si="834"/>
        <v>6.6269533314834765</v>
      </c>
      <c r="AL1018" s="36">
        <f t="shared" si="834"/>
        <v>0</v>
      </c>
      <c r="AM1018" s="36">
        <f t="shared" si="834"/>
        <v>0</v>
      </c>
      <c r="AN1018" s="36">
        <f t="shared" si="834"/>
        <v>0</v>
      </c>
      <c r="AO1018" s="36">
        <f t="shared" si="834"/>
        <v>0</v>
      </c>
      <c r="AP1018" s="36">
        <f t="shared" si="834"/>
        <v>0</v>
      </c>
      <c r="AQ1018" s="36">
        <f t="shared" si="834"/>
        <v>0</v>
      </c>
      <c r="AR1018" s="36">
        <f t="shared" si="834"/>
        <v>0</v>
      </c>
      <c r="AS1018" s="36">
        <f t="shared" si="834"/>
        <v>0</v>
      </c>
    </row>
    <row r="1019" spans="1:45" ht="15" customHeight="1" x14ac:dyDescent="0.3">
      <c r="A1019" s="180"/>
      <c r="B1019" s="180"/>
      <c r="C1019" s="181"/>
      <c r="D1019" s="36"/>
      <c r="E1019" s="36" t="str">
        <f xml:space="preserve"> E$1012</f>
        <v>Government revenues incl Gecamines</v>
      </c>
      <c r="F1019" s="36">
        <f t="shared" ref="F1019:O1019" si="835" xml:space="preserve"> F$1012</f>
        <v>0</v>
      </c>
      <c r="G1019" s="36" t="str">
        <f t="shared" si="835"/>
        <v>$ mn</v>
      </c>
      <c r="H1019" s="36">
        <f t="shared" si="835"/>
        <v>0</v>
      </c>
      <c r="I1019" s="36">
        <f t="shared" si="835"/>
        <v>3687.5290399271621</v>
      </c>
      <c r="J1019" s="36">
        <f t="shared" si="835"/>
        <v>0</v>
      </c>
      <c r="K1019" s="36">
        <f t="shared" si="835"/>
        <v>0</v>
      </c>
      <c r="L1019" s="36">
        <f t="shared" si="835"/>
        <v>0</v>
      </c>
      <c r="M1019" s="36">
        <f t="shared" si="835"/>
        <v>0</v>
      </c>
      <c r="N1019" s="36">
        <f t="shared" si="835"/>
        <v>0</v>
      </c>
      <c r="O1019" s="36">
        <f t="shared" si="835"/>
        <v>0</v>
      </c>
      <c r="P1019" s="36">
        <f t="shared" ref="P1019:AS1019" si="836" xml:space="preserve"> P$1012</f>
        <v>0</v>
      </c>
      <c r="Q1019" s="36">
        <f t="shared" si="836"/>
        <v>0</v>
      </c>
      <c r="R1019" s="36">
        <f t="shared" si="836"/>
        <v>0</v>
      </c>
      <c r="S1019" s="36">
        <f t="shared" si="836"/>
        <v>0</v>
      </c>
      <c r="T1019" s="36">
        <f t="shared" si="836"/>
        <v>0</v>
      </c>
      <c r="U1019" s="36">
        <f t="shared" si="836"/>
        <v>0</v>
      </c>
      <c r="V1019" s="36">
        <f t="shared" si="836"/>
        <v>20.419127879785002</v>
      </c>
      <c r="W1019" s="36">
        <f t="shared" si="836"/>
        <v>129.03114771900945</v>
      </c>
      <c r="X1019" s="36">
        <f t="shared" si="836"/>
        <v>110.64490124848584</v>
      </c>
      <c r="Y1019" s="36">
        <f t="shared" si="836"/>
        <v>177.15094911395127</v>
      </c>
      <c r="Z1019" s="36">
        <f t="shared" si="836"/>
        <v>427.01229881364964</v>
      </c>
      <c r="AA1019" s="36">
        <f t="shared" si="836"/>
        <v>343.42301005038718</v>
      </c>
      <c r="AB1019" s="36">
        <f t="shared" si="836"/>
        <v>319.74268022845081</v>
      </c>
      <c r="AC1019" s="36">
        <f t="shared" si="836"/>
        <v>116.48738972355403</v>
      </c>
      <c r="AD1019" s="36">
        <f t="shared" si="836"/>
        <v>307.84996599702913</v>
      </c>
      <c r="AE1019" s="36">
        <f t="shared" si="836"/>
        <v>307.10929485761841</v>
      </c>
      <c r="AF1019" s="36">
        <f t="shared" si="836"/>
        <v>307.76962936023665</v>
      </c>
      <c r="AG1019" s="36">
        <f t="shared" si="836"/>
        <v>303.6797635261849</v>
      </c>
      <c r="AH1019" s="36">
        <f t="shared" si="836"/>
        <v>301.58271684576903</v>
      </c>
      <c r="AI1019" s="36">
        <f t="shared" si="836"/>
        <v>213.68013709330961</v>
      </c>
      <c r="AJ1019" s="36">
        <f t="shared" si="836"/>
        <v>240.6020182353225</v>
      </c>
      <c r="AK1019" s="36">
        <f t="shared" si="836"/>
        <v>61.344009234418493</v>
      </c>
      <c r="AL1019" s="36">
        <f t="shared" si="836"/>
        <v>0</v>
      </c>
      <c r="AM1019" s="36">
        <f t="shared" si="836"/>
        <v>0</v>
      </c>
      <c r="AN1019" s="36">
        <f t="shared" si="836"/>
        <v>0</v>
      </c>
      <c r="AO1019" s="36">
        <f t="shared" si="836"/>
        <v>0</v>
      </c>
      <c r="AP1019" s="36">
        <f t="shared" si="836"/>
        <v>0</v>
      </c>
      <c r="AQ1019" s="36">
        <f t="shared" si="836"/>
        <v>0</v>
      </c>
      <c r="AR1019" s="36">
        <f t="shared" si="836"/>
        <v>0</v>
      </c>
      <c r="AS1019" s="36">
        <f t="shared" si="836"/>
        <v>0</v>
      </c>
    </row>
    <row r="1020" spans="1:45" ht="15" customHeight="1" x14ac:dyDescent="0.3">
      <c r="A1020" s="180"/>
      <c r="B1020" s="180"/>
      <c r="C1020" s="181"/>
      <c r="D1020" s="36"/>
      <c r="E1020" s="36" t="str">
        <f xml:space="preserve"> E$987</f>
        <v>Zijin final cashflows</v>
      </c>
      <c r="F1020" s="36">
        <f t="shared" ref="F1020:O1020" si="837" xml:space="preserve"> F$987</f>
        <v>0</v>
      </c>
      <c r="G1020" s="36" t="str">
        <f t="shared" si="837"/>
        <v>$ mn</v>
      </c>
      <c r="H1020" s="36">
        <f t="shared" si="837"/>
        <v>0</v>
      </c>
      <c r="I1020" s="36">
        <f t="shared" si="837"/>
        <v>1831.7319216633568</v>
      </c>
      <c r="J1020" s="36">
        <f t="shared" si="837"/>
        <v>0</v>
      </c>
      <c r="K1020" s="36">
        <f t="shared" si="837"/>
        <v>0</v>
      </c>
      <c r="L1020" s="36">
        <f t="shared" si="837"/>
        <v>0</v>
      </c>
      <c r="M1020" s="36">
        <f t="shared" si="837"/>
        <v>0</v>
      </c>
      <c r="N1020" s="36">
        <f t="shared" si="837"/>
        <v>0</v>
      </c>
      <c r="O1020" s="36">
        <f t="shared" si="837"/>
        <v>0</v>
      </c>
      <c r="P1020" s="36">
        <f t="shared" ref="P1020:AS1020" si="838" xml:space="preserve"> P$987</f>
        <v>0</v>
      </c>
      <c r="Q1020" s="36">
        <f t="shared" si="838"/>
        <v>0</v>
      </c>
      <c r="R1020" s="36">
        <f t="shared" si="838"/>
        <v>0</v>
      </c>
      <c r="S1020" s="36">
        <f t="shared" si="838"/>
        <v>0</v>
      </c>
      <c r="T1020" s="36">
        <f t="shared" si="838"/>
        <v>0</v>
      </c>
      <c r="U1020" s="36">
        <f t="shared" si="838"/>
        <v>0</v>
      </c>
      <c r="V1020" s="36">
        <f t="shared" si="838"/>
        <v>-137.34949621499999</v>
      </c>
      <c r="W1020" s="36">
        <f t="shared" si="838"/>
        <v>258.41046533346105</v>
      </c>
      <c r="X1020" s="36">
        <f t="shared" si="838"/>
        <v>-52.482012691060348</v>
      </c>
      <c r="Y1020" s="36">
        <f t="shared" si="838"/>
        <v>115.73544939248985</v>
      </c>
      <c r="Z1020" s="36">
        <f t="shared" si="838"/>
        <v>223.99368780736705</v>
      </c>
      <c r="AA1020" s="36">
        <f t="shared" si="838"/>
        <v>154.08860417526148</v>
      </c>
      <c r="AB1020" s="36">
        <f t="shared" si="838"/>
        <v>176.36537397555321</v>
      </c>
      <c r="AC1020" s="36">
        <f t="shared" si="838"/>
        <v>38.268002308581636</v>
      </c>
      <c r="AD1020" s="36">
        <f t="shared" si="838"/>
        <v>175.97971444022897</v>
      </c>
      <c r="AE1020" s="36">
        <f t="shared" si="838"/>
        <v>167.877161092676</v>
      </c>
      <c r="AF1020" s="36">
        <f t="shared" si="838"/>
        <v>172.0859159480614</v>
      </c>
      <c r="AG1020" s="36">
        <f t="shared" si="838"/>
        <v>164.66166944306912</v>
      </c>
      <c r="AH1020" s="36">
        <f t="shared" si="838"/>
        <v>157.77348651921358</v>
      </c>
      <c r="AI1020" s="36">
        <f t="shared" si="838"/>
        <v>91.558667469497863</v>
      </c>
      <c r="AJ1020" s="36">
        <f t="shared" si="838"/>
        <v>112.65598157642684</v>
      </c>
      <c r="AK1020" s="36">
        <f t="shared" si="838"/>
        <v>12.109251087528897</v>
      </c>
      <c r="AL1020" s="36">
        <f t="shared" si="838"/>
        <v>0</v>
      </c>
      <c r="AM1020" s="36">
        <f t="shared" si="838"/>
        <v>0</v>
      </c>
      <c r="AN1020" s="36">
        <f t="shared" si="838"/>
        <v>0</v>
      </c>
      <c r="AO1020" s="36">
        <f t="shared" si="838"/>
        <v>0</v>
      </c>
      <c r="AP1020" s="36">
        <f t="shared" si="838"/>
        <v>0</v>
      </c>
      <c r="AQ1020" s="36">
        <f t="shared" si="838"/>
        <v>0</v>
      </c>
      <c r="AR1020" s="36">
        <f t="shared" si="838"/>
        <v>0</v>
      </c>
      <c r="AS1020" s="36">
        <f t="shared" si="838"/>
        <v>0</v>
      </c>
    </row>
    <row r="1021" spans="1:45" ht="15" customHeight="1" x14ac:dyDescent="0.3">
      <c r="A1021" s="180"/>
      <c r="B1021" s="180"/>
      <c r="C1021" s="181"/>
      <c r="D1021" s="36"/>
      <c r="E1021" s="293" t="str">
        <f xml:space="preserve"> E$932</f>
        <v>Net debt cashflows: 3rd party lenders</v>
      </c>
      <c r="F1021" s="293">
        <f t="shared" ref="F1021:O1021" si="839" xml:space="preserve"> F$932</f>
        <v>0</v>
      </c>
      <c r="G1021" s="293" t="str">
        <f t="shared" si="839"/>
        <v>$ mn</v>
      </c>
      <c r="H1021" s="293">
        <f t="shared" si="839"/>
        <v>0</v>
      </c>
      <c r="I1021" s="293">
        <f t="shared" si="839"/>
        <v>39.11193999999999</v>
      </c>
      <c r="J1021" s="293">
        <f t="shared" si="839"/>
        <v>0</v>
      </c>
      <c r="K1021" s="293">
        <f t="shared" si="839"/>
        <v>0</v>
      </c>
      <c r="L1021" s="293">
        <f t="shared" si="839"/>
        <v>0</v>
      </c>
      <c r="M1021" s="293">
        <f t="shared" si="839"/>
        <v>0</v>
      </c>
      <c r="N1021" s="293">
        <f t="shared" si="839"/>
        <v>0</v>
      </c>
      <c r="O1021" s="293">
        <f t="shared" si="839"/>
        <v>0</v>
      </c>
      <c r="P1021" s="293">
        <f t="shared" ref="P1021:AS1021" si="840" xml:space="preserve"> P$932</f>
        <v>0</v>
      </c>
      <c r="Q1021" s="293">
        <f t="shared" si="840"/>
        <v>0</v>
      </c>
      <c r="R1021" s="293">
        <f t="shared" si="840"/>
        <v>0</v>
      </c>
      <c r="S1021" s="293">
        <f t="shared" si="840"/>
        <v>0</v>
      </c>
      <c r="T1021" s="293">
        <f t="shared" si="840"/>
        <v>0</v>
      </c>
      <c r="U1021" s="293">
        <f t="shared" si="840"/>
        <v>0</v>
      </c>
      <c r="V1021" s="293">
        <f t="shared" si="840"/>
        <v>-99</v>
      </c>
      <c r="W1021" s="293">
        <f t="shared" si="840"/>
        <v>-301</v>
      </c>
      <c r="X1021" s="293">
        <f t="shared" si="840"/>
        <v>64.721999999999994</v>
      </c>
      <c r="Y1021" s="293">
        <f t="shared" si="840"/>
        <v>112.85872000000001</v>
      </c>
      <c r="Z1021" s="293">
        <f t="shared" si="840"/>
        <v>178.12072000000001</v>
      </c>
      <c r="AA1021" s="293">
        <f t="shared" si="840"/>
        <v>17.8035</v>
      </c>
      <c r="AB1021" s="293">
        <f t="shared" si="840"/>
        <v>17.242799999999999</v>
      </c>
      <c r="AC1021" s="293">
        <f t="shared" si="840"/>
        <v>16.682099999999998</v>
      </c>
      <c r="AD1021" s="293">
        <f t="shared" si="840"/>
        <v>16.121400000000001</v>
      </c>
      <c r="AE1021" s="293">
        <f t="shared" si="840"/>
        <v>15.560700000000001</v>
      </c>
      <c r="AF1021" s="293">
        <f t="shared" si="840"/>
        <v>0</v>
      </c>
      <c r="AG1021" s="293">
        <f t="shared" si="840"/>
        <v>0</v>
      </c>
      <c r="AH1021" s="293">
        <f t="shared" si="840"/>
        <v>0</v>
      </c>
      <c r="AI1021" s="293">
        <f t="shared" si="840"/>
        <v>0</v>
      </c>
      <c r="AJ1021" s="293">
        <f t="shared" si="840"/>
        <v>0</v>
      </c>
      <c r="AK1021" s="293">
        <f t="shared" si="840"/>
        <v>0</v>
      </c>
      <c r="AL1021" s="293">
        <f t="shared" si="840"/>
        <v>0</v>
      </c>
      <c r="AM1021" s="293">
        <f t="shared" si="840"/>
        <v>0</v>
      </c>
      <c r="AN1021" s="293">
        <f t="shared" si="840"/>
        <v>0</v>
      </c>
      <c r="AO1021" s="293">
        <f t="shared" si="840"/>
        <v>0</v>
      </c>
      <c r="AP1021" s="293">
        <f t="shared" si="840"/>
        <v>0</v>
      </c>
      <c r="AQ1021" s="293">
        <f t="shared" si="840"/>
        <v>0</v>
      </c>
      <c r="AR1021" s="293">
        <f t="shared" si="840"/>
        <v>0</v>
      </c>
      <c r="AS1021" s="293">
        <f t="shared" si="840"/>
        <v>0</v>
      </c>
    </row>
    <row r="1022" spans="1:45" ht="15" customHeight="1" x14ac:dyDescent="0.3">
      <c r="A1022" s="180"/>
      <c r="B1022" s="180"/>
      <c r="C1022" s="181"/>
      <c r="D1022" s="36"/>
      <c r="E1022" s="465" t="s">
        <v>741</v>
      </c>
      <c r="F1022" s="293"/>
      <c r="G1022" s="293" t="s">
        <v>742</v>
      </c>
      <c r="H1022" s="293"/>
      <c r="I1022" s="293">
        <f>SUM(K1022:AS1022)</f>
        <v>-749.86395009780449</v>
      </c>
      <c r="J1022" s="293"/>
      <c r="K1022" s="293">
        <f t="shared" ref="K1022:O1022" si="841">K1016 - K1019 - K1020 - K1021</f>
        <v>0</v>
      </c>
      <c r="L1022" s="293">
        <f t="shared" si="841"/>
        <v>0</v>
      </c>
      <c r="M1022" s="293">
        <f t="shared" si="841"/>
        <v>0</v>
      </c>
      <c r="N1022" s="293">
        <f t="shared" si="841"/>
        <v>0</v>
      </c>
      <c r="O1022" s="293">
        <f t="shared" si="841"/>
        <v>0</v>
      </c>
      <c r="P1022" s="293">
        <f>P1016 - P1019 - P1020 - P1021</f>
        <v>0</v>
      </c>
      <c r="Q1022" s="293">
        <f t="shared" ref="Q1022:AS1022" si="842">Q1016 - Q1019 - Q1020 - Q1021</f>
        <v>0</v>
      </c>
      <c r="R1022" s="293">
        <f t="shared" si="842"/>
        <v>0</v>
      </c>
      <c r="S1022" s="293">
        <f t="shared" si="842"/>
        <v>0</v>
      </c>
      <c r="T1022" s="293">
        <f t="shared" si="842"/>
        <v>0</v>
      </c>
      <c r="U1022" s="293">
        <f t="shared" si="842"/>
        <v>0</v>
      </c>
      <c r="V1022" s="293">
        <f t="shared" si="842"/>
        <v>-16.964667914784997</v>
      </c>
      <c r="W1022" s="293">
        <f t="shared" si="842"/>
        <v>-33.861514812470546</v>
      </c>
      <c r="X1022" s="293">
        <f t="shared" si="842"/>
        <v>-59.797112082673436</v>
      </c>
      <c r="Y1022" s="293">
        <f t="shared" si="842"/>
        <v>-16.897619839561045</v>
      </c>
      <c r="Z1022" s="293">
        <f t="shared" si="842"/>
        <v>-29.082320184248658</v>
      </c>
      <c r="AA1022" s="293">
        <f t="shared" si="842"/>
        <v>-93.974524202884666</v>
      </c>
      <c r="AB1022" s="293">
        <f t="shared" si="842"/>
        <v>-52.542351724406004</v>
      </c>
      <c r="AC1022" s="293">
        <f t="shared" si="842"/>
        <v>-51.695513393533574</v>
      </c>
      <c r="AD1022" s="293">
        <f t="shared" si="842"/>
        <v>-49.315206081592983</v>
      </c>
      <c r="AE1022" s="293">
        <f t="shared" si="842"/>
        <v>-50.524639031245528</v>
      </c>
      <c r="AF1022" s="293">
        <f t="shared" si="842"/>
        <v>-51.594585790303341</v>
      </c>
      <c r="AG1022" s="293">
        <f t="shared" si="842"/>
        <v>-52.712065192519049</v>
      </c>
      <c r="AH1022" s="293">
        <f t="shared" si="842"/>
        <v>-53.849614325504319</v>
      </c>
      <c r="AI1022" s="293">
        <f t="shared" si="842"/>
        <v>-55.600632219823098</v>
      </c>
      <c r="AJ1022" s="293">
        <f t="shared" si="842"/>
        <v>-51.435925615224434</v>
      </c>
      <c r="AK1022" s="293">
        <f t="shared" si="842"/>
        <v>-30.015657687029055</v>
      </c>
      <c r="AL1022" s="293">
        <f t="shared" si="842"/>
        <v>0</v>
      </c>
      <c r="AM1022" s="293">
        <f t="shared" si="842"/>
        <v>0</v>
      </c>
      <c r="AN1022" s="293">
        <f t="shared" si="842"/>
        <v>0</v>
      </c>
      <c r="AO1022" s="293">
        <f t="shared" si="842"/>
        <v>0</v>
      </c>
      <c r="AP1022" s="293">
        <f t="shared" si="842"/>
        <v>0</v>
      </c>
      <c r="AQ1022" s="293">
        <f t="shared" si="842"/>
        <v>0</v>
      </c>
      <c r="AR1022" s="293">
        <f t="shared" si="842"/>
        <v>0</v>
      </c>
      <c r="AS1022" s="293">
        <f t="shared" si="842"/>
        <v>0</v>
      </c>
    </row>
    <row r="1023" spans="1:45" ht="15" customHeight="1" x14ac:dyDescent="0.3">
      <c r="I1023" s="116"/>
      <c r="AL1023" s="42"/>
      <c r="AM1023" s="42"/>
      <c r="AN1023" s="42"/>
      <c r="AO1023" s="42"/>
      <c r="AP1023" s="42"/>
      <c r="AQ1023" s="42"/>
      <c r="AR1023" s="42"/>
      <c r="AS1023" s="42"/>
    </row>
    <row r="1024" spans="1:45" ht="15" customHeight="1" x14ac:dyDescent="0.3">
      <c r="A1024" s="394"/>
      <c r="B1024" s="394"/>
      <c r="C1024" s="504" t="s">
        <v>740</v>
      </c>
      <c r="D1024" s="34"/>
      <c r="E1024" s="381"/>
      <c r="F1024" s="381"/>
      <c r="G1024" s="381"/>
      <c r="H1024" s="381"/>
      <c r="I1024" s="381"/>
      <c r="J1024" s="381"/>
      <c r="K1024" s="381"/>
      <c r="L1024" s="381"/>
      <c r="M1024" s="381"/>
      <c r="N1024" s="381"/>
      <c r="O1024" s="381"/>
      <c r="P1024" s="381"/>
      <c r="Q1024" s="381"/>
      <c r="R1024" s="381"/>
      <c r="S1024" s="381"/>
      <c r="T1024" s="381"/>
      <c r="U1024" s="381"/>
      <c r="V1024" s="381"/>
      <c r="W1024" s="381"/>
      <c r="X1024" s="381"/>
      <c r="Y1024" s="381"/>
      <c r="Z1024" s="381"/>
      <c r="AA1024" s="381"/>
      <c r="AB1024" s="381"/>
      <c r="AC1024" s="381"/>
      <c r="AD1024" s="381"/>
      <c r="AE1024" s="381"/>
      <c r="AF1024" s="381"/>
      <c r="AG1024" s="381"/>
      <c r="AH1024" s="381"/>
      <c r="AI1024" s="381"/>
      <c r="AJ1024" s="381"/>
      <c r="AK1024" s="381"/>
      <c r="AL1024" s="381"/>
      <c r="AM1024" s="381"/>
      <c r="AN1024" s="381"/>
      <c r="AO1024" s="381"/>
      <c r="AP1024" s="381"/>
      <c r="AQ1024" s="381"/>
      <c r="AR1024" s="381"/>
      <c r="AS1024" s="381"/>
    </row>
    <row r="1025" spans="1:45" ht="15" customHeight="1" x14ac:dyDescent="0.3">
      <c r="E1025" s="169" t="str">
        <f xml:space="preserve"> E$866</f>
        <v>Additional govt revenues incl. in project costs</v>
      </c>
      <c r="F1025" s="169">
        <f t="shared" ref="F1025:O1025" si="843" xml:space="preserve"> F$866</f>
        <v>0</v>
      </c>
      <c r="G1025" s="169" t="str">
        <f t="shared" si="843"/>
        <v>$ mn</v>
      </c>
      <c r="H1025" s="169">
        <f t="shared" si="843"/>
        <v>0</v>
      </c>
      <c r="I1025" s="169">
        <f t="shared" si="843"/>
        <v>749.86395009780472</v>
      </c>
      <c r="J1025" s="169">
        <f t="shared" si="843"/>
        <v>0</v>
      </c>
      <c r="K1025" s="169">
        <f t="shared" si="843"/>
        <v>0</v>
      </c>
      <c r="L1025" s="169">
        <f t="shared" si="843"/>
        <v>0</v>
      </c>
      <c r="M1025" s="169">
        <f t="shared" si="843"/>
        <v>0</v>
      </c>
      <c r="N1025" s="169">
        <f t="shared" si="843"/>
        <v>0</v>
      </c>
      <c r="O1025" s="169">
        <f t="shared" si="843"/>
        <v>0</v>
      </c>
      <c r="P1025" s="169">
        <f t="shared" ref="P1025:AS1025" si="844" xml:space="preserve"> P$866</f>
        <v>0</v>
      </c>
      <c r="Q1025" s="169">
        <f t="shared" si="844"/>
        <v>0</v>
      </c>
      <c r="R1025" s="169">
        <f t="shared" si="844"/>
        <v>0</v>
      </c>
      <c r="S1025" s="169">
        <f t="shared" si="844"/>
        <v>0</v>
      </c>
      <c r="T1025" s="169">
        <f t="shared" si="844"/>
        <v>0</v>
      </c>
      <c r="U1025" s="169">
        <f t="shared" si="844"/>
        <v>0</v>
      </c>
      <c r="V1025" s="169">
        <f t="shared" si="844"/>
        <v>16.964667914785</v>
      </c>
      <c r="W1025" s="169">
        <f t="shared" si="844"/>
        <v>33.861514812470496</v>
      </c>
      <c r="X1025" s="169">
        <f t="shared" si="844"/>
        <v>59.797112082673443</v>
      </c>
      <c r="Y1025" s="169">
        <f t="shared" si="844"/>
        <v>16.897619839561102</v>
      </c>
      <c r="Z1025" s="169">
        <f t="shared" si="844"/>
        <v>29.082320184248559</v>
      </c>
      <c r="AA1025" s="169">
        <f t="shared" si="844"/>
        <v>93.974524202884709</v>
      </c>
      <c r="AB1025" s="169">
        <f t="shared" si="844"/>
        <v>52.542351724406046</v>
      </c>
      <c r="AC1025" s="169">
        <f t="shared" si="844"/>
        <v>51.695513393533496</v>
      </c>
      <c r="AD1025" s="169">
        <f t="shared" si="844"/>
        <v>49.315206081593026</v>
      </c>
      <c r="AE1025" s="169">
        <f t="shared" si="844"/>
        <v>50.524639031245499</v>
      </c>
      <c r="AF1025" s="169">
        <f t="shared" si="844"/>
        <v>51.594585790303427</v>
      </c>
      <c r="AG1025" s="169">
        <f t="shared" si="844"/>
        <v>52.712065192519042</v>
      </c>
      <c r="AH1025" s="169">
        <f t="shared" si="844"/>
        <v>53.849614325504362</v>
      </c>
      <c r="AI1025" s="169">
        <f t="shared" si="844"/>
        <v>55.600632219823041</v>
      </c>
      <c r="AJ1025" s="169">
        <f t="shared" si="844"/>
        <v>51.43592561522442</v>
      </c>
      <c r="AK1025" s="169">
        <f t="shared" si="844"/>
        <v>30.015657687029044</v>
      </c>
      <c r="AL1025" s="169">
        <f t="shared" si="844"/>
        <v>0</v>
      </c>
      <c r="AM1025" s="169">
        <f t="shared" si="844"/>
        <v>0</v>
      </c>
      <c r="AN1025" s="169">
        <f t="shared" si="844"/>
        <v>0</v>
      </c>
      <c r="AO1025" s="169">
        <f t="shared" si="844"/>
        <v>0</v>
      </c>
      <c r="AP1025" s="169">
        <f t="shared" si="844"/>
        <v>0</v>
      </c>
      <c r="AQ1025" s="169">
        <f t="shared" si="844"/>
        <v>0</v>
      </c>
      <c r="AR1025" s="169">
        <f t="shared" si="844"/>
        <v>0</v>
      </c>
      <c r="AS1025" s="169">
        <f t="shared" si="844"/>
        <v>0</v>
      </c>
    </row>
    <row r="1026" spans="1:45" ht="15" customHeight="1" x14ac:dyDescent="0.3">
      <c r="E1026" s="169"/>
      <c r="F1026" s="169"/>
      <c r="G1026" s="169"/>
      <c r="H1026" s="169"/>
      <c r="I1026" s="169"/>
      <c r="J1026" s="169"/>
      <c r="K1026" s="169"/>
      <c r="L1026" s="169"/>
      <c r="M1026" s="169"/>
      <c r="N1026" s="169"/>
      <c r="O1026" s="169"/>
      <c r="P1026" s="169"/>
      <c r="Q1026" s="169"/>
      <c r="R1026" s="169"/>
      <c r="S1026" s="169"/>
      <c r="T1026" s="169"/>
      <c r="U1026" s="169"/>
      <c r="V1026" s="169"/>
      <c r="W1026" s="169"/>
      <c r="X1026" s="169"/>
      <c r="Y1026" s="169"/>
      <c r="Z1026" s="169"/>
      <c r="AA1026" s="169"/>
      <c r="AB1026" s="169"/>
      <c r="AC1026" s="169"/>
      <c r="AD1026" s="169"/>
      <c r="AE1026" s="169"/>
      <c r="AF1026" s="169"/>
      <c r="AG1026" s="169"/>
      <c r="AH1026" s="169"/>
      <c r="AI1026" s="169"/>
      <c r="AJ1026" s="169"/>
      <c r="AK1026" s="169"/>
      <c r="AL1026" s="169"/>
      <c r="AM1026" s="169"/>
      <c r="AN1026" s="169"/>
      <c r="AO1026" s="169"/>
      <c r="AP1026" s="169"/>
      <c r="AQ1026" s="169"/>
      <c r="AR1026" s="169"/>
      <c r="AS1026" s="169"/>
    </row>
    <row r="1027" spans="1:45" ht="15" customHeight="1" x14ac:dyDescent="0.3">
      <c r="E1027" s="88" t="s">
        <v>854</v>
      </c>
      <c r="F1027" s="88"/>
      <c r="G1027" s="88"/>
      <c r="I1027" s="116"/>
      <c r="K1027" s="127">
        <f t="shared" ref="K1027:AS1027" si="845">IF( ABS(K1022 + K1025) &gt; CHK_TOL, 1,0)</f>
        <v>0</v>
      </c>
      <c r="L1027" s="127">
        <f t="shared" si="845"/>
        <v>0</v>
      </c>
      <c r="M1027" s="127">
        <f t="shared" si="845"/>
        <v>0</v>
      </c>
      <c r="N1027" s="127">
        <f t="shared" si="845"/>
        <v>0</v>
      </c>
      <c r="O1027" s="127">
        <f t="shared" si="845"/>
        <v>0</v>
      </c>
      <c r="P1027" s="127">
        <f t="shared" si="845"/>
        <v>0</v>
      </c>
      <c r="Q1027" s="127">
        <f t="shared" si="845"/>
        <v>0</v>
      </c>
      <c r="R1027" s="127">
        <f t="shared" si="845"/>
        <v>0</v>
      </c>
      <c r="S1027" s="127">
        <f t="shared" si="845"/>
        <v>0</v>
      </c>
      <c r="T1027" s="127">
        <f t="shared" si="845"/>
        <v>0</v>
      </c>
      <c r="U1027" s="127">
        <f t="shared" si="845"/>
        <v>0</v>
      </c>
      <c r="V1027" s="127">
        <f t="shared" si="845"/>
        <v>0</v>
      </c>
      <c r="W1027" s="127">
        <f t="shared" si="845"/>
        <v>0</v>
      </c>
      <c r="X1027" s="127">
        <f t="shared" si="845"/>
        <v>0</v>
      </c>
      <c r="Y1027" s="127">
        <f t="shared" si="845"/>
        <v>0</v>
      </c>
      <c r="Z1027" s="127">
        <f t="shared" si="845"/>
        <v>0</v>
      </c>
      <c r="AA1027" s="127">
        <f t="shared" si="845"/>
        <v>0</v>
      </c>
      <c r="AB1027" s="127">
        <f t="shared" si="845"/>
        <v>0</v>
      </c>
      <c r="AC1027" s="127">
        <f t="shared" si="845"/>
        <v>0</v>
      </c>
      <c r="AD1027" s="127">
        <f t="shared" si="845"/>
        <v>0</v>
      </c>
      <c r="AE1027" s="127">
        <f t="shared" si="845"/>
        <v>0</v>
      </c>
      <c r="AF1027" s="127">
        <f t="shared" si="845"/>
        <v>0</v>
      </c>
      <c r="AG1027" s="127">
        <f t="shared" si="845"/>
        <v>0</v>
      </c>
      <c r="AH1027" s="127">
        <f t="shared" si="845"/>
        <v>0</v>
      </c>
      <c r="AI1027" s="127">
        <f t="shared" si="845"/>
        <v>0</v>
      </c>
      <c r="AJ1027" s="127">
        <f t="shared" si="845"/>
        <v>0</v>
      </c>
      <c r="AK1027" s="127">
        <f t="shared" si="845"/>
        <v>0</v>
      </c>
      <c r="AL1027" s="127">
        <f t="shared" si="845"/>
        <v>0</v>
      </c>
      <c r="AM1027" s="127">
        <f t="shared" si="845"/>
        <v>0</v>
      </c>
      <c r="AN1027" s="127">
        <f t="shared" si="845"/>
        <v>0</v>
      </c>
      <c r="AO1027" s="127">
        <f t="shared" si="845"/>
        <v>0</v>
      </c>
      <c r="AP1027" s="127">
        <f t="shared" si="845"/>
        <v>0</v>
      </c>
      <c r="AQ1027" s="127">
        <f t="shared" si="845"/>
        <v>0</v>
      </c>
      <c r="AR1027" s="127">
        <f t="shared" si="845"/>
        <v>0</v>
      </c>
      <c r="AS1027" s="127">
        <f t="shared" si="845"/>
        <v>0</v>
      </c>
    </row>
    <row r="1028" spans="1:45" ht="15" customHeight="1" x14ac:dyDescent="0.3">
      <c r="E1028" s="439" t="str">
        <f>"Check: " &amp; E1027</f>
        <v>Check: Net participant cashflows reconciliation</v>
      </c>
      <c r="F1028" s="702">
        <f>SUM(S1028:AS1028)</f>
        <v>0</v>
      </c>
      <c r="G1028" s="42" t="s">
        <v>509</v>
      </c>
      <c r="I1028" s="116"/>
      <c r="K1028" s="442">
        <f xml:space="preserve"> IF( ABS(K1027) &gt; CHK_TOL, 1, 0)</f>
        <v>0</v>
      </c>
      <c r="L1028" s="442">
        <f t="shared" ref="L1028:AS1028" si="846" xml:space="preserve"> IF( ABS(L1027) &gt; CHK_TOL, 1, 0)</f>
        <v>0</v>
      </c>
      <c r="M1028" s="442">
        <f t="shared" si="846"/>
        <v>0</v>
      </c>
      <c r="N1028" s="442">
        <f t="shared" si="846"/>
        <v>0</v>
      </c>
      <c r="O1028" s="442">
        <f t="shared" si="846"/>
        <v>0</v>
      </c>
      <c r="P1028" s="442">
        <f t="shared" si="846"/>
        <v>0</v>
      </c>
      <c r="Q1028" s="442">
        <f t="shared" si="846"/>
        <v>0</v>
      </c>
      <c r="R1028" s="442">
        <f t="shared" si="846"/>
        <v>0</v>
      </c>
      <c r="S1028" s="442">
        <f t="shared" si="846"/>
        <v>0</v>
      </c>
      <c r="T1028" s="442">
        <f t="shared" si="846"/>
        <v>0</v>
      </c>
      <c r="U1028" s="442">
        <f t="shared" si="846"/>
        <v>0</v>
      </c>
      <c r="V1028" s="442">
        <f t="shared" si="846"/>
        <v>0</v>
      </c>
      <c r="W1028" s="442">
        <f t="shared" si="846"/>
        <v>0</v>
      </c>
      <c r="X1028" s="442">
        <f t="shared" si="846"/>
        <v>0</v>
      </c>
      <c r="Y1028" s="442">
        <f t="shared" si="846"/>
        <v>0</v>
      </c>
      <c r="Z1028" s="442">
        <f t="shared" si="846"/>
        <v>0</v>
      </c>
      <c r="AA1028" s="442">
        <f t="shared" si="846"/>
        <v>0</v>
      </c>
      <c r="AB1028" s="442">
        <f t="shared" si="846"/>
        <v>0</v>
      </c>
      <c r="AC1028" s="442">
        <f t="shared" si="846"/>
        <v>0</v>
      </c>
      <c r="AD1028" s="442">
        <f t="shared" si="846"/>
        <v>0</v>
      </c>
      <c r="AE1028" s="442">
        <f t="shared" si="846"/>
        <v>0</v>
      </c>
      <c r="AF1028" s="442">
        <f t="shared" si="846"/>
        <v>0</v>
      </c>
      <c r="AG1028" s="442">
        <f t="shared" si="846"/>
        <v>0</v>
      </c>
      <c r="AH1028" s="442">
        <f t="shared" si="846"/>
        <v>0</v>
      </c>
      <c r="AI1028" s="442">
        <f t="shared" si="846"/>
        <v>0</v>
      </c>
      <c r="AJ1028" s="442">
        <f t="shared" si="846"/>
        <v>0</v>
      </c>
      <c r="AK1028" s="442">
        <f t="shared" si="846"/>
        <v>0</v>
      </c>
      <c r="AL1028" s="442">
        <f t="shared" si="846"/>
        <v>0</v>
      </c>
      <c r="AM1028" s="442">
        <f t="shared" si="846"/>
        <v>0</v>
      </c>
      <c r="AN1028" s="442">
        <f t="shared" si="846"/>
        <v>0</v>
      </c>
      <c r="AO1028" s="442">
        <f t="shared" si="846"/>
        <v>0</v>
      </c>
      <c r="AP1028" s="442">
        <f t="shared" si="846"/>
        <v>0</v>
      </c>
      <c r="AQ1028" s="442">
        <f t="shared" si="846"/>
        <v>0</v>
      </c>
      <c r="AR1028" s="442">
        <f t="shared" si="846"/>
        <v>0</v>
      </c>
      <c r="AS1028" s="442">
        <f t="shared" si="846"/>
        <v>0</v>
      </c>
    </row>
    <row r="1029" spans="1:45" ht="15" customHeight="1" x14ac:dyDescent="0.3">
      <c r="A1029" s="88"/>
      <c r="B1029" s="88"/>
      <c r="C1029" s="88"/>
      <c r="D1029" s="88"/>
      <c r="E1029" s="88"/>
      <c r="F1029" s="88"/>
      <c r="G1029" s="88"/>
      <c r="H1029" s="88"/>
      <c r="I1029" s="88"/>
      <c r="J1029" s="88"/>
      <c r="K1029" s="88"/>
      <c r="L1029" s="88"/>
      <c r="M1029" s="88"/>
      <c r="N1029" s="88"/>
      <c r="O1029" s="88"/>
      <c r="P1029" s="88"/>
      <c r="Q1029" s="88"/>
      <c r="R1029" s="88"/>
      <c r="S1029" s="88"/>
      <c r="T1029" s="88"/>
      <c r="U1029" s="88"/>
      <c r="V1029" s="88"/>
      <c r="W1029" s="88"/>
      <c r="X1029" s="88"/>
      <c r="Y1029" s="88"/>
      <c r="Z1029" s="88"/>
      <c r="AA1029" s="88"/>
      <c r="AB1029" s="88"/>
      <c r="AC1029" s="88"/>
      <c r="AD1029" s="88"/>
      <c r="AE1029" s="88"/>
      <c r="AF1029" s="88"/>
      <c r="AG1029" s="88"/>
      <c r="AH1029" s="88"/>
      <c r="AI1029" s="88"/>
      <c r="AJ1029" s="88"/>
      <c r="AK1029" s="88"/>
      <c r="AO1029" s="88"/>
      <c r="AP1029" s="88"/>
      <c r="AQ1029" s="88"/>
      <c r="AR1029" s="88"/>
      <c r="AS1029" s="88"/>
    </row>
    <row r="1030" spans="1:45" ht="15" customHeight="1" collapsed="1" x14ac:dyDescent="0.3">
      <c r="A1030" s="474" t="s">
        <v>964</v>
      </c>
      <c r="B1030" s="119"/>
      <c r="C1030" s="120"/>
      <c r="D1030" s="121"/>
      <c r="E1030" s="119"/>
      <c r="F1030" s="119"/>
      <c r="G1030" s="119"/>
      <c r="H1030" s="119"/>
      <c r="I1030" s="119"/>
      <c r="J1030" s="16"/>
      <c r="K1030" s="16"/>
      <c r="L1030" s="16"/>
      <c r="M1030" s="16"/>
      <c r="N1030" s="16"/>
      <c r="O1030" s="16"/>
      <c r="P1030" s="16"/>
      <c r="Q1030" s="16"/>
      <c r="R1030" s="16"/>
      <c r="S1030" s="16"/>
      <c r="T1030" s="16"/>
      <c r="U1030" s="16"/>
      <c r="V1030" s="16"/>
      <c r="W1030" s="16"/>
      <c r="X1030" s="16"/>
      <c r="Y1030" s="16"/>
      <c r="Z1030" s="16"/>
      <c r="AA1030" s="16"/>
      <c r="AB1030" s="16"/>
      <c r="AC1030" s="16"/>
      <c r="AD1030" s="16"/>
      <c r="AE1030" s="16"/>
      <c r="AF1030" s="16"/>
      <c r="AG1030" s="16"/>
      <c r="AH1030" s="16"/>
      <c r="AI1030" s="16"/>
      <c r="AJ1030" s="16"/>
      <c r="AK1030" s="16"/>
      <c r="AL1030" s="16"/>
      <c r="AM1030" s="16"/>
      <c r="AN1030" s="16"/>
      <c r="AO1030" s="16"/>
      <c r="AP1030" s="16"/>
      <c r="AQ1030" s="16"/>
      <c r="AR1030" s="16"/>
      <c r="AS1030" s="16"/>
    </row>
    <row r="1031" spans="1:45" ht="15" customHeight="1" x14ac:dyDescent="0.3">
      <c r="I1031" s="116"/>
      <c r="AL1031" s="42"/>
      <c r="AM1031" s="42"/>
      <c r="AN1031" s="42"/>
      <c r="AO1031" s="42"/>
      <c r="AP1031" s="42"/>
      <c r="AQ1031" s="42"/>
      <c r="AR1031" s="42"/>
      <c r="AS1031" s="42"/>
    </row>
    <row r="1032" spans="1:45" ht="15" customHeight="1" x14ac:dyDescent="0.3">
      <c r="B1032" s="112" t="s">
        <v>965</v>
      </c>
      <c r="I1032" s="116"/>
      <c r="AL1032" s="42"/>
      <c r="AM1032" s="42"/>
      <c r="AN1032" s="42"/>
      <c r="AO1032" s="42"/>
      <c r="AP1032" s="42"/>
      <c r="AQ1032" s="42"/>
      <c r="AR1032" s="42"/>
      <c r="AS1032" s="42"/>
    </row>
    <row r="1033" spans="1:45" ht="15" customHeight="1" x14ac:dyDescent="0.3">
      <c r="A1033" s="830"/>
      <c r="B1033" s="830"/>
      <c r="C1033" s="831"/>
      <c r="D1033" s="148"/>
      <c r="E1033" s="550" t="str">
        <f xml:space="preserve"> 'T&amp;E'!E$9</f>
        <v>Model calendar year</v>
      </c>
      <c r="F1033" s="550">
        <f xml:space="preserve"> 'T&amp;E'!F$9</f>
        <v>0</v>
      </c>
      <c r="G1033" s="550" t="str">
        <f xml:space="preserve"> 'T&amp;E'!G$9</f>
        <v>year</v>
      </c>
      <c r="H1033" s="550">
        <f xml:space="preserve"> 'T&amp;E'!H$9</f>
        <v>0</v>
      </c>
      <c r="I1033" s="550">
        <f xml:space="preserve"> 'T&amp;E'!I$9</f>
        <v>0</v>
      </c>
      <c r="J1033" s="550">
        <f xml:space="preserve"> 'T&amp;E'!J$9</f>
        <v>0</v>
      </c>
      <c r="K1033" s="550">
        <f xml:space="preserve"> 'T&amp;E'!K$9</f>
        <v>2006</v>
      </c>
      <c r="L1033" s="550">
        <f xml:space="preserve"> 'T&amp;E'!L$9</f>
        <v>2007</v>
      </c>
      <c r="M1033" s="550">
        <f xml:space="preserve"> 'T&amp;E'!M$9</f>
        <v>2008</v>
      </c>
      <c r="N1033" s="550">
        <f xml:space="preserve"> 'T&amp;E'!N$9</f>
        <v>2009</v>
      </c>
      <c r="O1033" s="550">
        <f xml:space="preserve"> 'T&amp;E'!O$9</f>
        <v>2010</v>
      </c>
      <c r="P1033" s="550">
        <f xml:space="preserve"> 'T&amp;E'!P$9</f>
        <v>2011</v>
      </c>
      <c r="Q1033" s="550">
        <f xml:space="preserve"> 'T&amp;E'!Q$9</f>
        <v>2012</v>
      </c>
      <c r="R1033" s="550">
        <f xml:space="preserve"> 'T&amp;E'!R$9</f>
        <v>2013</v>
      </c>
      <c r="S1033" s="550">
        <f xml:space="preserve"> 'T&amp;E'!S$9</f>
        <v>2014</v>
      </c>
      <c r="T1033" s="550">
        <f xml:space="preserve"> 'T&amp;E'!T$9</f>
        <v>2015</v>
      </c>
      <c r="U1033" s="550">
        <f xml:space="preserve"> 'T&amp;E'!U$9</f>
        <v>2016</v>
      </c>
      <c r="V1033" s="550">
        <f xml:space="preserve"> 'T&amp;E'!V$9</f>
        <v>2017</v>
      </c>
      <c r="W1033" s="550">
        <f xml:space="preserve"> 'T&amp;E'!W$9</f>
        <v>2018</v>
      </c>
      <c r="X1033" s="550">
        <f xml:space="preserve"> 'T&amp;E'!X$9</f>
        <v>2019</v>
      </c>
      <c r="Y1033" s="550">
        <f xml:space="preserve"> 'T&amp;E'!Y$9</f>
        <v>2020</v>
      </c>
      <c r="Z1033" s="550">
        <f xml:space="preserve"> 'T&amp;E'!Z$9</f>
        <v>2021</v>
      </c>
      <c r="AA1033" s="550">
        <f xml:space="preserve"> 'T&amp;E'!AA$9</f>
        <v>2022</v>
      </c>
      <c r="AB1033" s="550">
        <f xml:space="preserve"> 'T&amp;E'!AB$9</f>
        <v>2023</v>
      </c>
      <c r="AC1033" s="550">
        <f xml:space="preserve"> 'T&amp;E'!AC$9</f>
        <v>2024</v>
      </c>
      <c r="AD1033" s="550">
        <f xml:space="preserve"> 'T&amp;E'!AD$9</f>
        <v>2025</v>
      </c>
      <c r="AE1033" s="550">
        <f xml:space="preserve"> 'T&amp;E'!AE$9</f>
        <v>2026</v>
      </c>
      <c r="AF1033" s="550">
        <f xml:space="preserve"> 'T&amp;E'!AF$9</f>
        <v>2027</v>
      </c>
      <c r="AG1033" s="550">
        <f xml:space="preserve"> 'T&amp;E'!AG$9</f>
        <v>2028</v>
      </c>
      <c r="AH1033" s="550">
        <f xml:space="preserve"> 'T&amp;E'!AH$9</f>
        <v>2029</v>
      </c>
      <c r="AI1033" s="550">
        <f xml:space="preserve"> 'T&amp;E'!AI$9</f>
        <v>2030</v>
      </c>
      <c r="AJ1033" s="550">
        <f xml:space="preserve"> 'T&amp;E'!AJ$9</f>
        <v>2031</v>
      </c>
      <c r="AK1033" s="550">
        <f xml:space="preserve"> 'T&amp;E'!AK$9</f>
        <v>2032</v>
      </c>
      <c r="AL1033" s="550">
        <f xml:space="preserve"> 'T&amp;E'!AL$9</f>
        <v>2033</v>
      </c>
      <c r="AM1033" s="550">
        <f xml:space="preserve"> 'T&amp;E'!AM$9</f>
        <v>2034</v>
      </c>
      <c r="AN1033" s="550">
        <f xml:space="preserve"> 'T&amp;E'!AN$9</f>
        <v>2035</v>
      </c>
      <c r="AO1033" s="550">
        <f xml:space="preserve"> 'T&amp;E'!AO$9</f>
        <v>2036</v>
      </c>
      <c r="AP1033" s="550">
        <f xml:space="preserve"> 'T&amp;E'!AP$9</f>
        <v>2037</v>
      </c>
      <c r="AQ1033" s="550">
        <f xml:space="preserve"> 'T&amp;E'!AQ$9</f>
        <v>2038</v>
      </c>
      <c r="AR1033" s="550">
        <f xml:space="preserve"> 'T&amp;E'!AR$9</f>
        <v>2039</v>
      </c>
      <c r="AS1033" s="550">
        <f xml:space="preserve"> 'T&amp;E'!AS$9</f>
        <v>2040</v>
      </c>
    </row>
    <row r="1034" spans="1:45" ht="15" customHeight="1" x14ac:dyDescent="0.3">
      <c r="C1034" s="113" t="s">
        <v>36</v>
      </c>
      <c r="I1034" s="116"/>
      <c r="AL1034" s="42"/>
      <c r="AM1034" s="42"/>
      <c r="AN1034" s="42"/>
      <c r="AO1034" s="42"/>
      <c r="AP1034" s="42"/>
      <c r="AQ1034" s="42"/>
      <c r="AR1034" s="42"/>
      <c r="AS1034" s="42"/>
    </row>
    <row r="1035" spans="1:45" ht="15" customHeight="1" x14ac:dyDescent="0.3">
      <c r="E1035" s="169" t="str">
        <f xml:space="preserve"> E$79</f>
        <v>Copper production incl Sens.</v>
      </c>
      <c r="F1035" s="169">
        <f t="shared" ref="F1035:O1035" si="847" xml:space="preserve"> F$79</f>
        <v>0</v>
      </c>
      <c r="G1035" s="169" t="str">
        <f t="shared" si="847"/>
        <v>KT Cu</v>
      </c>
      <c r="H1035" s="169">
        <f t="shared" si="847"/>
        <v>0</v>
      </c>
      <c r="I1035" s="169">
        <f t="shared" si="847"/>
        <v>1750.6700000000008</v>
      </c>
      <c r="J1035" s="169">
        <f t="shared" si="847"/>
        <v>0</v>
      </c>
      <c r="K1035" s="169">
        <f t="shared" si="847"/>
        <v>0</v>
      </c>
      <c r="L1035" s="169">
        <f t="shared" si="847"/>
        <v>0</v>
      </c>
      <c r="M1035" s="169">
        <f t="shared" si="847"/>
        <v>0</v>
      </c>
      <c r="N1035" s="169">
        <f t="shared" si="847"/>
        <v>0</v>
      </c>
      <c r="O1035" s="169">
        <f t="shared" si="847"/>
        <v>0</v>
      </c>
      <c r="P1035" s="169">
        <f t="shared" ref="P1035:AS1035" si="848" xml:space="preserve"> P$79</f>
        <v>0</v>
      </c>
      <c r="Q1035" s="169">
        <f t="shared" si="848"/>
        <v>0</v>
      </c>
      <c r="R1035" s="169">
        <f t="shared" si="848"/>
        <v>0</v>
      </c>
      <c r="S1035" s="169">
        <f t="shared" si="848"/>
        <v>0</v>
      </c>
      <c r="T1035" s="169">
        <f t="shared" si="848"/>
        <v>0</v>
      </c>
      <c r="U1035" s="169">
        <f t="shared" si="848"/>
        <v>0</v>
      </c>
      <c r="V1035" s="169">
        <f t="shared" si="848"/>
        <v>39.692</v>
      </c>
      <c r="W1035" s="169">
        <f t="shared" si="848"/>
        <v>111.964</v>
      </c>
      <c r="X1035" s="169">
        <f t="shared" si="848"/>
        <v>131.25200000000001</v>
      </c>
      <c r="Y1035" s="169">
        <f t="shared" si="848"/>
        <v>131.24799999999999</v>
      </c>
      <c r="Z1035" s="169">
        <f t="shared" si="848"/>
        <v>215.79500000000002</v>
      </c>
      <c r="AA1035" s="169">
        <f t="shared" si="848"/>
        <v>147.09399999999999</v>
      </c>
      <c r="AB1035" s="169">
        <f t="shared" si="848"/>
        <v>124.084</v>
      </c>
      <c r="AC1035" s="169">
        <f t="shared" si="848"/>
        <v>79.510500000000008</v>
      </c>
      <c r="AD1035" s="169">
        <f t="shared" si="848"/>
        <v>110.2505</v>
      </c>
      <c r="AE1035" s="169">
        <f t="shared" si="848"/>
        <v>110.2505</v>
      </c>
      <c r="AF1035" s="169">
        <f t="shared" si="848"/>
        <v>110.2505</v>
      </c>
      <c r="AG1035" s="169">
        <f t="shared" si="848"/>
        <v>110.2505</v>
      </c>
      <c r="AH1035" s="169">
        <f t="shared" si="848"/>
        <v>110.2505</v>
      </c>
      <c r="AI1035" s="169">
        <f t="shared" si="848"/>
        <v>90.641000000000005</v>
      </c>
      <c r="AJ1035" s="169">
        <f t="shared" si="848"/>
        <v>90.641000000000005</v>
      </c>
      <c r="AK1035" s="169">
        <f t="shared" si="848"/>
        <v>37.496000000000002</v>
      </c>
      <c r="AL1035" s="169">
        <f t="shared" si="848"/>
        <v>0</v>
      </c>
      <c r="AM1035" s="169">
        <f t="shared" si="848"/>
        <v>0</v>
      </c>
      <c r="AN1035" s="169">
        <f t="shared" si="848"/>
        <v>0</v>
      </c>
      <c r="AO1035" s="169">
        <f t="shared" si="848"/>
        <v>0</v>
      </c>
      <c r="AP1035" s="169">
        <f t="shared" si="848"/>
        <v>0</v>
      </c>
      <c r="AQ1035" s="169">
        <f t="shared" si="848"/>
        <v>0</v>
      </c>
      <c r="AR1035" s="169">
        <f t="shared" si="848"/>
        <v>0</v>
      </c>
      <c r="AS1035" s="169">
        <f t="shared" si="848"/>
        <v>0</v>
      </c>
    </row>
    <row r="1036" spans="1:45" ht="15" customHeight="1" x14ac:dyDescent="0.3">
      <c r="E1036" s="169" t="str">
        <f xml:space="preserve"> E$126</f>
        <v>Cobalt production incl Sens.</v>
      </c>
      <c r="F1036" s="169">
        <f t="shared" ref="F1036:O1036" si="849" xml:space="preserve"> F$126</f>
        <v>0</v>
      </c>
      <c r="G1036" s="169" t="str">
        <f t="shared" si="849"/>
        <v>KT Co</v>
      </c>
      <c r="H1036" s="169">
        <f t="shared" si="849"/>
        <v>0</v>
      </c>
      <c r="I1036" s="169">
        <f t="shared" si="849"/>
        <v>21.822532857142861</v>
      </c>
      <c r="J1036" s="169">
        <f t="shared" si="849"/>
        <v>0</v>
      </c>
      <c r="K1036" s="169">
        <f t="shared" si="849"/>
        <v>0</v>
      </c>
      <c r="L1036" s="169">
        <f t="shared" si="849"/>
        <v>0</v>
      </c>
      <c r="M1036" s="169">
        <f t="shared" si="849"/>
        <v>0</v>
      </c>
      <c r="N1036" s="169">
        <f t="shared" si="849"/>
        <v>0</v>
      </c>
      <c r="O1036" s="169">
        <f t="shared" si="849"/>
        <v>0</v>
      </c>
      <c r="P1036" s="169">
        <f t="shared" ref="P1036:AS1036" si="850" xml:space="preserve"> P$126</f>
        <v>0</v>
      </c>
      <c r="Q1036" s="169">
        <f t="shared" si="850"/>
        <v>0</v>
      </c>
      <c r="R1036" s="169">
        <f t="shared" si="850"/>
        <v>0</v>
      </c>
      <c r="S1036" s="169">
        <f t="shared" si="850"/>
        <v>0</v>
      </c>
      <c r="T1036" s="169">
        <f t="shared" si="850"/>
        <v>0</v>
      </c>
      <c r="U1036" s="169">
        <f t="shared" si="850"/>
        <v>0</v>
      </c>
      <c r="V1036" s="169">
        <f t="shared" si="850"/>
        <v>0</v>
      </c>
      <c r="W1036" s="169">
        <f t="shared" si="850"/>
        <v>0</v>
      </c>
      <c r="X1036" s="169">
        <f t="shared" si="850"/>
        <v>0.70802999999999994</v>
      </c>
      <c r="Y1036" s="169">
        <f t="shared" si="850"/>
        <v>1.4230799999999999</v>
      </c>
      <c r="Z1036" s="169">
        <f t="shared" si="850"/>
        <v>1.6069300000000002</v>
      </c>
      <c r="AA1036" s="169">
        <f t="shared" si="850"/>
        <v>2.5061800000000001</v>
      </c>
      <c r="AB1036" s="169">
        <f t="shared" si="850"/>
        <v>2.306</v>
      </c>
      <c r="AC1036" s="169">
        <f t="shared" si="850"/>
        <v>0.77815000000000001</v>
      </c>
      <c r="AD1036" s="169">
        <f t="shared" si="850"/>
        <v>1.7336771428571429</v>
      </c>
      <c r="AE1036" s="169">
        <f t="shared" si="850"/>
        <v>1.7336771428571429</v>
      </c>
      <c r="AF1036" s="169">
        <f t="shared" si="850"/>
        <v>1.7336771428571429</v>
      </c>
      <c r="AG1036" s="169">
        <f t="shared" si="850"/>
        <v>1.7336771428571429</v>
      </c>
      <c r="AH1036" s="169">
        <f t="shared" si="850"/>
        <v>1.7336771428571429</v>
      </c>
      <c r="AI1036" s="169">
        <f t="shared" si="850"/>
        <v>1.7336771428571429</v>
      </c>
      <c r="AJ1036" s="169">
        <f t="shared" si="850"/>
        <v>1.4799100000000001</v>
      </c>
      <c r="AK1036" s="169">
        <f t="shared" si="850"/>
        <v>0.61219000000000001</v>
      </c>
      <c r="AL1036" s="169">
        <f t="shared" si="850"/>
        <v>0</v>
      </c>
      <c r="AM1036" s="169">
        <f t="shared" si="850"/>
        <v>0</v>
      </c>
      <c r="AN1036" s="169">
        <f t="shared" si="850"/>
        <v>0</v>
      </c>
      <c r="AO1036" s="169">
        <f t="shared" si="850"/>
        <v>0</v>
      </c>
      <c r="AP1036" s="169">
        <f t="shared" si="850"/>
        <v>0</v>
      </c>
      <c r="AQ1036" s="169">
        <f t="shared" si="850"/>
        <v>0</v>
      </c>
      <c r="AR1036" s="169">
        <f t="shared" si="850"/>
        <v>0</v>
      </c>
      <c r="AS1036" s="169">
        <f t="shared" si="850"/>
        <v>0</v>
      </c>
    </row>
    <row r="1037" spans="1:45" ht="15" customHeight="1" x14ac:dyDescent="0.3">
      <c r="E1037" s="169"/>
      <c r="I1037" s="116"/>
      <c r="AL1037" s="42"/>
      <c r="AM1037" s="42"/>
      <c r="AN1037" s="42"/>
      <c r="AO1037" s="42"/>
      <c r="AP1037" s="42"/>
      <c r="AQ1037" s="42"/>
      <c r="AR1037" s="42"/>
      <c r="AS1037" s="42"/>
    </row>
    <row r="1038" spans="1:45" ht="15" customHeight="1" x14ac:dyDescent="0.3">
      <c r="C1038" s="113" t="s">
        <v>489</v>
      </c>
      <c r="E1038" s="169"/>
      <c r="I1038" s="116"/>
      <c r="AL1038" s="42"/>
      <c r="AM1038" s="42"/>
      <c r="AN1038" s="42"/>
      <c r="AO1038" s="42"/>
      <c r="AP1038" s="42"/>
      <c r="AQ1038" s="42"/>
      <c r="AR1038" s="42"/>
      <c r="AS1038" s="42"/>
    </row>
    <row r="1039" spans="1:45" ht="15" customHeight="1" x14ac:dyDescent="0.3">
      <c r="E1039" s="538" t="str">
        <f xml:space="preserve"> E$396</f>
        <v>Copper gross revenue</v>
      </c>
      <c r="F1039" s="538">
        <f t="shared" ref="F1039:O1039" si="851" xml:space="preserve"> F$396</f>
        <v>0</v>
      </c>
      <c r="G1039" s="538" t="str">
        <f t="shared" si="851"/>
        <v>$ mn</v>
      </c>
      <c r="H1039" s="538">
        <f t="shared" si="851"/>
        <v>0</v>
      </c>
      <c r="I1039" s="538">
        <f t="shared" si="851"/>
        <v>11451.489506019687</v>
      </c>
      <c r="J1039" s="538">
        <f t="shared" si="851"/>
        <v>0</v>
      </c>
      <c r="K1039" s="538">
        <f t="shared" si="851"/>
        <v>0</v>
      </c>
      <c r="L1039" s="538">
        <f t="shared" si="851"/>
        <v>0</v>
      </c>
      <c r="M1039" s="538">
        <f t="shared" si="851"/>
        <v>0</v>
      </c>
      <c r="N1039" s="538">
        <f t="shared" si="851"/>
        <v>0</v>
      </c>
      <c r="O1039" s="538">
        <f t="shared" si="851"/>
        <v>0</v>
      </c>
      <c r="P1039" s="538">
        <f t="shared" ref="P1039:AS1039" si="852" xml:space="preserve"> P$396</f>
        <v>0</v>
      </c>
      <c r="Q1039" s="538">
        <f t="shared" si="852"/>
        <v>0</v>
      </c>
      <c r="R1039" s="538">
        <f t="shared" si="852"/>
        <v>0</v>
      </c>
      <c r="S1039" s="538">
        <f t="shared" si="852"/>
        <v>0</v>
      </c>
      <c r="T1039" s="538">
        <f t="shared" si="852"/>
        <v>0</v>
      </c>
      <c r="U1039" s="538">
        <f t="shared" si="852"/>
        <v>0</v>
      </c>
      <c r="V1039" s="538">
        <f t="shared" si="852"/>
        <v>104.68060500000001</v>
      </c>
      <c r="W1039" s="538">
        <f t="shared" si="852"/>
        <v>275.12210799999997</v>
      </c>
      <c r="X1039" s="538">
        <f t="shared" si="852"/>
        <v>416.84932400000002</v>
      </c>
      <c r="Y1039" s="538">
        <f t="shared" si="852"/>
        <v>635.77241700000002</v>
      </c>
      <c r="Z1039" s="538">
        <f t="shared" si="852"/>
        <v>1059.1821980000002</v>
      </c>
      <c r="AA1039" s="538">
        <f t="shared" si="852"/>
        <v>938.45274099999995</v>
      </c>
      <c r="AB1039" s="538">
        <f t="shared" si="852"/>
        <v>972.90811853117418</v>
      </c>
      <c r="AC1039" s="538">
        <f t="shared" si="852"/>
        <v>641.01964091281855</v>
      </c>
      <c r="AD1039" s="538">
        <f t="shared" si="852"/>
        <v>905.06080438998561</v>
      </c>
      <c r="AE1039" s="538">
        <f t="shared" si="852"/>
        <v>906.69486922833119</v>
      </c>
      <c r="AF1039" s="538">
        <f t="shared" si="852"/>
        <v>905.7682157164711</v>
      </c>
      <c r="AG1039" s="538">
        <f t="shared" si="852"/>
        <v>904.45287108625553</v>
      </c>
      <c r="AH1039" s="538">
        <f t="shared" si="852"/>
        <v>905.84957723998957</v>
      </c>
      <c r="AI1039" s="538">
        <f t="shared" si="852"/>
        <v>766.66482549710213</v>
      </c>
      <c r="AJ1039" s="538">
        <f t="shared" si="852"/>
        <v>782.56965423430415</v>
      </c>
      <c r="AK1039" s="538">
        <f t="shared" si="852"/>
        <v>330.44153618325373</v>
      </c>
      <c r="AL1039" s="538">
        <f t="shared" si="852"/>
        <v>0</v>
      </c>
      <c r="AM1039" s="538">
        <f t="shared" si="852"/>
        <v>0</v>
      </c>
      <c r="AN1039" s="538">
        <f t="shared" si="852"/>
        <v>0</v>
      </c>
      <c r="AO1039" s="538">
        <f t="shared" si="852"/>
        <v>0</v>
      </c>
      <c r="AP1039" s="538">
        <f t="shared" si="852"/>
        <v>0</v>
      </c>
      <c r="AQ1039" s="538">
        <f t="shared" si="852"/>
        <v>0</v>
      </c>
      <c r="AR1039" s="538">
        <f t="shared" si="852"/>
        <v>0</v>
      </c>
      <c r="AS1039" s="538">
        <f t="shared" si="852"/>
        <v>0</v>
      </c>
    </row>
    <row r="1040" spans="1:45" ht="15" customHeight="1" x14ac:dyDescent="0.3">
      <c r="E1040" s="538" t="str">
        <f xml:space="preserve"> E$397</f>
        <v>Cobalt gross revenue</v>
      </c>
      <c r="F1040" s="538">
        <f t="shared" ref="F1040:O1040" si="853" xml:space="preserve"> F$397</f>
        <v>0</v>
      </c>
      <c r="G1040" s="538" t="str">
        <f t="shared" si="853"/>
        <v>$ mn</v>
      </c>
      <c r="H1040" s="538">
        <f t="shared" si="853"/>
        <v>0</v>
      </c>
      <c r="I1040" s="538">
        <f t="shared" si="853"/>
        <v>605.73785207875858</v>
      </c>
      <c r="J1040" s="538">
        <f t="shared" si="853"/>
        <v>0</v>
      </c>
      <c r="K1040" s="538">
        <f t="shared" si="853"/>
        <v>0</v>
      </c>
      <c r="L1040" s="538">
        <f t="shared" si="853"/>
        <v>0</v>
      </c>
      <c r="M1040" s="538">
        <f t="shared" si="853"/>
        <v>0</v>
      </c>
      <c r="N1040" s="538">
        <f t="shared" si="853"/>
        <v>0</v>
      </c>
      <c r="O1040" s="538">
        <f t="shared" si="853"/>
        <v>0</v>
      </c>
      <c r="P1040" s="538">
        <f t="shared" ref="P1040:AS1040" si="854" xml:space="preserve"> P$397</f>
        <v>0</v>
      </c>
      <c r="Q1040" s="538">
        <f t="shared" si="854"/>
        <v>0</v>
      </c>
      <c r="R1040" s="538">
        <f t="shared" si="854"/>
        <v>0</v>
      </c>
      <c r="S1040" s="538">
        <f t="shared" si="854"/>
        <v>0</v>
      </c>
      <c r="T1040" s="538">
        <f t="shared" si="854"/>
        <v>0</v>
      </c>
      <c r="U1040" s="538">
        <f t="shared" si="854"/>
        <v>0</v>
      </c>
      <c r="V1040" s="538">
        <f t="shared" si="854"/>
        <v>0</v>
      </c>
      <c r="W1040" s="538">
        <f t="shared" si="854"/>
        <v>0</v>
      </c>
      <c r="X1040" s="538">
        <f t="shared" si="854"/>
        <v>17.482495504319999</v>
      </c>
      <c r="Y1040" s="538">
        <f t="shared" si="854"/>
        <v>32.942181610799999</v>
      </c>
      <c r="Z1040" s="538">
        <f t="shared" si="854"/>
        <v>59.516856278879999</v>
      </c>
      <c r="AA1040" s="538">
        <f t="shared" si="854"/>
        <v>104.42579902523998</v>
      </c>
      <c r="AB1040" s="538">
        <f t="shared" si="854"/>
        <v>50.640257798332065</v>
      </c>
      <c r="AC1040" s="538">
        <f t="shared" si="854"/>
        <v>12.790082013106371</v>
      </c>
      <c r="AD1040" s="538">
        <f t="shared" si="854"/>
        <v>44.969561931178475</v>
      </c>
      <c r="AE1040" s="538">
        <f t="shared" si="854"/>
        <v>44.969561931178475</v>
      </c>
      <c r="AF1040" s="538">
        <f t="shared" si="854"/>
        <v>44.969561931178475</v>
      </c>
      <c r="AG1040" s="538">
        <f t="shared" si="854"/>
        <v>44.969561931178475</v>
      </c>
      <c r="AH1040" s="538">
        <f t="shared" si="854"/>
        <v>44.969561931178475</v>
      </c>
      <c r="AI1040" s="538">
        <f t="shared" si="854"/>
        <v>46.017723755482606</v>
      </c>
      <c r="AJ1040" s="538">
        <f t="shared" si="854"/>
        <v>40.122552774619891</v>
      </c>
      <c r="AK1040" s="538">
        <f t="shared" si="854"/>
        <v>16.952093662085321</v>
      </c>
      <c r="AL1040" s="538">
        <f t="shared" si="854"/>
        <v>0</v>
      </c>
      <c r="AM1040" s="538">
        <f t="shared" si="854"/>
        <v>0</v>
      </c>
      <c r="AN1040" s="538">
        <f t="shared" si="854"/>
        <v>0</v>
      </c>
      <c r="AO1040" s="538">
        <f t="shared" si="854"/>
        <v>0</v>
      </c>
      <c r="AP1040" s="538">
        <f t="shared" si="854"/>
        <v>0</v>
      </c>
      <c r="AQ1040" s="538">
        <f t="shared" si="854"/>
        <v>0</v>
      </c>
      <c r="AR1040" s="538">
        <f t="shared" si="854"/>
        <v>0</v>
      </c>
      <c r="AS1040" s="538">
        <f t="shared" si="854"/>
        <v>0</v>
      </c>
    </row>
    <row r="1041" spans="1:45" ht="15" customHeight="1" x14ac:dyDescent="0.3">
      <c r="A1041" s="123"/>
      <c r="B1041" s="123"/>
      <c r="C1041" s="124"/>
      <c r="D1041" s="109"/>
      <c r="E1041" s="829" t="str">
        <f xml:space="preserve"> E$385</f>
        <v>Total gross revenue</v>
      </c>
      <c r="F1041" s="829">
        <f t="shared" ref="F1041:O1041" si="855" xml:space="preserve"> F$385</f>
        <v>0</v>
      </c>
      <c r="G1041" s="829" t="str">
        <f t="shared" si="855"/>
        <v>$ mn</v>
      </c>
      <c r="H1041" s="829">
        <f t="shared" si="855"/>
        <v>0</v>
      </c>
      <c r="I1041" s="829">
        <f t="shared" si="855"/>
        <v>12057.227358098444</v>
      </c>
      <c r="J1041" s="829">
        <f t="shared" si="855"/>
        <v>0</v>
      </c>
      <c r="K1041" s="829">
        <f t="shared" si="855"/>
        <v>0</v>
      </c>
      <c r="L1041" s="829">
        <f t="shared" si="855"/>
        <v>0</v>
      </c>
      <c r="M1041" s="829">
        <f t="shared" si="855"/>
        <v>0</v>
      </c>
      <c r="N1041" s="829">
        <f t="shared" si="855"/>
        <v>0</v>
      </c>
      <c r="O1041" s="829">
        <f t="shared" si="855"/>
        <v>0</v>
      </c>
      <c r="P1041" s="829">
        <f t="shared" ref="P1041:AS1041" si="856" xml:space="preserve"> P$385</f>
        <v>0</v>
      </c>
      <c r="Q1041" s="829">
        <f t="shared" si="856"/>
        <v>0</v>
      </c>
      <c r="R1041" s="829">
        <f t="shared" si="856"/>
        <v>0</v>
      </c>
      <c r="S1041" s="829">
        <f t="shared" si="856"/>
        <v>0</v>
      </c>
      <c r="T1041" s="829">
        <f t="shared" si="856"/>
        <v>0</v>
      </c>
      <c r="U1041" s="829">
        <f t="shared" si="856"/>
        <v>0</v>
      </c>
      <c r="V1041" s="829">
        <f t="shared" si="856"/>
        <v>104.68060500000001</v>
      </c>
      <c r="W1041" s="829">
        <f t="shared" si="856"/>
        <v>275.12210799999997</v>
      </c>
      <c r="X1041" s="829">
        <f t="shared" si="856"/>
        <v>434.33181950432004</v>
      </c>
      <c r="Y1041" s="829">
        <f t="shared" si="856"/>
        <v>668.71459861080007</v>
      </c>
      <c r="Z1041" s="829">
        <f t="shared" si="856"/>
        <v>1118.6990542788801</v>
      </c>
      <c r="AA1041" s="829">
        <f t="shared" si="856"/>
        <v>1042.87854002524</v>
      </c>
      <c r="AB1041" s="829">
        <f t="shared" si="856"/>
        <v>1023.5483763295063</v>
      </c>
      <c r="AC1041" s="829">
        <f t="shared" si="856"/>
        <v>653.80972292592492</v>
      </c>
      <c r="AD1041" s="829">
        <f t="shared" si="856"/>
        <v>950.03036632116414</v>
      </c>
      <c r="AE1041" s="829">
        <f t="shared" si="856"/>
        <v>951.6644311595096</v>
      </c>
      <c r="AF1041" s="829">
        <f t="shared" si="856"/>
        <v>950.73777764764964</v>
      </c>
      <c r="AG1041" s="829">
        <f t="shared" si="856"/>
        <v>949.42243301743406</v>
      </c>
      <c r="AH1041" s="829">
        <f t="shared" si="856"/>
        <v>950.81913917116799</v>
      </c>
      <c r="AI1041" s="829">
        <f t="shared" si="856"/>
        <v>812.68254925258475</v>
      </c>
      <c r="AJ1041" s="829">
        <f t="shared" si="856"/>
        <v>822.69220700892402</v>
      </c>
      <c r="AK1041" s="829">
        <f t="shared" si="856"/>
        <v>347.39362984533904</v>
      </c>
      <c r="AL1041" s="829">
        <f t="shared" si="856"/>
        <v>0</v>
      </c>
      <c r="AM1041" s="829">
        <f t="shared" si="856"/>
        <v>0</v>
      </c>
      <c r="AN1041" s="829">
        <f t="shared" si="856"/>
        <v>0</v>
      </c>
      <c r="AO1041" s="829">
        <f t="shared" si="856"/>
        <v>0</v>
      </c>
      <c r="AP1041" s="829">
        <f t="shared" si="856"/>
        <v>0</v>
      </c>
      <c r="AQ1041" s="829">
        <f t="shared" si="856"/>
        <v>0</v>
      </c>
      <c r="AR1041" s="829">
        <f t="shared" si="856"/>
        <v>0</v>
      </c>
      <c r="AS1041" s="829">
        <f t="shared" si="856"/>
        <v>0</v>
      </c>
    </row>
    <row r="1042" spans="1:45" ht="15" customHeight="1" x14ac:dyDescent="0.3">
      <c r="E1042" s="169"/>
      <c r="I1042" s="116"/>
      <c r="AL1042" s="42"/>
      <c r="AM1042" s="42"/>
      <c r="AN1042" s="42"/>
      <c r="AO1042" s="42"/>
      <c r="AP1042" s="42"/>
      <c r="AQ1042" s="42"/>
      <c r="AR1042" s="42"/>
      <c r="AS1042" s="42"/>
    </row>
    <row r="1043" spans="1:45" ht="15" customHeight="1" x14ac:dyDescent="0.3">
      <c r="E1043" s="169" t="str">
        <f xml:space="preserve"> E$394</f>
        <v>Selling costs</v>
      </c>
      <c r="F1043" s="169">
        <f t="shared" ref="F1043:O1043" si="857" xml:space="preserve"> F$394</f>
        <v>0</v>
      </c>
      <c r="G1043" s="169" t="str">
        <f t="shared" si="857"/>
        <v>$ mn</v>
      </c>
      <c r="H1043" s="169">
        <f t="shared" si="857"/>
        <v>0</v>
      </c>
      <c r="I1043" s="169">
        <f t="shared" si="857"/>
        <v>0</v>
      </c>
      <c r="J1043" s="169">
        <f t="shared" si="857"/>
        <v>0</v>
      </c>
      <c r="K1043" s="169">
        <f t="shared" si="857"/>
        <v>0</v>
      </c>
      <c r="L1043" s="169">
        <f t="shared" si="857"/>
        <v>0</v>
      </c>
      <c r="M1043" s="169">
        <f t="shared" si="857"/>
        <v>0</v>
      </c>
      <c r="N1043" s="169">
        <f t="shared" si="857"/>
        <v>0</v>
      </c>
      <c r="O1043" s="169">
        <f t="shared" si="857"/>
        <v>0</v>
      </c>
      <c r="P1043" s="169">
        <f t="shared" ref="P1043:AS1043" si="858" xml:space="preserve"> P$394</f>
        <v>0</v>
      </c>
      <c r="Q1043" s="169">
        <f t="shared" si="858"/>
        <v>0</v>
      </c>
      <c r="R1043" s="169">
        <f t="shared" si="858"/>
        <v>0</v>
      </c>
      <c r="S1043" s="169">
        <f t="shared" si="858"/>
        <v>0</v>
      </c>
      <c r="T1043" s="169">
        <f t="shared" si="858"/>
        <v>0</v>
      </c>
      <c r="U1043" s="169">
        <f t="shared" si="858"/>
        <v>0</v>
      </c>
      <c r="V1043" s="169">
        <f t="shared" si="858"/>
        <v>0</v>
      </c>
      <c r="W1043" s="169">
        <f t="shared" si="858"/>
        <v>0</v>
      </c>
      <c r="X1043" s="169">
        <f t="shared" si="858"/>
        <v>0</v>
      </c>
      <c r="Y1043" s="169">
        <f t="shared" si="858"/>
        <v>0</v>
      </c>
      <c r="Z1043" s="169">
        <f t="shared" si="858"/>
        <v>0</v>
      </c>
      <c r="AA1043" s="169">
        <f t="shared" si="858"/>
        <v>0</v>
      </c>
      <c r="AB1043" s="169">
        <f t="shared" si="858"/>
        <v>0</v>
      </c>
      <c r="AC1043" s="169">
        <f t="shared" si="858"/>
        <v>0</v>
      </c>
      <c r="AD1043" s="169">
        <f t="shared" si="858"/>
        <v>0</v>
      </c>
      <c r="AE1043" s="169">
        <f t="shared" si="858"/>
        <v>0</v>
      </c>
      <c r="AF1043" s="169">
        <f t="shared" si="858"/>
        <v>0</v>
      </c>
      <c r="AG1043" s="169">
        <f t="shared" si="858"/>
        <v>0</v>
      </c>
      <c r="AH1043" s="169">
        <f t="shared" si="858"/>
        <v>0</v>
      </c>
      <c r="AI1043" s="169">
        <f t="shared" si="858"/>
        <v>0</v>
      </c>
      <c r="AJ1043" s="169">
        <f t="shared" si="858"/>
        <v>0</v>
      </c>
      <c r="AK1043" s="169">
        <f t="shared" si="858"/>
        <v>0</v>
      </c>
      <c r="AL1043" s="169">
        <f t="shared" si="858"/>
        <v>0</v>
      </c>
      <c r="AM1043" s="169">
        <f t="shared" si="858"/>
        <v>0</v>
      </c>
      <c r="AN1043" s="169">
        <f t="shared" si="858"/>
        <v>0</v>
      </c>
      <c r="AO1043" s="169">
        <f t="shared" si="858"/>
        <v>0</v>
      </c>
      <c r="AP1043" s="169">
        <f t="shared" si="858"/>
        <v>0</v>
      </c>
      <c r="AQ1043" s="169">
        <f t="shared" si="858"/>
        <v>0</v>
      </c>
      <c r="AR1043" s="169">
        <f t="shared" si="858"/>
        <v>0</v>
      </c>
      <c r="AS1043" s="169">
        <f t="shared" si="858"/>
        <v>0</v>
      </c>
    </row>
    <row r="1044" spans="1:45" ht="15" customHeight="1" x14ac:dyDescent="0.3">
      <c r="E1044" s="169"/>
      <c r="F1044" s="169"/>
      <c r="G1044" s="169"/>
      <c r="H1044" s="169"/>
      <c r="I1044" s="169"/>
      <c r="J1044" s="169"/>
      <c r="K1044" s="169"/>
      <c r="L1044" s="169"/>
      <c r="M1044" s="169"/>
      <c r="N1044" s="169"/>
      <c r="O1044" s="169"/>
      <c r="P1044" s="169"/>
      <c r="Q1044" s="169"/>
      <c r="R1044" s="169"/>
      <c r="S1044" s="169"/>
      <c r="T1044" s="169"/>
      <c r="U1044" s="169"/>
      <c r="V1044" s="169"/>
      <c r="W1044" s="169"/>
      <c r="X1044" s="169"/>
      <c r="Y1044" s="169"/>
      <c r="Z1044" s="169"/>
      <c r="AA1044" s="169"/>
      <c r="AB1044" s="169"/>
      <c r="AC1044" s="169"/>
      <c r="AD1044" s="169"/>
      <c r="AE1044" s="169"/>
      <c r="AF1044" s="169"/>
      <c r="AG1044" s="169"/>
      <c r="AH1044" s="169"/>
      <c r="AI1044" s="169"/>
      <c r="AJ1044" s="169"/>
      <c r="AK1044" s="169"/>
      <c r="AL1044" s="169"/>
      <c r="AM1044" s="169"/>
      <c r="AN1044" s="169"/>
      <c r="AO1044" s="169"/>
      <c r="AP1044" s="169"/>
      <c r="AQ1044" s="169"/>
      <c r="AR1044" s="169"/>
      <c r="AS1044" s="169"/>
    </row>
    <row r="1045" spans="1:45" ht="15" customHeight="1" x14ac:dyDescent="0.3">
      <c r="E1045" s="538" t="str">
        <f xml:space="preserve"> E$407</f>
        <v>Copper net revenue</v>
      </c>
      <c r="F1045" s="538">
        <f t="shared" ref="F1045:O1045" si="859" xml:space="preserve"> F$407</f>
        <v>0</v>
      </c>
      <c r="G1045" s="538" t="str">
        <f t="shared" si="859"/>
        <v>$ mn</v>
      </c>
      <c r="H1045" s="538">
        <f t="shared" si="859"/>
        <v>0</v>
      </c>
      <c r="I1045" s="538">
        <f t="shared" si="859"/>
        <v>11451.489506019687</v>
      </c>
      <c r="J1045" s="538">
        <f t="shared" si="859"/>
        <v>0</v>
      </c>
      <c r="K1045" s="538">
        <f t="shared" si="859"/>
        <v>0</v>
      </c>
      <c r="L1045" s="538">
        <f t="shared" si="859"/>
        <v>0</v>
      </c>
      <c r="M1045" s="538">
        <f t="shared" si="859"/>
        <v>0</v>
      </c>
      <c r="N1045" s="538">
        <f t="shared" si="859"/>
        <v>0</v>
      </c>
      <c r="O1045" s="538">
        <f t="shared" si="859"/>
        <v>0</v>
      </c>
      <c r="P1045" s="538">
        <f t="shared" ref="P1045:AS1045" si="860" xml:space="preserve"> P$407</f>
        <v>0</v>
      </c>
      <c r="Q1045" s="538">
        <f t="shared" si="860"/>
        <v>0</v>
      </c>
      <c r="R1045" s="538">
        <f t="shared" si="860"/>
        <v>0</v>
      </c>
      <c r="S1045" s="538">
        <f t="shared" si="860"/>
        <v>0</v>
      </c>
      <c r="T1045" s="538">
        <f t="shared" si="860"/>
        <v>0</v>
      </c>
      <c r="U1045" s="538">
        <f t="shared" si="860"/>
        <v>0</v>
      </c>
      <c r="V1045" s="538">
        <f t="shared" si="860"/>
        <v>104.68060500000001</v>
      </c>
      <c r="W1045" s="538">
        <f t="shared" si="860"/>
        <v>275.12210799999997</v>
      </c>
      <c r="X1045" s="538">
        <f t="shared" si="860"/>
        <v>416.84932400000002</v>
      </c>
      <c r="Y1045" s="538">
        <f t="shared" si="860"/>
        <v>635.77241700000002</v>
      </c>
      <c r="Z1045" s="538">
        <f t="shared" si="860"/>
        <v>1059.1821980000002</v>
      </c>
      <c r="AA1045" s="538">
        <f t="shared" si="860"/>
        <v>938.45274099999995</v>
      </c>
      <c r="AB1045" s="538">
        <f t="shared" si="860"/>
        <v>972.90811853117418</v>
      </c>
      <c r="AC1045" s="538">
        <f t="shared" si="860"/>
        <v>641.01964091281855</v>
      </c>
      <c r="AD1045" s="538">
        <f t="shared" si="860"/>
        <v>905.06080438998561</v>
      </c>
      <c r="AE1045" s="538">
        <f t="shared" si="860"/>
        <v>906.69486922833119</v>
      </c>
      <c r="AF1045" s="538">
        <f t="shared" si="860"/>
        <v>905.7682157164711</v>
      </c>
      <c r="AG1045" s="538">
        <f t="shared" si="860"/>
        <v>904.45287108625553</v>
      </c>
      <c r="AH1045" s="538">
        <f t="shared" si="860"/>
        <v>905.84957723998957</v>
      </c>
      <c r="AI1045" s="538">
        <f t="shared" si="860"/>
        <v>766.66482549710213</v>
      </c>
      <c r="AJ1045" s="538">
        <f t="shared" si="860"/>
        <v>782.56965423430415</v>
      </c>
      <c r="AK1045" s="538">
        <f t="shared" si="860"/>
        <v>330.44153618325373</v>
      </c>
      <c r="AL1045" s="538">
        <f t="shared" si="860"/>
        <v>0</v>
      </c>
      <c r="AM1045" s="538">
        <f t="shared" si="860"/>
        <v>0</v>
      </c>
      <c r="AN1045" s="538">
        <f t="shared" si="860"/>
        <v>0</v>
      </c>
      <c r="AO1045" s="538">
        <f t="shared" si="860"/>
        <v>0</v>
      </c>
      <c r="AP1045" s="538">
        <f t="shared" si="860"/>
        <v>0</v>
      </c>
      <c r="AQ1045" s="538">
        <f t="shared" si="860"/>
        <v>0</v>
      </c>
      <c r="AR1045" s="538">
        <f t="shared" si="860"/>
        <v>0</v>
      </c>
      <c r="AS1045" s="538">
        <f t="shared" si="860"/>
        <v>0</v>
      </c>
    </row>
    <row r="1046" spans="1:45" ht="15" customHeight="1" x14ac:dyDescent="0.3">
      <c r="E1046" s="538" t="str">
        <f xml:space="preserve"> E$408</f>
        <v>Cobalt net revenue</v>
      </c>
      <c r="F1046" s="538">
        <f t="shared" ref="F1046:O1046" si="861" xml:space="preserve"> F$408</f>
        <v>0</v>
      </c>
      <c r="G1046" s="538" t="str">
        <f t="shared" si="861"/>
        <v>$ mn</v>
      </c>
      <c r="H1046" s="538">
        <f t="shared" si="861"/>
        <v>0</v>
      </c>
      <c r="I1046" s="538">
        <f t="shared" si="861"/>
        <v>605.73785207875858</v>
      </c>
      <c r="J1046" s="538">
        <f t="shared" si="861"/>
        <v>0</v>
      </c>
      <c r="K1046" s="538">
        <f t="shared" si="861"/>
        <v>0</v>
      </c>
      <c r="L1046" s="538">
        <f t="shared" si="861"/>
        <v>0</v>
      </c>
      <c r="M1046" s="538">
        <f t="shared" si="861"/>
        <v>0</v>
      </c>
      <c r="N1046" s="538">
        <f t="shared" si="861"/>
        <v>0</v>
      </c>
      <c r="O1046" s="538">
        <f t="shared" si="861"/>
        <v>0</v>
      </c>
      <c r="P1046" s="538">
        <f t="shared" ref="P1046:AS1046" si="862" xml:space="preserve"> P$408</f>
        <v>0</v>
      </c>
      <c r="Q1046" s="538">
        <f t="shared" si="862"/>
        <v>0</v>
      </c>
      <c r="R1046" s="538">
        <f t="shared" si="862"/>
        <v>0</v>
      </c>
      <c r="S1046" s="538">
        <f t="shared" si="862"/>
        <v>0</v>
      </c>
      <c r="T1046" s="538">
        <f t="shared" si="862"/>
        <v>0</v>
      </c>
      <c r="U1046" s="538">
        <f t="shared" si="862"/>
        <v>0</v>
      </c>
      <c r="V1046" s="538">
        <f t="shared" si="862"/>
        <v>0</v>
      </c>
      <c r="W1046" s="538">
        <f t="shared" si="862"/>
        <v>0</v>
      </c>
      <c r="X1046" s="538">
        <f t="shared" si="862"/>
        <v>17.482495504319999</v>
      </c>
      <c r="Y1046" s="538">
        <f t="shared" si="862"/>
        <v>32.942181610799999</v>
      </c>
      <c r="Z1046" s="538">
        <f t="shared" si="862"/>
        <v>59.516856278879999</v>
      </c>
      <c r="AA1046" s="538">
        <f t="shared" si="862"/>
        <v>104.42579902523998</v>
      </c>
      <c r="AB1046" s="538">
        <f t="shared" si="862"/>
        <v>50.640257798332065</v>
      </c>
      <c r="AC1046" s="538">
        <f t="shared" si="862"/>
        <v>12.790082013106371</v>
      </c>
      <c r="AD1046" s="538">
        <f t="shared" si="862"/>
        <v>44.969561931178475</v>
      </c>
      <c r="AE1046" s="538">
        <f t="shared" si="862"/>
        <v>44.969561931178475</v>
      </c>
      <c r="AF1046" s="538">
        <f t="shared" si="862"/>
        <v>44.969561931178475</v>
      </c>
      <c r="AG1046" s="538">
        <f t="shared" si="862"/>
        <v>44.969561931178475</v>
      </c>
      <c r="AH1046" s="538">
        <f t="shared" si="862"/>
        <v>44.969561931178475</v>
      </c>
      <c r="AI1046" s="538">
        <f t="shared" si="862"/>
        <v>46.017723755482606</v>
      </c>
      <c r="AJ1046" s="538">
        <f t="shared" si="862"/>
        <v>40.122552774619891</v>
      </c>
      <c r="AK1046" s="538">
        <f t="shared" si="862"/>
        <v>16.952093662085321</v>
      </c>
      <c r="AL1046" s="538">
        <f t="shared" si="862"/>
        <v>0</v>
      </c>
      <c r="AM1046" s="538">
        <f t="shared" si="862"/>
        <v>0</v>
      </c>
      <c r="AN1046" s="538">
        <f t="shared" si="862"/>
        <v>0</v>
      </c>
      <c r="AO1046" s="538">
        <f t="shared" si="862"/>
        <v>0</v>
      </c>
      <c r="AP1046" s="538">
        <f t="shared" si="862"/>
        <v>0</v>
      </c>
      <c r="AQ1046" s="538">
        <f t="shared" si="862"/>
        <v>0</v>
      </c>
      <c r="AR1046" s="538">
        <f t="shared" si="862"/>
        <v>0</v>
      </c>
      <c r="AS1046" s="538">
        <f t="shared" si="862"/>
        <v>0</v>
      </c>
    </row>
    <row r="1047" spans="1:45" ht="15" customHeight="1" x14ac:dyDescent="0.3">
      <c r="E1047" s="538" t="str">
        <f xml:space="preserve"> E$409</f>
        <v>Total net revenue</v>
      </c>
      <c r="F1047" s="538">
        <f t="shared" ref="F1047:O1047" si="863" xml:space="preserve"> F$409</f>
        <v>0</v>
      </c>
      <c r="G1047" s="538" t="str">
        <f t="shared" si="863"/>
        <v>$ mn</v>
      </c>
      <c r="H1047" s="538">
        <f t="shared" si="863"/>
        <v>0</v>
      </c>
      <c r="I1047" s="538">
        <f t="shared" si="863"/>
        <v>12057.227358098444</v>
      </c>
      <c r="J1047" s="538">
        <f t="shared" si="863"/>
        <v>0</v>
      </c>
      <c r="K1047" s="538">
        <f t="shared" si="863"/>
        <v>0</v>
      </c>
      <c r="L1047" s="538">
        <f t="shared" si="863"/>
        <v>0</v>
      </c>
      <c r="M1047" s="538">
        <f t="shared" si="863"/>
        <v>0</v>
      </c>
      <c r="N1047" s="538">
        <f t="shared" si="863"/>
        <v>0</v>
      </c>
      <c r="O1047" s="538">
        <f t="shared" si="863"/>
        <v>0</v>
      </c>
      <c r="P1047" s="538">
        <f t="shared" ref="P1047:AS1047" si="864" xml:space="preserve"> P$409</f>
        <v>0</v>
      </c>
      <c r="Q1047" s="538">
        <f t="shared" si="864"/>
        <v>0</v>
      </c>
      <c r="R1047" s="538">
        <f t="shared" si="864"/>
        <v>0</v>
      </c>
      <c r="S1047" s="538">
        <f t="shared" si="864"/>
        <v>0</v>
      </c>
      <c r="T1047" s="538">
        <f t="shared" si="864"/>
        <v>0</v>
      </c>
      <c r="U1047" s="538">
        <f t="shared" si="864"/>
        <v>0</v>
      </c>
      <c r="V1047" s="538">
        <f t="shared" si="864"/>
        <v>104.68060500000001</v>
      </c>
      <c r="W1047" s="538">
        <f t="shared" si="864"/>
        <v>275.12210799999997</v>
      </c>
      <c r="X1047" s="538">
        <f t="shared" si="864"/>
        <v>434.33181950432004</v>
      </c>
      <c r="Y1047" s="538">
        <f t="shared" si="864"/>
        <v>668.71459861080007</v>
      </c>
      <c r="Z1047" s="538">
        <f t="shared" si="864"/>
        <v>1118.6990542788801</v>
      </c>
      <c r="AA1047" s="538">
        <f t="shared" si="864"/>
        <v>1042.87854002524</v>
      </c>
      <c r="AB1047" s="538">
        <f t="shared" si="864"/>
        <v>1023.5483763295063</v>
      </c>
      <c r="AC1047" s="538">
        <f t="shared" si="864"/>
        <v>653.80972292592492</v>
      </c>
      <c r="AD1047" s="538">
        <f t="shared" si="864"/>
        <v>950.03036632116414</v>
      </c>
      <c r="AE1047" s="538">
        <f t="shared" si="864"/>
        <v>951.6644311595096</v>
      </c>
      <c r="AF1047" s="538">
        <f t="shared" si="864"/>
        <v>950.73777764764964</v>
      </c>
      <c r="AG1047" s="538">
        <f t="shared" si="864"/>
        <v>949.42243301743406</v>
      </c>
      <c r="AH1047" s="538">
        <f t="shared" si="864"/>
        <v>950.81913917116799</v>
      </c>
      <c r="AI1047" s="538">
        <f t="shared" si="864"/>
        <v>812.68254925258475</v>
      </c>
      <c r="AJ1047" s="538">
        <f t="shared" si="864"/>
        <v>822.69220700892402</v>
      </c>
      <c r="AK1047" s="538">
        <f t="shared" si="864"/>
        <v>347.39362984533904</v>
      </c>
      <c r="AL1047" s="538">
        <f t="shared" si="864"/>
        <v>0</v>
      </c>
      <c r="AM1047" s="538">
        <f t="shared" si="864"/>
        <v>0</v>
      </c>
      <c r="AN1047" s="538">
        <f t="shared" si="864"/>
        <v>0</v>
      </c>
      <c r="AO1047" s="538">
        <f t="shared" si="864"/>
        <v>0</v>
      </c>
      <c r="AP1047" s="538">
        <f t="shared" si="864"/>
        <v>0</v>
      </c>
      <c r="AQ1047" s="538">
        <f t="shared" si="864"/>
        <v>0</v>
      </c>
      <c r="AR1047" s="538">
        <f t="shared" si="864"/>
        <v>0</v>
      </c>
      <c r="AS1047" s="538">
        <f t="shared" si="864"/>
        <v>0</v>
      </c>
    </row>
    <row r="1048" spans="1:45" ht="15" customHeight="1" x14ac:dyDescent="0.3">
      <c r="E1048" s="169"/>
      <c r="I1048" s="116"/>
      <c r="AL1048" s="42"/>
      <c r="AM1048" s="42"/>
      <c r="AN1048" s="42"/>
      <c r="AO1048" s="42"/>
      <c r="AP1048" s="42"/>
      <c r="AQ1048" s="42"/>
      <c r="AR1048" s="42"/>
      <c r="AS1048" s="42"/>
    </row>
    <row r="1049" spans="1:45" ht="15" customHeight="1" x14ac:dyDescent="0.3">
      <c r="C1049" s="113" t="s">
        <v>537</v>
      </c>
      <c r="I1049" s="116"/>
      <c r="AL1049" s="42"/>
      <c r="AM1049" s="42"/>
      <c r="AN1049" s="42"/>
      <c r="AO1049" s="42"/>
      <c r="AP1049" s="42"/>
      <c r="AQ1049" s="88"/>
      <c r="AR1049" s="88"/>
      <c r="AS1049" s="88"/>
    </row>
    <row r="1050" spans="1:45" ht="15" customHeight="1" x14ac:dyDescent="0.3">
      <c r="E1050" s="538" t="str">
        <f xml:space="preserve"> E$520</f>
        <v>Operating costs, including Sens.</v>
      </c>
      <c r="F1050" s="538" t="str">
        <f xml:space="preserve"> F$520</f>
        <v>FS</v>
      </c>
      <c r="G1050" s="538" t="str">
        <f xml:space="preserve"> G$520</f>
        <v>$ mn</v>
      </c>
      <c r="H1050" s="538">
        <f xml:space="preserve"> H$520</f>
        <v>0</v>
      </c>
      <c r="I1050" s="538">
        <f xml:space="preserve"> I$520</f>
        <v>6417.4732060838423</v>
      </c>
      <c r="J1050" s="538"/>
      <c r="K1050" s="538">
        <f t="shared" ref="K1050:O1050" si="865" xml:space="preserve"> K$520</f>
        <v>0</v>
      </c>
      <c r="L1050" s="538">
        <f t="shared" si="865"/>
        <v>0</v>
      </c>
      <c r="M1050" s="538">
        <f t="shared" si="865"/>
        <v>0</v>
      </c>
      <c r="N1050" s="538">
        <f t="shared" si="865"/>
        <v>0</v>
      </c>
      <c r="O1050" s="538">
        <f t="shared" si="865"/>
        <v>0</v>
      </c>
      <c r="P1050" s="538">
        <f t="shared" ref="P1050:AS1050" si="866" xml:space="preserve"> P$520</f>
        <v>0</v>
      </c>
      <c r="Q1050" s="538">
        <f t="shared" si="866"/>
        <v>0</v>
      </c>
      <c r="R1050" s="538">
        <f t="shared" si="866"/>
        <v>0</v>
      </c>
      <c r="S1050" s="538">
        <f t="shared" si="866"/>
        <v>0</v>
      </c>
      <c r="T1050" s="538">
        <f t="shared" si="866"/>
        <v>0</v>
      </c>
      <c r="U1050" s="538">
        <f t="shared" si="866"/>
        <v>0</v>
      </c>
      <c r="V1050" s="538">
        <f t="shared" si="866"/>
        <v>92.547447899999995</v>
      </c>
      <c r="W1050" s="538">
        <f t="shared" si="866"/>
        <v>111.20828203000001</v>
      </c>
      <c r="X1050" s="538">
        <f t="shared" si="866"/>
        <v>222.95433410956798</v>
      </c>
      <c r="Y1050" s="538">
        <f t="shared" si="866"/>
        <v>275.07933724392001</v>
      </c>
      <c r="Z1050" s="538">
        <f t="shared" si="866"/>
        <v>236.842377442112</v>
      </c>
      <c r="AA1050" s="538">
        <f t="shared" si="866"/>
        <v>521.23181416247598</v>
      </c>
      <c r="AB1050" s="538">
        <f t="shared" si="866"/>
        <v>458.85614080454303</v>
      </c>
      <c r="AC1050" s="538">
        <f t="shared" si="866"/>
        <v>498.26409575079998</v>
      </c>
      <c r="AD1050" s="538">
        <f t="shared" si="866"/>
        <v>499.39449196549901</v>
      </c>
      <c r="AE1050" s="538">
        <f t="shared" si="866"/>
        <v>511.64191424046072</v>
      </c>
      <c r="AF1050" s="538">
        <f t="shared" si="866"/>
        <v>522.47681812965493</v>
      </c>
      <c r="AG1050" s="538">
        <f t="shared" si="866"/>
        <v>533.79306524069909</v>
      </c>
      <c r="AH1050" s="538">
        <f t="shared" si="866"/>
        <v>545.3125501316897</v>
      </c>
      <c r="AI1050" s="538">
        <f t="shared" si="866"/>
        <v>563.04437690960037</v>
      </c>
      <c r="AJ1050" s="538">
        <f t="shared" si="866"/>
        <v>520.87013281239911</v>
      </c>
      <c r="AK1050" s="538">
        <f t="shared" si="866"/>
        <v>303.9560272104207</v>
      </c>
      <c r="AL1050" s="538">
        <f t="shared" si="866"/>
        <v>0</v>
      </c>
      <c r="AM1050" s="538">
        <f t="shared" si="866"/>
        <v>0</v>
      </c>
      <c r="AN1050" s="538">
        <f t="shared" si="866"/>
        <v>0</v>
      </c>
      <c r="AO1050" s="538">
        <f t="shared" si="866"/>
        <v>0</v>
      </c>
      <c r="AP1050" s="538">
        <f t="shared" si="866"/>
        <v>0</v>
      </c>
      <c r="AQ1050" s="538">
        <f t="shared" si="866"/>
        <v>0</v>
      </c>
      <c r="AR1050" s="538">
        <f t="shared" si="866"/>
        <v>0</v>
      </c>
      <c r="AS1050" s="538">
        <f t="shared" si="866"/>
        <v>0</v>
      </c>
    </row>
    <row r="1051" spans="1:45" ht="15" customHeight="1" x14ac:dyDescent="0.3">
      <c r="A1051" s="244"/>
      <c r="B1051" s="244"/>
      <c r="C1051" s="245"/>
      <c r="D1051" s="246"/>
      <c r="E1051" s="573" t="str">
        <f xml:space="preserve"> E$566</f>
        <v>Capital costs, including Sens.</v>
      </c>
      <c r="F1051" s="573" t="str">
        <f xml:space="preserve"> F$566</f>
        <v>FS</v>
      </c>
      <c r="G1051" s="573" t="str">
        <f xml:space="preserve"> G$566</f>
        <v>$ mn</v>
      </c>
      <c r="H1051" s="573">
        <f xml:space="preserve"> H$566</f>
        <v>0</v>
      </c>
      <c r="I1051" s="573">
        <f xml:space="preserve"> I$566</f>
        <v>831.24520052188814</v>
      </c>
      <c r="J1051" s="573"/>
      <c r="K1051" s="573">
        <f t="shared" ref="K1051:AS1051" si="867" xml:space="preserve"> K$566</f>
        <v>0</v>
      </c>
      <c r="L1051" s="573">
        <f t="shared" si="867"/>
        <v>0</v>
      </c>
      <c r="M1051" s="573">
        <f t="shared" si="867"/>
        <v>0</v>
      </c>
      <c r="N1051" s="573">
        <f t="shared" si="867"/>
        <v>0</v>
      </c>
      <c r="O1051" s="573">
        <f t="shared" si="867"/>
        <v>0</v>
      </c>
      <c r="P1051" s="573">
        <f t="shared" si="867"/>
        <v>0</v>
      </c>
      <c r="Q1051" s="573">
        <f t="shared" si="867"/>
        <v>0</v>
      </c>
      <c r="R1051" s="573">
        <f t="shared" si="867"/>
        <v>0</v>
      </c>
      <c r="S1051" s="573">
        <f t="shared" si="867"/>
        <v>0</v>
      </c>
      <c r="T1051" s="573">
        <f t="shared" si="867"/>
        <v>0</v>
      </c>
      <c r="U1051" s="573">
        <f t="shared" si="867"/>
        <v>0</v>
      </c>
      <c r="V1051" s="573">
        <f t="shared" si="867"/>
        <v>245.02819335000001</v>
      </c>
      <c r="W1051" s="573">
        <f t="shared" si="867"/>
        <v>111.33372773000001</v>
      </c>
      <c r="X1051" s="573">
        <f t="shared" si="867"/>
        <v>148.28970892000001</v>
      </c>
      <c r="Y1051" s="573">
        <f t="shared" si="867"/>
        <v>4.7877627</v>
      </c>
      <c r="Z1051" s="573">
        <f t="shared" si="867"/>
        <v>81.812290399999995</v>
      </c>
      <c r="AA1051" s="573">
        <f t="shared" si="867"/>
        <v>100.30613584</v>
      </c>
      <c r="AB1051" s="573">
        <f t="shared" si="867"/>
        <v>103.88373304536523</v>
      </c>
      <c r="AC1051" s="573">
        <f t="shared" si="867"/>
        <v>35.80364853652285</v>
      </c>
      <c r="AD1051" s="573">
        <f t="shared" si="867"/>
        <v>0</v>
      </c>
      <c r="AE1051" s="573">
        <f t="shared" si="867"/>
        <v>0</v>
      </c>
      <c r="AF1051" s="573">
        <f t="shared" si="867"/>
        <v>0</v>
      </c>
      <c r="AG1051" s="573">
        <f t="shared" si="867"/>
        <v>0</v>
      </c>
      <c r="AH1051" s="573">
        <f t="shared" si="867"/>
        <v>0</v>
      </c>
      <c r="AI1051" s="573">
        <f t="shared" si="867"/>
        <v>0</v>
      </c>
      <c r="AJ1051" s="573">
        <f t="shared" si="867"/>
        <v>0</v>
      </c>
      <c r="AK1051" s="573">
        <f t="shared" si="867"/>
        <v>0</v>
      </c>
      <c r="AL1051" s="573">
        <f t="shared" si="867"/>
        <v>0</v>
      </c>
      <c r="AM1051" s="573">
        <f t="shared" si="867"/>
        <v>0</v>
      </c>
      <c r="AN1051" s="573">
        <f t="shared" si="867"/>
        <v>0</v>
      </c>
      <c r="AO1051" s="573">
        <f t="shared" si="867"/>
        <v>0</v>
      </c>
      <c r="AP1051" s="573">
        <f t="shared" si="867"/>
        <v>0</v>
      </c>
      <c r="AQ1051" s="573">
        <f t="shared" si="867"/>
        <v>0</v>
      </c>
      <c r="AR1051" s="573">
        <f t="shared" si="867"/>
        <v>0</v>
      </c>
      <c r="AS1051" s="573">
        <f t="shared" si="867"/>
        <v>0</v>
      </c>
    </row>
    <row r="1052" spans="1:45" ht="15" customHeight="1" x14ac:dyDescent="0.3">
      <c r="A1052" s="244"/>
      <c r="B1052" s="244"/>
      <c r="C1052" s="245"/>
      <c r="D1052" s="246"/>
      <c r="E1052" s="573" t="str">
        <f xml:space="preserve"> E$655</f>
        <v>Project costs</v>
      </c>
      <c r="F1052" s="573">
        <f t="shared" ref="F1052:O1052" si="868" xml:space="preserve"> F$655</f>
        <v>0</v>
      </c>
      <c r="G1052" s="573" t="str">
        <f t="shared" si="868"/>
        <v>$ mn</v>
      </c>
      <c r="H1052" s="573">
        <f t="shared" si="868"/>
        <v>0</v>
      </c>
      <c r="I1052" s="573">
        <f t="shared" si="868"/>
        <v>7248.7184066057316</v>
      </c>
      <c r="J1052" s="573">
        <f t="shared" si="868"/>
        <v>0</v>
      </c>
      <c r="K1052" s="573">
        <f t="shared" si="868"/>
        <v>0</v>
      </c>
      <c r="L1052" s="573">
        <f t="shared" si="868"/>
        <v>0</v>
      </c>
      <c r="M1052" s="573">
        <f t="shared" si="868"/>
        <v>0</v>
      </c>
      <c r="N1052" s="573">
        <f t="shared" si="868"/>
        <v>0</v>
      </c>
      <c r="O1052" s="573">
        <f t="shared" si="868"/>
        <v>0</v>
      </c>
      <c r="P1052" s="573">
        <f t="shared" ref="P1052:AS1052" si="869" xml:space="preserve"> P$655</f>
        <v>0</v>
      </c>
      <c r="Q1052" s="573">
        <f t="shared" si="869"/>
        <v>0</v>
      </c>
      <c r="R1052" s="573">
        <f t="shared" si="869"/>
        <v>0</v>
      </c>
      <c r="S1052" s="573">
        <f t="shared" si="869"/>
        <v>0</v>
      </c>
      <c r="T1052" s="573">
        <f t="shared" si="869"/>
        <v>0</v>
      </c>
      <c r="U1052" s="573">
        <f t="shared" si="869"/>
        <v>0</v>
      </c>
      <c r="V1052" s="573">
        <f t="shared" si="869"/>
        <v>337.57564124999999</v>
      </c>
      <c r="W1052" s="573">
        <f t="shared" si="869"/>
        <v>222.54200976000001</v>
      </c>
      <c r="X1052" s="573">
        <f t="shared" si="869"/>
        <v>371.24404302956799</v>
      </c>
      <c r="Y1052" s="573">
        <f t="shared" si="869"/>
        <v>279.86709994391998</v>
      </c>
      <c r="Z1052" s="573">
        <f t="shared" si="869"/>
        <v>318.65466784211196</v>
      </c>
      <c r="AA1052" s="573">
        <f t="shared" si="869"/>
        <v>621.53795000247601</v>
      </c>
      <c r="AB1052" s="573">
        <f t="shared" si="869"/>
        <v>562.73987384990824</v>
      </c>
      <c r="AC1052" s="573">
        <f t="shared" si="869"/>
        <v>534.06774428732285</v>
      </c>
      <c r="AD1052" s="573">
        <f t="shared" si="869"/>
        <v>499.39449196549901</v>
      </c>
      <c r="AE1052" s="573">
        <f t="shared" si="869"/>
        <v>511.64191424046072</v>
      </c>
      <c r="AF1052" s="573">
        <f t="shared" si="869"/>
        <v>522.47681812965493</v>
      </c>
      <c r="AG1052" s="573">
        <f t="shared" si="869"/>
        <v>533.79306524069909</v>
      </c>
      <c r="AH1052" s="573">
        <f t="shared" si="869"/>
        <v>545.3125501316897</v>
      </c>
      <c r="AI1052" s="573">
        <f t="shared" si="869"/>
        <v>563.04437690960037</v>
      </c>
      <c r="AJ1052" s="573">
        <f t="shared" si="869"/>
        <v>520.87013281239911</v>
      </c>
      <c r="AK1052" s="573">
        <f t="shared" si="869"/>
        <v>303.9560272104207</v>
      </c>
      <c r="AL1052" s="573">
        <f t="shared" si="869"/>
        <v>0</v>
      </c>
      <c r="AM1052" s="573">
        <f t="shared" si="869"/>
        <v>0</v>
      </c>
      <c r="AN1052" s="573">
        <f t="shared" si="869"/>
        <v>0</v>
      </c>
      <c r="AO1052" s="573">
        <f t="shared" si="869"/>
        <v>0</v>
      </c>
      <c r="AP1052" s="573">
        <f t="shared" si="869"/>
        <v>0</v>
      </c>
      <c r="AQ1052" s="573">
        <f t="shared" si="869"/>
        <v>0</v>
      </c>
      <c r="AR1052" s="573">
        <f t="shared" si="869"/>
        <v>0</v>
      </c>
      <c r="AS1052" s="573">
        <f t="shared" si="869"/>
        <v>0</v>
      </c>
    </row>
    <row r="1053" spans="1:45" ht="15" customHeight="1" x14ac:dyDescent="0.3">
      <c r="A1053" s="244"/>
      <c r="B1053" s="244"/>
      <c r="C1053" s="245"/>
      <c r="D1053" s="246"/>
      <c r="E1053" s="573"/>
      <c r="F1053" s="573"/>
      <c r="G1053" s="573"/>
      <c r="H1053" s="573"/>
      <c r="I1053" s="573"/>
      <c r="J1053" s="573"/>
      <c r="K1053" s="573"/>
      <c r="L1053" s="573"/>
      <c r="M1053" s="573"/>
      <c r="N1053" s="573"/>
      <c r="O1053" s="573"/>
      <c r="P1053" s="573"/>
      <c r="Q1053" s="573"/>
      <c r="R1053" s="573"/>
      <c r="S1053" s="573"/>
      <c r="T1053" s="573"/>
      <c r="U1053" s="573"/>
      <c r="V1053" s="573"/>
      <c r="W1053" s="573"/>
      <c r="X1053" s="573"/>
      <c r="Y1053" s="573"/>
      <c r="Z1053" s="573"/>
      <c r="AA1053" s="573"/>
      <c r="AB1053" s="573"/>
      <c r="AC1053" s="573"/>
      <c r="AD1053" s="573"/>
      <c r="AE1053" s="573"/>
      <c r="AF1053" s="573"/>
      <c r="AG1053" s="573"/>
      <c r="AH1053" s="573"/>
      <c r="AI1053" s="573"/>
      <c r="AJ1053" s="573"/>
      <c r="AK1053" s="573"/>
      <c r="AL1053" s="573"/>
      <c r="AM1053" s="573"/>
      <c r="AN1053" s="573"/>
      <c r="AO1053" s="573"/>
      <c r="AP1053" s="573"/>
      <c r="AQ1053" s="573"/>
      <c r="AR1053" s="573"/>
      <c r="AS1053" s="573"/>
    </row>
    <row r="1054" spans="1:45" ht="15" customHeight="1" x14ac:dyDescent="0.3">
      <c r="A1054" s="244"/>
      <c r="B1054" s="244"/>
      <c r="C1054" s="245"/>
      <c r="D1054" s="246"/>
      <c r="E1054" s="573" t="s">
        <v>584</v>
      </c>
      <c r="F1054" s="573"/>
      <c r="G1054" s="573" t="s">
        <v>346</v>
      </c>
      <c r="H1054" s="573"/>
      <c r="I1054" s="573">
        <f>SUM(K1054:AS1054)</f>
        <v>4808.508951492714</v>
      </c>
      <c r="J1054" s="573"/>
      <c r="K1054" s="573">
        <f t="shared" ref="K1054:O1054" si="870">K1041 - K1043 - K1052</f>
        <v>0</v>
      </c>
      <c r="L1054" s="573">
        <f t="shared" si="870"/>
        <v>0</v>
      </c>
      <c r="M1054" s="573">
        <f t="shared" si="870"/>
        <v>0</v>
      </c>
      <c r="N1054" s="573">
        <f t="shared" si="870"/>
        <v>0</v>
      </c>
      <c r="O1054" s="573">
        <f t="shared" si="870"/>
        <v>0</v>
      </c>
      <c r="P1054" s="573">
        <f>P1041 - P1043 - P1052</f>
        <v>0</v>
      </c>
      <c r="Q1054" s="573">
        <f t="shared" ref="Q1054:AS1054" si="871">Q1041 - Q1043 - Q1052</f>
        <v>0</v>
      </c>
      <c r="R1054" s="573">
        <f t="shared" si="871"/>
        <v>0</v>
      </c>
      <c r="S1054" s="573">
        <f t="shared" si="871"/>
        <v>0</v>
      </c>
      <c r="T1054" s="573">
        <f t="shared" si="871"/>
        <v>0</v>
      </c>
      <c r="U1054" s="573">
        <f t="shared" si="871"/>
        <v>0</v>
      </c>
      <c r="V1054" s="573">
        <f t="shared" si="871"/>
        <v>-232.89503624999998</v>
      </c>
      <c r="W1054" s="573">
        <f t="shared" si="871"/>
        <v>52.580098239999955</v>
      </c>
      <c r="X1054" s="573">
        <f t="shared" si="871"/>
        <v>63.087776474752047</v>
      </c>
      <c r="Y1054" s="573">
        <f t="shared" si="871"/>
        <v>388.84749866688009</v>
      </c>
      <c r="Z1054" s="573">
        <f t="shared" si="871"/>
        <v>800.04438643676815</v>
      </c>
      <c r="AA1054" s="573">
        <f t="shared" si="871"/>
        <v>421.34059002276399</v>
      </c>
      <c r="AB1054" s="573">
        <f t="shared" si="871"/>
        <v>460.80850247959802</v>
      </c>
      <c r="AC1054" s="573">
        <f t="shared" si="871"/>
        <v>119.74197863860206</v>
      </c>
      <c r="AD1054" s="573">
        <f t="shared" si="871"/>
        <v>450.63587435566512</v>
      </c>
      <c r="AE1054" s="573">
        <f t="shared" si="871"/>
        <v>440.02251691904888</v>
      </c>
      <c r="AF1054" s="573">
        <f t="shared" si="871"/>
        <v>428.26095951799471</v>
      </c>
      <c r="AG1054" s="573">
        <f t="shared" si="871"/>
        <v>415.62936777673497</v>
      </c>
      <c r="AH1054" s="573">
        <f t="shared" si="871"/>
        <v>405.50658903947829</v>
      </c>
      <c r="AI1054" s="573">
        <f t="shared" si="871"/>
        <v>249.63817234298438</v>
      </c>
      <c r="AJ1054" s="573">
        <f t="shared" si="871"/>
        <v>301.82207419652491</v>
      </c>
      <c r="AK1054" s="573">
        <f t="shared" si="871"/>
        <v>43.437602634918335</v>
      </c>
      <c r="AL1054" s="573">
        <f t="shared" si="871"/>
        <v>0</v>
      </c>
      <c r="AM1054" s="573">
        <f t="shared" si="871"/>
        <v>0</v>
      </c>
      <c r="AN1054" s="573">
        <f t="shared" si="871"/>
        <v>0</v>
      </c>
      <c r="AO1054" s="573">
        <f t="shared" si="871"/>
        <v>0</v>
      </c>
      <c r="AP1054" s="573">
        <f t="shared" si="871"/>
        <v>0</v>
      </c>
      <c r="AQ1054" s="573">
        <f t="shared" si="871"/>
        <v>0</v>
      </c>
      <c r="AR1054" s="573">
        <f t="shared" si="871"/>
        <v>0</v>
      </c>
      <c r="AS1054" s="573">
        <f t="shared" si="871"/>
        <v>0</v>
      </c>
    </row>
    <row r="1055" spans="1:45" ht="15" customHeight="1" x14ac:dyDescent="0.3">
      <c r="A1055" s="244"/>
      <c r="B1055" s="244"/>
      <c r="C1055" s="245"/>
      <c r="D1055" s="246"/>
      <c r="E1055" s="168" t="str">
        <f xml:space="preserve"> E1054</f>
        <v>Project cashflows before fiscal regime</v>
      </c>
      <c r="F1055" s="168">
        <f xml:space="preserve"> SUM(Q1054:AV1054)</f>
        <v>4808.508951492714</v>
      </c>
      <c r="G1055" s="168" t="str">
        <f xml:space="preserve"> G1054</f>
        <v>$ mn</v>
      </c>
      <c r="H1055" s="573"/>
      <c r="I1055" s="573"/>
      <c r="J1055" s="573"/>
      <c r="K1055" s="573"/>
      <c r="L1055" s="573"/>
      <c r="M1055" s="573"/>
      <c r="N1055" s="573"/>
      <c r="O1055" s="573"/>
      <c r="P1055" s="573"/>
      <c r="Q1055" s="573"/>
      <c r="R1055" s="573"/>
      <c r="S1055" s="573"/>
      <c r="T1055" s="573"/>
      <c r="U1055" s="573"/>
      <c r="V1055" s="573"/>
      <c r="W1055" s="573"/>
      <c r="X1055" s="573"/>
      <c r="Y1055" s="573"/>
      <c r="Z1055" s="573"/>
      <c r="AA1055" s="573"/>
      <c r="AB1055" s="573"/>
      <c r="AC1055" s="573"/>
      <c r="AD1055" s="573"/>
      <c r="AE1055" s="573"/>
      <c r="AF1055" s="573"/>
      <c r="AG1055" s="573"/>
      <c r="AH1055" s="573"/>
      <c r="AI1055" s="573"/>
      <c r="AJ1055" s="573"/>
      <c r="AK1055" s="573"/>
      <c r="AL1055" s="573"/>
      <c r="AM1055" s="573"/>
      <c r="AN1055" s="573"/>
      <c r="AO1055" s="573"/>
      <c r="AP1055" s="573"/>
      <c r="AQ1055" s="573"/>
      <c r="AR1055" s="573"/>
      <c r="AS1055" s="573"/>
    </row>
    <row r="1056" spans="1:45" ht="15" customHeight="1" x14ac:dyDescent="0.3">
      <c r="A1056" s="244"/>
      <c r="B1056" s="244"/>
      <c r="C1056" s="245"/>
      <c r="D1056" s="246"/>
      <c r="E1056" s="168"/>
      <c r="F1056" s="168"/>
      <c r="G1056" s="168"/>
      <c r="H1056" s="573"/>
      <c r="I1056" s="573"/>
      <c r="J1056" s="573"/>
      <c r="K1056" s="573"/>
      <c r="L1056" s="573"/>
      <c r="M1056" s="573"/>
      <c r="N1056" s="573"/>
      <c r="O1056" s="573"/>
      <c r="P1056" s="573"/>
      <c r="Q1056" s="573"/>
      <c r="R1056" s="573"/>
      <c r="S1056" s="573"/>
      <c r="T1056" s="573"/>
      <c r="U1056" s="573"/>
      <c r="V1056" s="573"/>
      <c r="W1056" s="573"/>
      <c r="X1056" s="573"/>
      <c r="Y1056" s="573"/>
      <c r="Z1056" s="573"/>
      <c r="AA1056" s="573"/>
      <c r="AB1056" s="573"/>
      <c r="AC1056" s="573"/>
      <c r="AD1056" s="573"/>
      <c r="AE1056" s="573"/>
      <c r="AF1056" s="573"/>
      <c r="AG1056" s="573"/>
      <c r="AH1056" s="573"/>
      <c r="AI1056" s="573"/>
      <c r="AJ1056" s="573"/>
      <c r="AK1056" s="573"/>
      <c r="AL1056" s="573"/>
      <c r="AM1056" s="573"/>
      <c r="AN1056" s="573"/>
      <c r="AO1056" s="573"/>
      <c r="AP1056" s="573"/>
      <c r="AQ1056" s="573"/>
      <c r="AR1056" s="573"/>
      <c r="AS1056" s="573"/>
    </row>
    <row r="1057" spans="1:45" ht="15" customHeight="1" x14ac:dyDescent="0.3">
      <c r="A1057" s="129"/>
      <c r="B1057" s="129"/>
      <c r="C1057" s="130"/>
      <c r="D1057" s="106"/>
      <c r="E1057" s="851" t="s">
        <v>855</v>
      </c>
      <c r="F1057" s="852">
        <f>SUM(S1057:AS1057)</f>
        <v>0</v>
      </c>
      <c r="G1057" s="106" t="s">
        <v>509</v>
      </c>
      <c r="H1057" s="131"/>
      <c r="I1057" s="131">
        <f>SUM(K1057:AS1057)</f>
        <v>0</v>
      </c>
      <c r="J1057" s="128"/>
      <c r="K1057" s="852">
        <f t="shared" ref="K1057:AS1057" si="872">IF( ABS(K1054 - K1129 ) &gt; CHK_TOL, 1, 0)</f>
        <v>0</v>
      </c>
      <c r="L1057" s="852">
        <f t="shared" si="872"/>
        <v>0</v>
      </c>
      <c r="M1057" s="852">
        <f t="shared" si="872"/>
        <v>0</v>
      </c>
      <c r="N1057" s="852">
        <f t="shared" si="872"/>
        <v>0</v>
      </c>
      <c r="O1057" s="852">
        <f t="shared" si="872"/>
        <v>0</v>
      </c>
      <c r="P1057" s="852">
        <f t="shared" si="872"/>
        <v>0</v>
      </c>
      <c r="Q1057" s="852">
        <f t="shared" si="872"/>
        <v>0</v>
      </c>
      <c r="R1057" s="852">
        <f t="shared" si="872"/>
        <v>0</v>
      </c>
      <c r="S1057" s="852">
        <f t="shared" si="872"/>
        <v>0</v>
      </c>
      <c r="T1057" s="852">
        <f t="shared" si="872"/>
        <v>0</v>
      </c>
      <c r="U1057" s="852">
        <f t="shared" si="872"/>
        <v>0</v>
      </c>
      <c r="V1057" s="852">
        <f t="shared" si="872"/>
        <v>0</v>
      </c>
      <c r="W1057" s="852">
        <f t="shared" si="872"/>
        <v>0</v>
      </c>
      <c r="X1057" s="852">
        <f t="shared" si="872"/>
        <v>0</v>
      </c>
      <c r="Y1057" s="852">
        <f t="shared" si="872"/>
        <v>0</v>
      </c>
      <c r="Z1057" s="852">
        <f t="shared" si="872"/>
        <v>0</v>
      </c>
      <c r="AA1057" s="852">
        <f t="shared" si="872"/>
        <v>0</v>
      </c>
      <c r="AB1057" s="852">
        <f t="shared" si="872"/>
        <v>0</v>
      </c>
      <c r="AC1057" s="852">
        <f t="shared" si="872"/>
        <v>0</v>
      </c>
      <c r="AD1057" s="852">
        <f t="shared" si="872"/>
        <v>0</v>
      </c>
      <c r="AE1057" s="852">
        <f t="shared" si="872"/>
        <v>0</v>
      </c>
      <c r="AF1057" s="852">
        <f t="shared" si="872"/>
        <v>0</v>
      </c>
      <c r="AG1057" s="852">
        <f t="shared" si="872"/>
        <v>0</v>
      </c>
      <c r="AH1057" s="852">
        <f t="shared" si="872"/>
        <v>0</v>
      </c>
      <c r="AI1057" s="852">
        <f t="shared" si="872"/>
        <v>0</v>
      </c>
      <c r="AJ1057" s="852">
        <f t="shared" si="872"/>
        <v>0</v>
      </c>
      <c r="AK1057" s="852">
        <f t="shared" si="872"/>
        <v>0</v>
      </c>
      <c r="AL1057" s="852">
        <f t="shared" si="872"/>
        <v>0</v>
      </c>
      <c r="AM1057" s="852">
        <f t="shared" si="872"/>
        <v>0</v>
      </c>
      <c r="AN1057" s="852">
        <f t="shared" si="872"/>
        <v>0</v>
      </c>
      <c r="AO1057" s="852">
        <f t="shared" si="872"/>
        <v>0</v>
      </c>
      <c r="AP1057" s="852">
        <f t="shared" si="872"/>
        <v>0</v>
      </c>
      <c r="AQ1057" s="852">
        <f t="shared" si="872"/>
        <v>0</v>
      </c>
      <c r="AR1057" s="852">
        <f t="shared" si="872"/>
        <v>0</v>
      </c>
      <c r="AS1057" s="852">
        <f t="shared" si="872"/>
        <v>0</v>
      </c>
    </row>
    <row r="1058" spans="1:45" ht="15" customHeight="1" x14ac:dyDescent="0.3">
      <c r="A1058" s="88"/>
      <c r="B1058" s="88"/>
      <c r="C1058" s="88"/>
      <c r="D1058" s="88"/>
      <c r="E1058" s="88"/>
      <c r="F1058" s="88"/>
      <c r="G1058" s="88"/>
      <c r="H1058" s="88"/>
      <c r="I1058" s="88"/>
      <c r="J1058" s="88"/>
      <c r="K1058" s="88"/>
      <c r="L1058" s="88"/>
      <c r="M1058" s="88"/>
      <c r="N1058" s="88"/>
      <c r="O1058" s="88"/>
      <c r="P1058" s="88"/>
      <c r="Q1058" s="88"/>
      <c r="R1058" s="88"/>
      <c r="S1058" s="88"/>
      <c r="T1058" s="88"/>
      <c r="U1058" s="88"/>
      <c r="V1058" s="88"/>
      <c r="W1058" s="88"/>
      <c r="X1058" s="88"/>
      <c r="Y1058" s="88"/>
      <c r="Z1058" s="88"/>
      <c r="AA1058" s="88"/>
      <c r="AB1058" s="88"/>
      <c r="AC1058" s="88"/>
      <c r="AD1058" s="88"/>
      <c r="AE1058" s="88"/>
      <c r="AF1058" s="88"/>
      <c r="AG1058" s="88"/>
      <c r="AH1058" s="88"/>
      <c r="AI1058" s="88"/>
      <c r="AJ1058" s="88"/>
      <c r="AK1058" s="88"/>
      <c r="AO1058" s="88"/>
      <c r="AP1058" s="88"/>
      <c r="AQ1058" s="88"/>
      <c r="AR1058" s="88"/>
      <c r="AS1058" s="88"/>
    </row>
    <row r="1059" spans="1:45" ht="15" customHeight="1" x14ac:dyDescent="0.3">
      <c r="A1059" s="88"/>
      <c r="B1059" s="969" t="s">
        <v>966</v>
      </c>
      <c r="C1059" s="88"/>
      <c r="D1059" s="88"/>
      <c r="E1059" s="88"/>
      <c r="F1059" s="88"/>
      <c r="G1059" s="88"/>
      <c r="H1059" s="88"/>
      <c r="I1059" s="88"/>
      <c r="J1059" s="88"/>
      <c r="K1059" s="88"/>
      <c r="L1059" s="88"/>
      <c r="M1059" s="88"/>
      <c r="N1059" s="88"/>
      <c r="O1059" s="88"/>
      <c r="P1059" s="88"/>
      <c r="Q1059" s="88"/>
      <c r="R1059" s="88"/>
      <c r="S1059" s="88"/>
      <c r="T1059" s="88"/>
      <c r="U1059" s="88"/>
      <c r="V1059" s="88"/>
      <c r="W1059" s="88"/>
      <c r="X1059" s="88"/>
      <c r="Y1059" s="88"/>
      <c r="Z1059" s="88"/>
      <c r="AA1059" s="88"/>
      <c r="AB1059" s="88"/>
      <c r="AC1059" s="88"/>
      <c r="AD1059" s="88"/>
      <c r="AE1059" s="88"/>
      <c r="AF1059" s="88"/>
      <c r="AG1059" s="88"/>
      <c r="AH1059" s="88"/>
      <c r="AI1059" s="88"/>
      <c r="AJ1059" s="88"/>
      <c r="AK1059" s="88"/>
      <c r="AO1059" s="88"/>
      <c r="AP1059" s="88"/>
      <c r="AQ1059" s="88"/>
      <c r="AR1059" s="88"/>
      <c r="AS1059" s="88"/>
    </row>
    <row r="1060" spans="1:45" ht="15" customHeight="1" x14ac:dyDescent="0.3">
      <c r="A1060" s="88"/>
      <c r="B1060" s="88"/>
      <c r="C1060" s="88"/>
      <c r="D1060" s="88"/>
      <c r="E1060" s="980" t="str">
        <f xml:space="preserve"> Inputs_Con!E$29</f>
        <v xml:space="preserve">Forecast / point forward year </v>
      </c>
      <c r="F1060" s="980">
        <f xml:space="preserve"> Inputs_Con!F$29</f>
        <v>2025</v>
      </c>
      <c r="G1060" s="980" t="str">
        <f xml:space="preserve"> Inputs_Con!G$29</f>
        <v>year</v>
      </c>
      <c r="H1060" s="88"/>
      <c r="I1060" s="88"/>
      <c r="J1060" s="88"/>
      <c r="K1060" s="88"/>
      <c r="L1060" s="88"/>
      <c r="M1060" s="88"/>
      <c r="N1060" s="88"/>
      <c r="O1060" s="88"/>
      <c r="P1060" s="88"/>
      <c r="Q1060" s="88"/>
      <c r="R1060" s="88"/>
      <c r="S1060" s="88"/>
      <c r="T1060" s="88"/>
      <c r="U1060" s="88"/>
      <c r="V1060" s="88"/>
      <c r="W1060" s="88"/>
      <c r="X1060" s="88"/>
      <c r="Y1060" s="88"/>
      <c r="Z1060" s="88"/>
      <c r="AA1060" s="88"/>
      <c r="AB1060" s="88"/>
      <c r="AC1060" s="88"/>
      <c r="AD1060" s="88"/>
      <c r="AE1060" s="88"/>
      <c r="AF1060" s="88"/>
      <c r="AG1060" s="88"/>
      <c r="AH1060" s="88"/>
      <c r="AI1060" s="88"/>
      <c r="AJ1060" s="88"/>
      <c r="AK1060" s="88"/>
      <c r="AO1060" s="88"/>
      <c r="AP1060" s="88"/>
      <c r="AQ1060" s="88"/>
      <c r="AR1060" s="88"/>
      <c r="AS1060" s="88"/>
    </row>
    <row r="1061" spans="1:45" ht="15" customHeight="1" x14ac:dyDescent="0.3">
      <c r="A1061" s="88"/>
      <c r="B1061" s="88"/>
      <c r="C1061" s="88"/>
      <c r="D1061" s="88"/>
      <c r="E1061" s="177" t="str">
        <f xml:space="preserve"> Inputs_Con!E$30</f>
        <v>Focus year for sensitivity analysis</v>
      </c>
      <c r="F1061" s="980">
        <f xml:space="preserve"> Inputs_Con!F$30</f>
        <v>2022</v>
      </c>
      <c r="G1061" s="177" t="str">
        <f xml:space="preserve"> Inputs_Con!G$30</f>
        <v>year</v>
      </c>
      <c r="H1061" s="88"/>
      <c r="I1061" s="88"/>
      <c r="J1061" s="88"/>
      <c r="K1061" s="88"/>
      <c r="L1061" s="88"/>
      <c r="M1061" s="88"/>
      <c r="N1061" s="88"/>
      <c r="O1061" s="88"/>
      <c r="P1061" s="88"/>
      <c r="Q1061" s="88"/>
      <c r="R1061" s="88"/>
      <c r="S1061" s="88"/>
      <c r="T1061" s="88"/>
      <c r="U1061" s="88"/>
      <c r="V1061" s="88"/>
      <c r="W1061" s="88"/>
      <c r="X1061" s="88"/>
      <c r="Y1061" s="88"/>
      <c r="Z1061" s="88"/>
      <c r="AA1061" s="88"/>
      <c r="AB1061" s="88"/>
      <c r="AC1061" s="88"/>
      <c r="AD1061" s="88"/>
      <c r="AE1061" s="88"/>
      <c r="AF1061" s="88"/>
      <c r="AG1061" s="88"/>
      <c r="AH1061" s="88"/>
      <c r="AI1061" s="88"/>
      <c r="AJ1061" s="88"/>
      <c r="AK1061" s="88"/>
      <c r="AO1061" s="88"/>
      <c r="AP1061" s="88"/>
      <c r="AQ1061" s="88"/>
      <c r="AR1061" s="88"/>
      <c r="AS1061" s="88"/>
    </row>
    <row r="1062" spans="1:45" ht="15" customHeight="1" x14ac:dyDescent="0.3">
      <c r="A1062" s="88"/>
      <c r="B1062" s="88"/>
      <c r="C1062" s="88"/>
      <c r="D1062" s="88"/>
      <c r="E1062" s="88"/>
      <c r="F1062" s="88"/>
      <c r="G1062" s="88"/>
      <c r="H1062" s="88"/>
      <c r="I1062" s="88"/>
      <c r="J1062" s="88"/>
      <c r="K1062" s="88"/>
      <c r="L1062" s="88"/>
      <c r="M1062" s="88"/>
      <c r="N1062" s="88"/>
      <c r="O1062" s="88"/>
      <c r="P1062" s="88"/>
      <c r="Q1062" s="88"/>
      <c r="R1062" s="88"/>
      <c r="S1062" s="88"/>
      <c r="T1062" s="88"/>
      <c r="U1062" s="88"/>
      <c r="V1062" s="88"/>
      <c r="W1062" s="88"/>
      <c r="X1062" s="88"/>
      <c r="Y1062" s="88"/>
      <c r="Z1062" s="88"/>
      <c r="AA1062" s="88"/>
      <c r="AB1062" s="88"/>
      <c r="AC1062" s="88"/>
      <c r="AD1062" s="88"/>
      <c r="AE1062" s="88"/>
      <c r="AF1062" s="88"/>
      <c r="AG1062" s="88"/>
      <c r="AH1062" s="88"/>
      <c r="AI1062" s="88"/>
      <c r="AJ1062" s="88"/>
      <c r="AK1062" s="88"/>
      <c r="AO1062" s="88"/>
      <c r="AP1062" s="88"/>
      <c r="AQ1062" s="88"/>
      <c r="AR1062" s="88"/>
      <c r="AS1062" s="88"/>
    </row>
    <row r="1063" spans="1:45" ht="15" customHeight="1" x14ac:dyDescent="0.3">
      <c r="A1063" s="88"/>
      <c r="B1063" s="88"/>
      <c r="C1063" s="88"/>
      <c r="D1063" s="88"/>
      <c r="E1063" s="88"/>
      <c r="F1063" s="88"/>
      <c r="G1063" s="88"/>
      <c r="H1063" s="88"/>
      <c r="I1063" s="88"/>
      <c r="J1063" s="88"/>
      <c r="K1063" s="88"/>
      <c r="L1063" s="88"/>
      <c r="M1063" s="88"/>
      <c r="N1063" s="88"/>
      <c r="O1063" s="88"/>
      <c r="P1063" s="88"/>
      <c r="Q1063" s="88"/>
      <c r="R1063" s="88"/>
      <c r="S1063" s="88"/>
      <c r="T1063" s="88"/>
      <c r="U1063" s="88"/>
      <c r="V1063" s="88"/>
      <c r="W1063" s="88"/>
      <c r="X1063" s="88"/>
      <c r="Y1063" s="88"/>
      <c r="Z1063" s="88"/>
      <c r="AA1063" s="88"/>
      <c r="AB1063" s="88"/>
      <c r="AC1063" s="88"/>
      <c r="AD1063" s="88"/>
      <c r="AE1063" s="88"/>
      <c r="AF1063" s="88"/>
      <c r="AG1063" s="88"/>
      <c r="AH1063" s="88"/>
      <c r="AI1063" s="88"/>
      <c r="AJ1063" s="88"/>
      <c r="AK1063" s="88"/>
      <c r="AO1063" s="88"/>
      <c r="AP1063" s="88"/>
      <c r="AQ1063" s="88"/>
      <c r="AR1063" s="88"/>
      <c r="AS1063" s="88"/>
    </row>
    <row r="1064" spans="1:45" ht="15" customHeight="1" x14ac:dyDescent="0.3">
      <c r="A1064" s="408"/>
      <c r="B1064" s="408"/>
      <c r="C1064" s="408"/>
      <c r="D1064" s="408"/>
      <c r="E1064" s="1051" t="str">
        <f>B1032</f>
        <v>Project cashflows NOMINAL</v>
      </c>
      <c r="F1064" s="408">
        <f>F1061</f>
        <v>2022</v>
      </c>
      <c r="G1064" s="1052" t="str">
        <f xml:space="preserve"> "&gt;= " &amp; F1060</f>
        <v>&gt;= 2025</v>
      </c>
      <c r="H1064" s="408"/>
      <c r="I1064" s="408"/>
      <c r="J1064" s="408"/>
      <c r="K1064" s="408"/>
      <c r="L1064" s="408"/>
      <c r="M1064" s="408"/>
      <c r="N1064" s="408"/>
      <c r="O1064" s="408"/>
      <c r="P1064" s="408"/>
      <c r="Q1064" s="408"/>
      <c r="R1064" s="408"/>
      <c r="S1064" s="408"/>
      <c r="T1064" s="408"/>
      <c r="U1064" s="408"/>
      <c r="V1064" s="408"/>
      <c r="W1064" s="408"/>
      <c r="X1064" s="408"/>
      <c r="Y1064" s="408"/>
      <c r="Z1064" s="408"/>
      <c r="AA1064" s="408"/>
      <c r="AB1064" s="408"/>
      <c r="AC1064" s="408"/>
      <c r="AD1064" s="408"/>
      <c r="AE1064" s="408"/>
      <c r="AF1064" s="408"/>
      <c r="AG1064" s="408"/>
      <c r="AH1064" s="408"/>
      <c r="AI1064" s="408"/>
      <c r="AJ1064" s="408"/>
      <c r="AK1064" s="408"/>
      <c r="AL1064" s="408"/>
      <c r="AM1064" s="408"/>
      <c r="AN1064" s="408"/>
      <c r="AO1064" s="408"/>
      <c r="AP1064" s="408"/>
      <c r="AQ1064" s="408"/>
      <c r="AR1064" s="408"/>
      <c r="AS1064" s="408"/>
    </row>
    <row r="1065" spans="1:45" ht="15" customHeight="1" x14ac:dyDescent="0.3">
      <c r="A1065" s="736"/>
      <c r="B1065" s="736"/>
      <c r="C1065" s="737"/>
      <c r="D1065" s="738"/>
      <c r="E1065" s="738"/>
      <c r="F1065" s="738"/>
      <c r="G1065" s="738"/>
      <c r="H1065" s="738"/>
      <c r="I1065" s="408"/>
      <c r="J1065" s="408"/>
      <c r="K1065" s="408"/>
      <c r="L1065" s="408"/>
      <c r="M1065" s="408"/>
      <c r="N1065" s="408"/>
      <c r="O1065" s="408"/>
      <c r="P1065" s="408"/>
      <c r="Q1065" s="408"/>
      <c r="R1065" s="408"/>
      <c r="S1065" s="408"/>
      <c r="T1065" s="408"/>
      <c r="U1065" s="408"/>
      <c r="V1065" s="408"/>
      <c r="W1065" s="408"/>
      <c r="X1065" s="408"/>
      <c r="Y1065" s="408"/>
      <c r="Z1065" s="408"/>
      <c r="AA1065" s="408"/>
      <c r="AB1065" s="408"/>
      <c r="AC1065" s="408"/>
      <c r="AD1065" s="408"/>
      <c r="AE1065" s="408"/>
      <c r="AF1065" s="408"/>
      <c r="AG1065" s="408"/>
      <c r="AH1065" s="408"/>
      <c r="AI1065" s="408"/>
      <c r="AJ1065" s="408"/>
      <c r="AK1065" s="408"/>
      <c r="AL1065" s="408"/>
      <c r="AM1065" s="408"/>
      <c r="AN1065" s="408"/>
      <c r="AO1065" s="408"/>
      <c r="AP1065" s="408"/>
      <c r="AQ1065" s="408"/>
      <c r="AR1065" s="408"/>
      <c r="AS1065" s="408"/>
    </row>
    <row r="1066" spans="1:45" ht="15" customHeight="1" x14ac:dyDescent="0.3">
      <c r="A1066" s="408"/>
      <c r="B1066" s="408"/>
      <c r="C1066" s="408"/>
      <c r="D1066" s="408"/>
      <c r="E1066" s="408" t="str">
        <f xml:space="preserve"> E1035</f>
        <v>Copper production incl Sens.</v>
      </c>
      <c r="F1066" s="408" cm="1">
        <f t="array" ref="F1066" xml:space="preserve"> INDEX(K1035:AV1035, , MATCH($F$1061, K$1033:AV$1033, 0))</f>
        <v>147.09399999999999</v>
      </c>
      <c r="G1066" s="408">
        <f xml:space="preserve"> SUMIFS(K1035:AV1035, K$1033:AV$1033, "&gt;=" &amp; F$1060)</f>
        <v>770.03049999999996</v>
      </c>
      <c r="H1066" s="408" t="str">
        <f xml:space="preserve"> G1035</f>
        <v>KT Cu</v>
      </c>
      <c r="I1066" s="408"/>
      <c r="J1066" s="408"/>
      <c r="K1066" s="408"/>
      <c r="L1066" s="408"/>
      <c r="M1066" s="408"/>
      <c r="N1066" s="408"/>
      <c r="O1066" s="408"/>
      <c r="P1066" s="408"/>
      <c r="Q1066" s="408"/>
      <c r="R1066" s="408"/>
      <c r="S1066" s="408"/>
      <c r="T1066" s="408"/>
      <c r="U1066" s="408"/>
      <c r="V1066" s="408"/>
      <c r="W1066" s="408"/>
      <c r="X1066" s="408"/>
      <c r="Y1066" s="408"/>
      <c r="Z1066" s="408"/>
      <c r="AA1066" s="408"/>
      <c r="AB1066" s="408"/>
      <c r="AC1066" s="408"/>
      <c r="AD1066" s="408"/>
      <c r="AE1066" s="408"/>
      <c r="AF1066" s="408"/>
      <c r="AG1066" s="408"/>
      <c r="AH1066" s="408"/>
      <c r="AI1066" s="408"/>
      <c r="AJ1066" s="408"/>
      <c r="AK1066" s="408"/>
      <c r="AL1066" s="408"/>
      <c r="AM1066" s="408"/>
      <c r="AN1066" s="408"/>
      <c r="AO1066" s="408"/>
      <c r="AP1066" s="408"/>
      <c r="AQ1066" s="408"/>
      <c r="AR1066" s="408"/>
      <c r="AS1066" s="408"/>
    </row>
    <row r="1067" spans="1:45" ht="15" customHeight="1" x14ac:dyDescent="0.3">
      <c r="A1067" s="408"/>
      <c r="B1067" s="408"/>
      <c r="C1067" s="408"/>
      <c r="D1067" s="408"/>
      <c r="E1067" s="408" t="str">
        <f xml:space="preserve"> E1036</f>
        <v>Cobalt production incl Sens.</v>
      </c>
      <c r="F1067" s="408" cm="1">
        <f t="array" ref="F1067" xml:space="preserve"> INDEX(K1036:AV1036, , MATCH($F$1061, K$1033:AV$1033, 0))</f>
        <v>2.5061800000000001</v>
      </c>
      <c r="G1067" s="408">
        <f xml:space="preserve"> SUMIFS(K1036:AV1036, K$1033:AV$1033, "&gt;=" &amp; F$1060)</f>
        <v>12.494162857142857</v>
      </c>
      <c r="H1067" s="408" t="str">
        <f xml:space="preserve"> G1036</f>
        <v>KT Co</v>
      </c>
      <c r="I1067" s="408"/>
      <c r="J1067" s="408"/>
      <c r="K1067" s="408"/>
      <c r="L1067" s="408"/>
      <c r="M1067" s="408"/>
      <c r="N1067" s="408"/>
      <c r="O1067" s="408"/>
      <c r="P1067" s="408"/>
      <c r="Q1067" s="408"/>
      <c r="R1067" s="408"/>
      <c r="S1067" s="408"/>
      <c r="T1067" s="408"/>
      <c r="U1067" s="408"/>
      <c r="V1067" s="408"/>
      <c r="W1067" s="408"/>
      <c r="X1067" s="408"/>
      <c r="Y1067" s="408"/>
      <c r="Z1067" s="408"/>
      <c r="AA1067" s="408"/>
      <c r="AB1067" s="408"/>
      <c r="AC1067" s="408"/>
      <c r="AD1067" s="408"/>
      <c r="AE1067" s="408"/>
      <c r="AF1067" s="408"/>
      <c r="AG1067" s="408"/>
      <c r="AH1067" s="408"/>
      <c r="AI1067" s="408"/>
      <c r="AJ1067" s="408"/>
      <c r="AK1067" s="408"/>
      <c r="AL1067" s="408"/>
      <c r="AM1067" s="408"/>
      <c r="AN1067" s="408"/>
      <c r="AO1067" s="408"/>
      <c r="AP1067" s="408"/>
      <c r="AQ1067" s="408"/>
      <c r="AR1067" s="408"/>
      <c r="AS1067" s="408"/>
    </row>
    <row r="1068" spans="1:45" ht="15" customHeight="1" x14ac:dyDescent="0.3">
      <c r="A1068" s="408"/>
      <c r="B1068" s="408"/>
      <c r="C1068" s="408"/>
      <c r="D1068" s="408"/>
      <c r="E1068" s="408"/>
      <c r="F1068" s="408"/>
      <c r="G1068" s="408"/>
      <c r="H1068" s="408"/>
      <c r="I1068" s="408"/>
      <c r="J1068" s="408"/>
      <c r="K1068" s="408"/>
      <c r="L1068" s="408"/>
      <c r="M1068" s="408"/>
      <c r="N1068" s="408"/>
      <c r="O1068" s="408"/>
      <c r="P1068" s="408"/>
      <c r="Q1068" s="408"/>
      <c r="R1068" s="408"/>
      <c r="S1068" s="408"/>
      <c r="T1068" s="408"/>
      <c r="U1068" s="408"/>
      <c r="V1068" s="408"/>
      <c r="W1068" s="408"/>
      <c r="X1068" s="408"/>
      <c r="Y1068" s="408"/>
      <c r="Z1068" s="408"/>
      <c r="AA1068" s="408"/>
      <c r="AB1068" s="408"/>
      <c r="AC1068" s="408"/>
      <c r="AD1068" s="408"/>
      <c r="AE1068" s="408"/>
      <c r="AF1068" s="408"/>
      <c r="AG1068" s="408"/>
      <c r="AH1068" s="408"/>
      <c r="AI1068" s="408"/>
      <c r="AJ1068" s="408"/>
      <c r="AK1068" s="408"/>
      <c r="AL1068" s="408"/>
      <c r="AM1068" s="408"/>
      <c r="AN1068" s="408"/>
      <c r="AO1068" s="408"/>
      <c r="AP1068" s="408"/>
      <c r="AQ1068" s="408"/>
      <c r="AR1068" s="408"/>
      <c r="AS1068" s="408"/>
    </row>
    <row r="1069" spans="1:45" ht="15" customHeight="1" x14ac:dyDescent="0.3">
      <c r="A1069" s="408"/>
      <c r="B1069" s="408"/>
      <c r="C1069" s="408"/>
      <c r="D1069" s="408"/>
      <c r="E1069" s="408" t="str">
        <f xml:space="preserve"> E1039</f>
        <v>Copper gross revenue</v>
      </c>
      <c r="F1069" s="408" cm="1">
        <f t="array" ref="F1069" xml:space="preserve"> INDEX(K1039:AV1039, , MATCH($F$1061, K$1033:AV$1033, 0))</f>
        <v>938.45274099999995</v>
      </c>
      <c r="G1069" s="408">
        <f xml:space="preserve"> SUMIFS(K1039:AV1039, K$1033:AV$1033, "&gt;=" &amp; F$1060)</f>
        <v>6407.5023535756927</v>
      </c>
      <c r="H1069" s="408" t="str">
        <f xml:space="preserve"> G1039</f>
        <v>$ mn</v>
      </c>
      <c r="I1069" s="408"/>
      <c r="J1069" s="408"/>
      <c r="K1069" s="408"/>
      <c r="L1069" s="408"/>
      <c r="M1069" s="408"/>
      <c r="N1069" s="408"/>
      <c r="O1069" s="408"/>
      <c r="P1069" s="408"/>
      <c r="Q1069" s="408"/>
      <c r="R1069" s="408"/>
      <c r="S1069" s="408"/>
      <c r="T1069" s="408"/>
      <c r="U1069" s="408"/>
      <c r="V1069" s="408"/>
      <c r="W1069" s="408"/>
      <c r="X1069" s="408"/>
      <c r="Y1069" s="408"/>
      <c r="Z1069" s="408"/>
      <c r="AA1069" s="408"/>
      <c r="AB1069" s="408"/>
      <c r="AC1069" s="408"/>
      <c r="AD1069" s="408"/>
      <c r="AE1069" s="408"/>
      <c r="AF1069" s="408"/>
      <c r="AG1069" s="408"/>
      <c r="AH1069" s="408"/>
      <c r="AI1069" s="408"/>
      <c r="AJ1069" s="408"/>
      <c r="AK1069" s="408"/>
      <c r="AL1069" s="408"/>
      <c r="AM1069" s="408"/>
      <c r="AN1069" s="408"/>
      <c r="AO1069" s="408"/>
      <c r="AP1069" s="408"/>
      <c r="AQ1069" s="408"/>
      <c r="AR1069" s="408"/>
      <c r="AS1069" s="408"/>
    </row>
    <row r="1070" spans="1:45" ht="15" customHeight="1" x14ac:dyDescent="0.3">
      <c r="A1070" s="408"/>
      <c r="B1070" s="408"/>
      <c r="C1070" s="408"/>
      <c r="D1070" s="408"/>
      <c r="E1070" s="408" t="str">
        <f xml:space="preserve"> E1040</f>
        <v>Cobalt gross revenue</v>
      </c>
      <c r="F1070" s="408" cm="1">
        <f t="array" ref="F1070" xml:space="preserve"> INDEX(K1040:AV1040, , MATCH($F$1061, K$1033:AV$1033, 0))</f>
        <v>104.42579902523998</v>
      </c>
      <c r="G1070" s="408">
        <f xml:space="preserve"> SUMIFS(K1040:AV1040, K$1033:AV$1033, "&gt;=" &amp; F$1060)</f>
        <v>327.94017984808022</v>
      </c>
      <c r="H1070" s="408" t="str">
        <f xml:space="preserve"> G1040</f>
        <v>$ mn</v>
      </c>
      <c r="I1070" s="408"/>
      <c r="J1070" s="408"/>
      <c r="K1070" s="408"/>
      <c r="L1070" s="408"/>
      <c r="M1070" s="408"/>
      <c r="N1070" s="408"/>
      <c r="O1070" s="408"/>
      <c r="P1070" s="408"/>
      <c r="Q1070" s="408"/>
      <c r="R1070" s="408"/>
      <c r="S1070" s="408"/>
      <c r="T1070" s="408"/>
      <c r="U1070" s="408"/>
      <c r="V1070" s="408"/>
      <c r="W1070" s="408"/>
      <c r="X1070" s="408"/>
      <c r="Y1070" s="408"/>
      <c r="Z1070" s="408"/>
      <c r="AA1070" s="408"/>
      <c r="AB1070" s="408"/>
      <c r="AC1070" s="408"/>
      <c r="AD1070" s="408"/>
      <c r="AE1070" s="408"/>
      <c r="AF1070" s="408"/>
      <c r="AG1070" s="408"/>
      <c r="AH1070" s="408"/>
      <c r="AI1070" s="408"/>
      <c r="AJ1070" s="408"/>
      <c r="AK1070" s="408"/>
      <c r="AL1070" s="408"/>
      <c r="AM1070" s="408"/>
      <c r="AN1070" s="408"/>
      <c r="AO1070" s="408"/>
      <c r="AP1070" s="408"/>
      <c r="AQ1070" s="408"/>
      <c r="AR1070" s="408"/>
      <c r="AS1070" s="408"/>
    </row>
    <row r="1071" spans="1:45" ht="15" customHeight="1" x14ac:dyDescent="0.3">
      <c r="A1071" s="408"/>
      <c r="B1071" s="408"/>
      <c r="C1071" s="408"/>
      <c r="D1071" s="408"/>
      <c r="E1071" s="408" t="str">
        <f xml:space="preserve"> E1041</f>
        <v>Total gross revenue</v>
      </c>
      <c r="F1071" s="408" cm="1">
        <f t="array" ref="F1071" xml:space="preserve"> INDEX(K1041:AV1041, , MATCH($F$1061, K$1033:AV$1033, 0))</f>
        <v>1042.87854002524</v>
      </c>
      <c r="G1071" s="408">
        <f xml:space="preserve"> SUMIFS(K1041:AV1041, K$1033:AV$1033, "&gt;=" &amp; F$1060)</f>
        <v>6735.4425334237731</v>
      </c>
      <c r="H1071" s="408" t="str">
        <f xml:space="preserve"> G1041</f>
        <v>$ mn</v>
      </c>
      <c r="I1071" s="408"/>
      <c r="J1071" s="408"/>
      <c r="K1071" s="408"/>
      <c r="L1071" s="408"/>
      <c r="M1071" s="408"/>
      <c r="N1071" s="408"/>
      <c r="O1071" s="408"/>
      <c r="P1071" s="408"/>
      <c r="Q1071" s="408"/>
      <c r="R1071" s="408"/>
      <c r="S1071" s="408"/>
      <c r="T1071" s="408"/>
      <c r="U1071" s="408"/>
      <c r="V1071" s="408"/>
      <c r="W1071" s="408"/>
      <c r="X1071" s="408"/>
      <c r="Y1071" s="408"/>
      <c r="Z1071" s="408"/>
      <c r="AA1071" s="408"/>
      <c r="AB1071" s="408"/>
      <c r="AC1071" s="408"/>
      <c r="AD1071" s="408"/>
      <c r="AE1071" s="408"/>
      <c r="AF1071" s="408"/>
      <c r="AG1071" s="408"/>
      <c r="AH1071" s="408"/>
      <c r="AI1071" s="408"/>
      <c r="AJ1071" s="408"/>
      <c r="AK1071" s="408"/>
      <c r="AL1071" s="408"/>
      <c r="AM1071" s="408"/>
      <c r="AN1071" s="408"/>
      <c r="AO1071" s="408"/>
      <c r="AP1071" s="408"/>
      <c r="AQ1071" s="408"/>
      <c r="AR1071" s="408"/>
      <c r="AS1071" s="408"/>
    </row>
    <row r="1072" spans="1:45" ht="15" customHeight="1" x14ac:dyDescent="0.3">
      <c r="A1072" s="408"/>
      <c r="B1072" s="408"/>
      <c r="C1072" s="408"/>
      <c r="D1072" s="408"/>
      <c r="E1072" s="408"/>
      <c r="F1072" s="408"/>
      <c r="G1072" s="408"/>
      <c r="H1072" s="408"/>
      <c r="I1072" s="408"/>
      <c r="J1072" s="408"/>
      <c r="K1072" s="408"/>
      <c r="L1072" s="408"/>
      <c r="M1072" s="408"/>
      <c r="N1072" s="408"/>
      <c r="O1072" s="408"/>
      <c r="P1072" s="408"/>
      <c r="Q1072" s="408"/>
      <c r="R1072" s="408"/>
      <c r="S1072" s="408"/>
      <c r="T1072" s="408"/>
      <c r="U1072" s="408"/>
      <c r="V1072" s="408"/>
      <c r="W1072" s="408"/>
      <c r="X1072" s="408"/>
      <c r="Y1072" s="408"/>
      <c r="Z1072" s="408"/>
      <c r="AA1072" s="408"/>
      <c r="AB1072" s="408"/>
      <c r="AC1072" s="408"/>
      <c r="AD1072" s="408"/>
      <c r="AE1072" s="408"/>
      <c r="AF1072" s="408"/>
      <c r="AG1072" s="408"/>
      <c r="AH1072" s="408"/>
      <c r="AI1072" s="408"/>
      <c r="AJ1072" s="408"/>
      <c r="AK1072" s="408"/>
      <c r="AL1072" s="408"/>
      <c r="AM1072" s="408"/>
      <c r="AN1072" s="408"/>
      <c r="AO1072" s="408"/>
      <c r="AP1072" s="408"/>
      <c r="AQ1072" s="408"/>
      <c r="AR1072" s="408"/>
      <c r="AS1072" s="408"/>
    </row>
    <row r="1073" spans="1:45" ht="15" customHeight="1" x14ac:dyDescent="0.3">
      <c r="A1073" s="408"/>
      <c r="B1073" s="408"/>
      <c r="C1073" s="408"/>
      <c r="D1073" s="408"/>
      <c r="E1073" s="408" t="str">
        <f xml:space="preserve"> E1043</f>
        <v>Selling costs</v>
      </c>
      <c r="F1073" s="408" cm="1">
        <f t="array" ref="F1073" xml:space="preserve"> INDEX(K1043:AV1043, , MATCH($F$1061, K$1033:AV$1033, 0))</f>
        <v>0</v>
      </c>
      <c r="G1073" s="408">
        <f xml:space="preserve"> SUMIFS(K1043:AV1043, K$1033:AV$1033, "&gt;=" &amp; F$1060)</f>
        <v>0</v>
      </c>
      <c r="H1073" s="408" t="str">
        <f xml:space="preserve"> G1043</f>
        <v>$ mn</v>
      </c>
      <c r="I1073" s="408"/>
      <c r="J1073" s="408"/>
      <c r="K1073" s="408"/>
      <c r="L1073" s="408"/>
      <c r="M1073" s="408"/>
      <c r="N1073" s="408"/>
      <c r="O1073" s="408"/>
      <c r="P1073" s="408"/>
      <c r="Q1073" s="408"/>
      <c r="R1073" s="408"/>
      <c r="S1073" s="408"/>
      <c r="T1073" s="408"/>
      <c r="U1073" s="408"/>
      <c r="V1073" s="408"/>
      <c r="W1073" s="408"/>
      <c r="X1073" s="408"/>
      <c r="Y1073" s="408"/>
      <c r="Z1073" s="408"/>
      <c r="AA1073" s="408"/>
      <c r="AB1073" s="408"/>
      <c r="AC1073" s="408"/>
      <c r="AD1073" s="408"/>
      <c r="AE1073" s="408"/>
      <c r="AF1073" s="408"/>
      <c r="AG1073" s="408"/>
      <c r="AH1073" s="408"/>
      <c r="AI1073" s="408"/>
      <c r="AJ1073" s="408"/>
      <c r="AK1073" s="408"/>
      <c r="AL1073" s="408"/>
      <c r="AM1073" s="408"/>
      <c r="AN1073" s="408"/>
      <c r="AO1073" s="408"/>
      <c r="AP1073" s="408"/>
      <c r="AQ1073" s="408"/>
      <c r="AR1073" s="408"/>
      <c r="AS1073" s="408"/>
    </row>
    <row r="1074" spans="1:45" ht="15" customHeight="1" x14ac:dyDescent="0.3">
      <c r="A1074" s="408"/>
      <c r="B1074" s="408"/>
      <c r="C1074" s="408"/>
      <c r="D1074" s="408"/>
      <c r="E1074" s="408"/>
      <c r="F1074" s="408"/>
      <c r="G1074" s="408"/>
      <c r="H1074" s="408"/>
      <c r="I1074" s="408"/>
      <c r="J1074" s="408"/>
      <c r="K1074" s="408"/>
      <c r="L1074" s="408"/>
      <c r="M1074" s="408"/>
      <c r="N1074" s="408"/>
      <c r="O1074" s="408"/>
      <c r="P1074" s="408"/>
      <c r="Q1074" s="408"/>
      <c r="R1074" s="408"/>
      <c r="S1074" s="408"/>
      <c r="T1074" s="408"/>
      <c r="U1074" s="408"/>
      <c r="V1074" s="408"/>
      <c r="W1074" s="408"/>
      <c r="X1074" s="408"/>
      <c r="Y1074" s="408"/>
      <c r="Z1074" s="408"/>
      <c r="AA1074" s="408"/>
      <c r="AB1074" s="408"/>
      <c r="AC1074" s="408"/>
      <c r="AD1074" s="408"/>
      <c r="AE1074" s="408"/>
      <c r="AF1074" s="408"/>
      <c r="AG1074" s="408"/>
      <c r="AH1074" s="408"/>
      <c r="AI1074" s="408"/>
      <c r="AJ1074" s="408"/>
      <c r="AK1074" s="408"/>
      <c r="AL1074" s="408"/>
      <c r="AM1074" s="408"/>
      <c r="AN1074" s="408"/>
      <c r="AO1074" s="408"/>
      <c r="AP1074" s="408"/>
      <c r="AQ1074" s="408"/>
      <c r="AR1074" s="408"/>
      <c r="AS1074" s="408"/>
    </row>
    <row r="1075" spans="1:45" ht="15" customHeight="1" x14ac:dyDescent="0.3">
      <c r="A1075" s="408"/>
      <c r="B1075" s="408"/>
      <c r="C1075" s="408"/>
      <c r="D1075" s="408"/>
      <c r="E1075" s="408" t="str">
        <f t="shared" ref="E1075:E1077" si="873" xml:space="preserve"> E1045</f>
        <v>Copper net revenue</v>
      </c>
      <c r="F1075" s="408" cm="1">
        <f t="array" ref="F1075" xml:space="preserve"> INDEX(K1045:AV1045, , MATCH($F$1061, K$1033:AV$1033, 0))</f>
        <v>938.45274099999995</v>
      </c>
      <c r="G1075" s="408">
        <f t="shared" ref="G1075:G1077" si="874" xml:space="preserve"> SUMIFS(K1045:AV1045, K$1033:AV$1033, "&gt;=" &amp; F$1060)</f>
        <v>6407.5023535756927</v>
      </c>
      <c r="H1075" s="408" t="str">
        <f t="shared" ref="H1075:H1077" si="875" xml:space="preserve"> G1045</f>
        <v>$ mn</v>
      </c>
      <c r="I1075" s="408"/>
      <c r="J1075" s="408"/>
      <c r="K1075" s="408"/>
      <c r="L1075" s="408"/>
      <c r="M1075" s="408"/>
      <c r="N1075" s="408"/>
      <c r="O1075" s="408"/>
      <c r="P1075" s="408"/>
      <c r="Q1075" s="408"/>
      <c r="R1075" s="408"/>
      <c r="S1075" s="408"/>
      <c r="T1075" s="408"/>
      <c r="U1075" s="408"/>
      <c r="V1075" s="408"/>
      <c r="W1075" s="408"/>
      <c r="X1075" s="408"/>
      <c r="Y1075" s="408"/>
      <c r="Z1075" s="408"/>
      <c r="AA1075" s="408"/>
      <c r="AB1075" s="408"/>
      <c r="AC1075" s="408"/>
      <c r="AD1075" s="408"/>
      <c r="AE1075" s="408"/>
      <c r="AF1075" s="408"/>
      <c r="AG1075" s="408"/>
      <c r="AH1075" s="408"/>
      <c r="AI1075" s="408"/>
      <c r="AJ1075" s="408"/>
      <c r="AK1075" s="408"/>
      <c r="AL1075" s="408"/>
      <c r="AM1075" s="408"/>
      <c r="AN1075" s="408"/>
      <c r="AO1075" s="408"/>
      <c r="AP1075" s="408"/>
      <c r="AQ1075" s="408"/>
      <c r="AR1075" s="408"/>
      <c r="AS1075" s="408"/>
    </row>
    <row r="1076" spans="1:45" ht="15" customHeight="1" x14ac:dyDescent="0.3">
      <c r="A1076" s="408"/>
      <c r="B1076" s="408"/>
      <c r="C1076" s="408"/>
      <c r="D1076" s="408"/>
      <c r="E1076" s="408" t="str">
        <f t="shared" si="873"/>
        <v>Cobalt net revenue</v>
      </c>
      <c r="F1076" s="408" cm="1">
        <f t="array" ref="F1076" xml:space="preserve"> INDEX(K1046:AV1046, , MATCH($F$1061, K$1033:AV$1033, 0))</f>
        <v>104.42579902523998</v>
      </c>
      <c r="G1076" s="408">
        <f t="shared" si="874"/>
        <v>327.94017984808022</v>
      </c>
      <c r="H1076" s="408" t="str">
        <f t="shared" si="875"/>
        <v>$ mn</v>
      </c>
      <c r="I1076" s="408"/>
      <c r="J1076" s="408"/>
      <c r="K1076" s="408"/>
      <c r="L1076" s="408"/>
      <c r="M1076" s="408"/>
      <c r="N1076" s="408"/>
      <c r="O1076" s="408"/>
      <c r="P1076" s="408"/>
      <c r="Q1076" s="408"/>
      <c r="R1076" s="408"/>
      <c r="S1076" s="408"/>
      <c r="T1076" s="408"/>
      <c r="U1076" s="408"/>
      <c r="V1076" s="408"/>
      <c r="W1076" s="408"/>
      <c r="X1076" s="408"/>
      <c r="Y1076" s="408"/>
      <c r="Z1076" s="408"/>
      <c r="AA1076" s="408"/>
      <c r="AB1076" s="408"/>
      <c r="AC1076" s="408"/>
      <c r="AD1076" s="408"/>
      <c r="AE1076" s="408"/>
      <c r="AF1076" s="408"/>
      <c r="AG1076" s="408"/>
      <c r="AH1076" s="408"/>
      <c r="AI1076" s="408"/>
      <c r="AJ1076" s="408"/>
      <c r="AK1076" s="408"/>
      <c r="AL1076" s="408"/>
      <c r="AM1076" s="408"/>
      <c r="AN1076" s="408"/>
      <c r="AO1076" s="408"/>
      <c r="AP1076" s="408"/>
      <c r="AQ1076" s="408"/>
      <c r="AR1076" s="408"/>
      <c r="AS1076" s="408"/>
    </row>
    <row r="1077" spans="1:45" ht="15" customHeight="1" x14ac:dyDescent="0.3">
      <c r="A1077" s="408"/>
      <c r="B1077" s="408"/>
      <c r="C1077" s="408"/>
      <c r="D1077" s="408"/>
      <c r="E1077" s="408" t="str">
        <f t="shared" si="873"/>
        <v>Total net revenue</v>
      </c>
      <c r="F1077" s="408" cm="1">
        <f t="array" ref="F1077" xml:space="preserve"> INDEX(K1047:AV1047, , MATCH($F$1061, K$1033:AV$1033, 0))</f>
        <v>1042.87854002524</v>
      </c>
      <c r="G1077" s="408">
        <f t="shared" si="874"/>
        <v>6735.4425334237731</v>
      </c>
      <c r="H1077" s="408" t="str">
        <f t="shared" si="875"/>
        <v>$ mn</v>
      </c>
      <c r="I1077" s="408"/>
      <c r="J1077" s="408"/>
      <c r="K1077" s="408"/>
      <c r="L1077" s="408"/>
      <c r="M1077" s="408"/>
      <c r="N1077" s="408"/>
      <c r="O1077" s="408"/>
      <c r="P1077" s="408"/>
      <c r="Q1077" s="408"/>
      <c r="R1077" s="408"/>
      <c r="S1077" s="408"/>
      <c r="T1077" s="408"/>
      <c r="U1077" s="408"/>
      <c r="V1077" s="408"/>
      <c r="W1077" s="408"/>
      <c r="X1077" s="408"/>
      <c r="Y1077" s="408"/>
      <c r="Z1077" s="408"/>
      <c r="AA1077" s="408"/>
      <c r="AB1077" s="408"/>
      <c r="AC1077" s="408"/>
      <c r="AD1077" s="408"/>
      <c r="AE1077" s="408"/>
      <c r="AF1077" s="408"/>
      <c r="AG1077" s="408"/>
      <c r="AH1077" s="408"/>
      <c r="AI1077" s="408"/>
      <c r="AJ1077" s="408"/>
      <c r="AK1077" s="408"/>
      <c r="AL1077" s="408"/>
      <c r="AM1077" s="408"/>
      <c r="AN1077" s="408"/>
      <c r="AO1077" s="408"/>
      <c r="AP1077" s="408"/>
      <c r="AQ1077" s="408"/>
      <c r="AR1077" s="408"/>
      <c r="AS1077" s="408"/>
    </row>
    <row r="1078" spans="1:45" ht="15" customHeight="1" x14ac:dyDescent="0.3">
      <c r="A1078" s="408"/>
      <c r="B1078" s="408"/>
      <c r="C1078" s="408"/>
      <c r="D1078" s="408"/>
      <c r="E1078" s="408"/>
      <c r="F1078" s="408"/>
      <c r="G1078" s="408"/>
      <c r="H1078" s="408"/>
      <c r="I1078" s="408"/>
      <c r="J1078" s="408"/>
      <c r="K1078" s="408"/>
      <c r="L1078" s="408"/>
      <c r="M1078" s="408"/>
      <c r="N1078" s="408"/>
      <c r="O1078" s="408"/>
      <c r="P1078" s="408"/>
      <c r="Q1078" s="408"/>
      <c r="R1078" s="408"/>
      <c r="S1078" s="408"/>
      <c r="T1078" s="408"/>
      <c r="U1078" s="408"/>
      <c r="V1078" s="408"/>
      <c r="W1078" s="408"/>
      <c r="X1078" s="408"/>
      <c r="Y1078" s="408"/>
      <c r="Z1078" s="408"/>
      <c r="AA1078" s="408"/>
      <c r="AB1078" s="408"/>
      <c r="AC1078" s="408"/>
      <c r="AD1078" s="408"/>
      <c r="AE1078" s="408"/>
      <c r="AF1078" s="408"/>
      <c r="AG1078" s="408"/>
      <c r="AH1078" s="408"/>
      <c r="AI1078" s="408"/>
      <c r="AJ1078" s="408"/>
      <c r="AK1078" s="408"/>
      <c r="AL1078" s="408"/>
      <c r="AM1078" s="408"/>
      <c r="AN1078" s="408"/>
      <c r="AO1078" s="408"/>
      <c r="AP1078" s="408"/>
      <c r="AQ1078" s="408"/>
      <c r="AR1078" s="408"/>
      <c r="AS1078" s="408"/>
    </row>
    <row r="1079" spans="1:45" ht="15" customHeight="1" x14ac:dyDescent="0.3">
      <c r="A1079" s="408"/>
      <c r="B1079" s="408"/>
      <c r="C1079" s="408"/>
      <c r="D1079" s="408"/>
      <c r="E1079" s="408"/>
      <c r="F1079" s="408"/>
      <c r="G1079" s="408"/>
      <c r="H1079" s="408"/>
      <c r="I1079" s="408"/>
      <c r="J1079" s="408"/>
      <c r="K1079" s="408"/>
      <c r="L1079" s="408"/>
      <c r="M1079" s="408"/>
      <c r="N1079" s="408"/>
      <c r="O1079" s="408"/>
      <c r="P1079" s="408"/>
      <c r="Q1079" s="408"/>
      <c r="R1079" s="408"/>
      <c r="S1079" s="408"/>
      <c r="T1079" s="408"/>
      <c r="U1079" s="408"/>
      <c r="V1079" s="408"/>
      <c r="W1079" s="408"/>
      <c r="X1079" s="408"/>
      <c r="Y1079" s="408"/>
      <c r="Z1079" s="408"/>
      <c r="AA1079" s="408"/>
      <c r="AB1079" s="408"/>
      <c r="AC1079" s="408"/>
      <c r="AD1079" s="408"/>
      <c r="AE1079" s="408"/>
      <c r="AF1079" s="408"/>
      <c r="AG1079" s="408"/>
      <c r="AH1079" s="408"/>
      <c r="AI1079" s="408"/>
      <c r="AJ1079" s="408"/>
      <c r="AK1079" s="408"/>
      <c r="AL1079" s="408"/>
      <c r="AM1079" s="408"/>
      <c r="AN1079" s="408"/>
      <c r="AO1079" s="408"/>
      <c r="AP1079" s="408"/>
      <c r="AQ1079" s="408"/>
      <c r="AR1079" s="408"/>
      <c r="AS1079" s="408"/>
    </row>
    <row r="1080" spans="1:45" ht="15" customHeight="1" x14ac:dyDescent="0.3">
      <c r="A1080" s="408"/>
      <c r="B1080" s="408"/>
      <c r="C1080" s="408"/>
      <c r="D1080" s="408"/>
      <c r="E1080" s="408" t="str">
        <f t="shared" ref="E1080:E1082" si="876" xml:space="preserve"> E1050</f>
        <v>Operating costs, including Sens.</v>
      </c>
      <c r="F1080" s="408" cm="1">
        <f t="array" ref="F1080" xml:space="preserve"> INDEX(K1050:AV1050, , MATCH($F$1061, K$1033:AV$1033, 0))</f>
        <v>521.23181416247598</v>
      </c>
      <c r="G1080" s="408">
        <f t="shared" ref="G1080:G1082" si="877" xml:space="preserve"> SUMIFS(K1050:AV1050, K$1033:AV$1033, "&gt;=" &amp; F$1060)</f>
        <v>4000.4893766404239</v>
      </c>
      <c r="H1080" s="408" t="str">
        <f t="shared" ref="H1080:H1082" si="878" xml:space="preserve"> G1050</f>
        <v>$ mn</v>
      </c>
      <c r="I1080" s="408"/>
      <c r="J1080" s="408"/>
      <c r="K1080" s="408"/>
      <c r="L1080" s="408"/>
      <c r="M1080" s="408"/>
      <c r="N1080" s="408"/>
      <c r="O1080" s="408"/>
      <c r="P1080" s="408"/>
      <c r="Q1080" s="408"/>
      <c r="R1080" s="408"/>
      <c r="S1080" s="408"/>
      <c r="T1080" s="408"/>
      <c r="U1080" s="408"/>
      <c r="V1080" s="408"/>
      <c r="W1080" s="408"/>
      <c r="X1080" s="408"/>
      <c r="Y1080" s="408"/>
      <c r="Z1080" s="408"/>
      <c r="AA1080" s="408"/>
      <c r="AB1080" s="408"/>
      <c r="AC1080" s="408"/>
      <c r="AD1080" s="408"/>
      <c r="AE1080" s="408"/>
      <c r="AF1080" s="408"/>
      <c r="AG1080" s="408"/>
      <c r="AH1080" s="408"/>
      <c r="AI1080" s="408"/>
      <c r="AJ1080" s="408"/>
      <c r="AK1080" s="408"/>
      <c r="AL1080" s="408"/>
      <c r="AM1080" s="408"/>
      <c r="AN1080" s="408"/>
      <c r="AO1080" s="408"/>
      <c r="AP1080" s="408"/>
      <c r="AQ1080" s="408"/>
      <c r="AR1080" s="408"/>
      <c r="AS1080" s="408"/>
    </row>
    <row r="1081" spans="1:45" ht="15" customHeight="1" x14ac:dyDescent="0.3">
      <c r="A1081" s="408"/>
      <c r="B1081" s="408"/>
      <c r="C1081" s="408"/>
      <c r="D1081" s="408"/>
      <c r="E1081" s="408" t="str">
        <f t="shared" si="876"/>
        <v>Capital costs, including Sens.</v>
      </c>
      <c r="F1081" s="408" cm="1">
        <f t="array" ref="F1081" xml:space="preserve"> INDEX(K1051:AV1051, , MATCH($F$1061, K$1033:AV$1033, 0))</f>
        <v>100.30613584</v>
      </c>
      <c r="G1081" s="408">
        <f t="shared" si="877"/>
        <v>0</v>
      </c>
      <c r="H1081" s="408" t="str">
        <f t="shared" si="878"/>
        <v>$ mn</v>
      </c>
      <c r="I1081" s="408"/>
      <c r="J1081" s="408"/>
      <c r="K1081" s="408"/>
      <c r="L1081" s="408"/>
      <c r="M1081" s="408"/>
      <c r="N1081" s="408"/>
      <c r="O1081" s="408"/>
      <c r="P1081" s="408"/>
      <c r="Q1081" s="408"/>
      <c r="R1081" s="408"/>
      <c r="S1081" s="408"/>
      <c r="T1081" s="408"/>
      <c r="U1081" s="408"/>
      <c r="V1081" s="408"/>
      <c r="W1081" s="408"/>
      <c r="X1081" s="408"/>
      <c r="Y1081" s="408"/>
      <c r="Z1081" s="408"/>
      <c r="AA1081" s="408"/>
      <c r="AB1081" s="408"/>
      <c r="AC1081" s="408"/>
      <c r="AD1081" s="408"/>
      <c r="AE1081" s="408"/>
      <c r="AF1081" s="408"/>
      <c r="AG1081" s="408"/>
      <c r="AH1081" s="408"/>
      <c r="AI1081" s="408"/>
      <c r="AJ1081" s="408"/>
      <c r="AK1081" s="408"/>
      <c r="AL1081" s="408"/>
      <c r="AM1081" s="408"/>
      <c r="AN1081" s="408"/>
      <c r="AO1081" s="408"/>
      <c r="AP1081" s="408"/>
      <c r="AQ1081" s="408"/>
      <c r="AR1081" s="408"/>
      <c r="AS1081" s="408"/>
    </row>
    <row r="1082" spans="1:45" ht="15" customHeight="1" x14ac:dyDescent="0.3">
      <c r="A1082" s="408"/>
      <c r="B1082" s="408"/>
      <c r="C1082" s="408"/>
      <c r="D1082" s="408"/>
      <c r="E1082" s="408" t="str">
        <f t="shared" si="876"/>
        <v>Project costs</v>
      </c>
      <c r="F1082" s="408" cm="1">
        <f t="array" ref="F1082" xml:space="preserve"> INDEX(K1052:AV1052, , MATCH($F$1061, K$1033:AV$1033, 0))</f>
        <v>621.53795000247601</v>
      </c>
      <c r="G1082" s="408">
        <f t="shared" si="877"/>
        <v>4000.4893766404239</v>
      </c>
      <c r="H1082" s="408" t="str">
        <f t="shared" si="878"/>
        <v>$ mn</v>
      </c>
      <c r="I1082" s="408"/>
      <c r="J1082" s="408"/>
      <c r="K1082" s="408"/>
      <c r="L1082" s="408"/>
      <c r="M1082" s="408"/>
      <c r="N1082" s="408"/>
      <c r="O1082" s="408"/>
      <c r="P1082" s="408"/>
      <c r="Q1082" s="408"/>
      <c r="R1082" s="408"/>
      <c r="S1082" s="408"/>
      <c r="T1082" s="408"/>
      <c r="U1082" s="408"/>
      <c r="V1082" s="408"/>
      <c r="W1082" s="408"/>
      <c r="X1082" s="408"/>
      <c r="Y1082" s="408"/>
      <c r="Z1082" s="408"/>
      <c r="AA1082" s="408"/>
      <c r="AB1082" s="408"/>
      <c r="AC1082" s="408"/>
      <c r="AD1082" s="408"/>
      <c r="AE1082" s="408"/>
      <c r="AF1082" s="408"/>
      <c r="AG1082" s="408"/>
      <c r="AH1082" s="408"/>
      <c r="AI1082" s="408"/>
      <c r="AJ1082" s="408"/>
      <c r="AK1082" s="408"/>
      <c r="AL1082" s="408"/>
      <c r="AM1082" s="408"/>
      <c r="AN1082" s="408"/>
      <c r="AO1082" s="408"/>
      <c r="AP1082" s="408"/>
      <c r="AQ1082" s="408"/>
      <c r="AR1082" s="408"/>
      <c r="AS1082" s="408"/>
    </row>
    <row r="1083" spans="1:45" ht="15" customHeight="1" x14ac:dyDescent="0.3">
      <c r="A1083" s="408"/>
      <c r="B1083" s="408"/>
      <c r="C1083" s="408"/>
      <c r="D1083" s="408"/>
      <c r="E1083" s="408"/>
      <c r="F1083" s="408"/>
      <c r="G1083" s="408"/>
      <c r="H1083" s="408"/>
      <c r="I1083" s="408"/>
      <c r="J1083" s="408"/>
      <c r="K1083" s="408"/>
      <c r="L1083" s="408"/>
      <c r="M1083" s="408"/>
      <c r="N1083" s="408"/>
      <c r="O1083" s="408"/>
      <c r="P1083" s="408"/>
      <c r="Q1083" s="408"/>
      <c r="R1083" s="408"/>
      <c r="S1083" s="408"/>
      <c r="T1083" s="408"/>
      <c r="U1083" s="408"/>
      <c r="V1083" s="408"/>
      <c r="W1083" s="408"/>
      <c r="X1083" s="408"/>
      <c r="Y1083" s="408"/>
      <c r="Z1083" s="408"/>
      <c r="AA1083" s="408"/>
      <c r="AB1083" s="408"/>
      <c r="AC1083" s="408"/>
      <c r="AD1083" s="408"/>
      <c r="AE1083" s="408"/>
      <c r="AF1083" s="408"/>
      <c r="AG1083" s="408"/>
      <c r="AH1083" s="408"/>
      <c r="AI1083" s="408"/>
      <c r="AJ1083" s="408"/>
      <c r="AK1083" s="408"/>
      <c r="AL1083" s="408"/>
      <c r="AM1083" s="408"/>
      <c r="AN1083" s="408"/>
      <c r="AO1083" s="408"/>
      <c r="AP1083" s="408"/>
      <c r="AQ1083" s="408"/>
      <c r="AR1083" s="408"/>
      <c r="AS1083" s="408"/>
    </row>
    <row r="1084" spans="1:45" ht="15" customHeight="1" x14ac:dyDescent="0.3">
      <c r="A1084" s="408"/>
      <c r="B1084" s="408"/>
      <c r="C1084" s="408"/>
      <c r="D1084" s="408"/>
      <c r="E1084" s="408" t="str">
        <f xml:space="preserve"> E1054</f>
        <v>Project cashflows before fiscal regime</v>
      </c>
      <c r="F1084" s="408" cm="1">
        <f t="array" ref="F1084" xml:space="preserve"> INDEX(K1054:AV1054, , MATCH($F$1061, K$1033:AV$1033, 0))</f>
        <v>421.34059002276399</v>
      </c>
      <c r="G1084" s="408">
        <f xml:space="preserve"> SUMIFS(K1054:AV1054, K$1033:AV$1033, "&gt;=" &amp; F$1060)</f>
        <v>2734.9531567833492</v>
      </c>
      <c r="H1084" s="408" t="str">
        <f xml:space="preserve"> G1054</f>
        <v>$ mn</v>
      </c>
      <c r="I1084" s="408"/>
      <c r="J1084" s="408"/>
      <c r="K1084" s="408"/>
      <c r="L1084" s="408"/>
      <c r="M1084" s="408"/>
      <c r="N1084" s="408"/>
      <c r="O1084" s="408"/>
      <c r="P1084" s="408"/>
      <c r="Q1084" s="408"/>
      <c r="R1084" s="408"/>
      <c r="S1084" s="408"/>
      <c r="T1084" s="408"/>
      <c r="U1084" s="408"/>
      <c r="V1084" s="408"/>
      <c r="W1084" s="408"/>
      <c r="X1084" s="408"/>
      <c r="Y1084" s="408"/>
      <c r="Z1084" s="408"/>
      <c r="AA1084" s="408"/>
      <c r="AB1084" s="408"/>
      <c r="AC1084" s="408"/>
      <c r="AD1084" s="408"/>
      <c r="AE1084" s="408"/>
      <c r="AF1084" s="408"/>
      <c r="AG1084" s="408"/>
      <c r="AH1084" s="408"/>
      <c r="AI1084" s="408"/>
      <c r="AJ1084" s="408"/>
      <c r="AK1084" s="408"/>
      <c r="AL1084" s="408"/>
      <c r="AM1084" s="408"/>
      <c r="AN1084" s="408"/>
      <c r="AO1084" s="408"/>
      <c r="AP1084" s="408"/>
      <c r="AQ1084" s="408"/>
      <c r="AR1084" s="408"/>
      <c r="AS1084" s="408"/>
    </row>
    <row r="1085" spans="1:45" ht="15" customHeight="1" x14ac:dyDescent="0.3">
      <c r="A1085" s="981"/>
      <c r="B1085" s="982"/>
      <c r="C1085" s="983"/>
      <c r="D1085" s="984"/>
      <c r="E1085" s="984"/>
      <c r="F1085" s="984"/>
      <c r="G1085" s="984"/>
      <c r="H1085" s="984"/>
      <c r="I1085" s="88"/>
      <c r="J1085" s="88"/>
      <c r="K1085" s="88"/>
      <c r="L1085" s="88"/>
      <c r="M1085" s="88"/>
      <c r="N1085" s="88"/>
      <c r="O1085" s="88"/>
      <c r="P1085" s="88"/>
      <c r="Q1085" s="88"/>
      <c r="R1085" s="88"/>
      <c r="S1085" s="88"/>
      <c r="T1085" s="88"/>
      <c r="U1085" s="88"/>
      <c r="V1085" s="88"/>
      <c r="W1085" s="88"/>
      <c r="X1085" s="88"/>
      <c r="Y1085" s="88"/>
      <c r="Z1085" s="88"/>
      <c r="AA1085" s="88"/>
      <c r="AB1085" s="88"/>
      <c r="AC1085" s="88"/>
      <c r="AD1085" s="88"/>
      <c r="AE1085" s="88"/>
      <c r="AF1085" s="88"/>
      <c r="AG1085" s="88"/>
      <c r="AH1085" s="88"/>
      <c r="AI1085" s="88"/>
      <c r="AJ1085" s="88"/>
      <c r="AK1085" s="88"/>
      <c r="AO1085" s="88"/>
      <c r="AP1085" s="88"/>
      <c r="AQ1085" s="88"/>
      <c r="AR1085" s="88"/>
      <c r="AS1085" s="88"/>
    </row>
    <row r="1086" spans="1:45" ht="15" customHeight="1" x14ac:dyDescent="0.3">
      <c r="I1086" s="116"/>
      <c r="AL1086" s="42"/>
      <c r="AM1086" s="42"/>
      <c r="AN1086" s="42"/>
      <c r="AO1086" s="42"/>
      <c r="AP1086" s="42"/>
      <c r="AQ1086" s="42"/>
      <c r="AR1086" s="42"/>
      <c r="AS1086" s="42"/>
    </row>
    <row r="1087" spans="1:45" ht="15" customHeight="1" x14ac:dyDescent="0.3">
      <c r="B1087" s="112" t="s">
        <v>245</v>
      </c>
      <c r="I1087" s="116"/>
      <c r="AL1087" s="42"/>
      <c r="AM1087" s="42"/>
      <c r="AN1087" s="42"/>
      <c r="AO1087" s="42"/>
      <c r="AP1087" s="42"/>
      <c r="AQ1087" s="88"/>
      <c r="AR1087" s="88"/>
      <c r="AS1087" s="88"/>
    </row>
    <row r="1088" spans="1:45" ht="15" customHeight="1" x14ac:dyDescent="0.3">
      <c r="A1088" s="739"/>
      <c r="B1088" s="739"/>
      <c r="C1088" s="740"/>
      <c r="D1088" s="703"/>
      <c r="E1088" s="703"/>
      <c r="F1088" s="703" t="s">
        <v>319</v>
      </c>
      <c r="G1088" s="703"/>
      <c r="H1088" s="703"/>
      <c r="I1088" s="703"/>
      <c r="J1088" s="703"/>
      <c r="K1088" s="703"/>
      <c r="L1088" s="703"/>
      <c r="M1088" s="703"/>
      <c r="N1088" s="703"/>
      <c r="O1088" s="703"/>
      <c r="P1088" s="703"/>
      <c r="Q1088" s="703"/>
      <c r="R1088" s="703"/>
      <c r="S1088" s="703"/>
      <c r="T1088" s="703"/>
      <c r="U1088" s="703"/>
      <c r="V1088" s="703"/>
      <c r="W1088" s="703"/>
      <c r="X1088" s="703"/>
      <c r="Y1088" s="703"/>
      <c r="Z1088" s="703"/>
      <c r="AA1088" s="703"/>
      <c r="AB1088" s="703"/>
      <c r="AC1088" s="703"/>
      <c r="AD1088" s="703"/>
      <c r="AE1088" s="703"/>
      <c r="AF1088" s="703"/>
      <c r="AG1088" s="703"/>
      <c r="AH1088" s="703"/>
      <c r="AI1088" s="703"/>
      <c r="AJ1088" s="703"/>
      <c r="AK1088" s="703"/>
      <c r="AL1088" s="703"/>
      <c r="AM1088" s="703"/>
      <c r="AN1088" s="703"/>
      <c r="AO1088" s="703"/>
      <c r="AP1088" s="703"/>
      <c r="AQ1088" s="703"/>
      <c r="AR1088" s="703"/>
      <c r="AS1088" s="703"/>
    </row>
    <row r="1089" spans="1:45" ht="15" customHeight="1" x14ac:dyDescent="0.3">
      <c r="A1089" s="762"/>
      <c r="B1089" s="762"/>
      <c r="C1089" s="763"/>
      <c r="D1089" s="386"/>
      <c r="E1089" s="386" t="str">
        <f xml:space="preserve"> E$450</f>
        <v>Total royalty</v>
      </c>
      <c r="F1089" s="386">
        <f t="shared" ref="F1089:O1089" si="879" xml:space="preserve"> F$450</f>
        <v>0</v>
      </c>
      <c r="G1089" s="386" t="str">
        <f t="shared" si="879"/>
        <v>$ mn</v>
      </c>
      <c r="H1089" s="386">
        <f t="shared" si="879"/>
        <v>0</v>
      </c>
      <c r="I1089" s="386">
        <f t="shared" si="879"/>
        <v>457.74229303356492</v>
      </c>
      <c r="J1089" s="386">
        <f t="shared" si="879"/>
        <v>0</v>
      </c>
      <c r="K1089" s="386">
        <f t="shared" si="879"/>
        <v>0</v>
      </c>
      <c r="L1089" s="386">
        <f t="shared" si="879"/>
        <v>0</v>
      </c>
      <c r="M1089" s="386">
        <f t="shared" si="879"/>
        <v>0</v>
      </c>
      <c r="N1089" s="386">
        <f t="shared" si="879"/>
        <v>0</v>
      </c>
      <c r="O1089" s="386">
        <f t="shared" si="879"/>
        <v>0</v>
      </c>
      <c r="P1089" s="386">
        <f t="shared" ref="P1089:AS1089" si="880" xml:space="preserve"> P$450</f>
        <v>0</v>
      </c>
      <c r="Q1089" s="386">
        <f t="shared" si="880"/>
        <v>0</v>
      </c>
      <c r="R1089" s="386">
        <f t="shared" si="880"/>
        <v>0</v>
      </c>
      <c r="S1089" s="386">
        <f t="shared" si="880"/>
        <v>0</v>
      </c>
      <c r="T1089" s="386">
        <f t="shared" si="880"/>
        <v>0</v>
      </c>
      <c r="U1089" s="386">
        <f t="shared" si="880"/>
        <v>0</v>
      </c>
      <c r="V1089" s="386">
        <f t="shared" si="880"/>
        <v>2.0936121000000005</v>
      </c>
      <c r="W1089" s="386">
        <f t="shared" si="880"/>
        <v>7.5658579699999997</v>
      </c>
      <c r="X1089" s="386">
        <f t="shared" si="880"/>
        <v>16.337975890432002</v>
      </c>
      <c r="Y1089" s="386">
        <f t="shared" si="880"/>
        <v>25.546252756080001</v>
      </c>
      <c r="Z1089" s="386">
        <f t="shared" si="880"/>
        <v>43.023062557888011</v>
      </c>
      <c r="AA1089" s="386">
        <f t="shared" si="880"/>
        <v>43.288425837524002</v>
      </c>
      <c r="AB1089" s="386">
        <f t="shared" si="880"/>
        <v>39.115809928424305</v>
      </c>
      <c r="AC1089" s="386">
        <f t="shared" si="880"/>
        <v>23.714695633259289</v>
      </c>
      <c r="AD1089" s="386">
        <f t="shared" si="880"/>
        <v>36.174084346767344</v>
      </c>
      <c r="AE1089" s="386">
        <f t="shared" si="880"/>
        <v>36.23127661610944</v>
      </c>
      <c r="AF1089" s="386">
        <f t="shared" si="880"/>
        <v>36.198843743194338</v>
      </c>
      <c r="AG1089" s="386">
        <f t="shared" si="880"/>
        <v>36.152806681136795</v>
      </c>
      <c r="AH1089" s="386">
        <f t="shared" si="880"/>
        <v>36.201691396517489</v>
      </c>
      <c r="AI1089" s="386">
        <f t="shared" si="880"/>
        <v>31.43504126794684</v>
      </c>
      <c r="AJ1089" s="386">
        <f t="shared" si="880"/>
        <v>31.402193175662639</v>
      </c>
      <c r="AK1089" s="386">
        <f t="shared" si="880"/>
        <v>13.260663132622414</v>
      </c>
      <c r="AL1089" s="386">
        <f t="shared" si="880"/>
        <v>0</v>
      </c>
      <c r="AM1089" s="386">
        <f t="shared" si="880"/>
        <v>0</v>
      </c>
      <c r="AN1089" s="386">
        <f t="shared" si="880"/>
        <v>0</v>
      </c>
      <c r="AO1089" s="386">
        <f t="shared" si="880"/>
        <v>0</v>
      </c>
      <c r="AP1089" s="386">
        <f t="shared" si="880"/>
        <v>0</v>
      </c>
      <c r="AQ1089" s="386">
        <f t="shared" si="880"/>
        <v>0</v>
      </c>
      <c r="AR1089" s="386">
        <f t="shared" si="880"/>
        <v>0</v>
      </c>
      <c r="AS1089" s="386">
        <f t="shared" si="880"/>
        <v>0</v>
      </c>
    </row>
    <row r="1090" spans="1:45" ht="15" customHeight="1" x14ac:dyDescent="0.3">
      <c r="A1090" s="762"/>
      <c r="B1090" s="762"/>
      <c r="C1090" s="763"/>
      <c r="D1090" s="386"/>
      <c r="E1090" s="386" t="str">
        <f xml:space="preserve"> E$670</f>
        <v>Turnover tax (Chiffre d'Affaires 0.3PC)</v>
      </c>
      <c r="F1090" s="386">
        <f t="shared" ref="F1090:AS1090" si="881" xml:space="preserve"> F$670</f>
        <v>0</v>
      </c>
      <c r="G1090" s="386" t="str">
        <f t="shared" si="881"/>
        <v>$ mn</v>
      </c>
      <c r="H1090" s="386">
        <f t="shared" si="881"/>
        <v>0</v>
      </c>
      <c r="I1090" s="386">
        <f t="shared" si="881"/>
        <v>36.17168207429534</v>
      </c>
      <c r="J1090" s="386">
        <f t="shared" si="881"/>
        <v>0</v>
      </c>
      <c r="K1090" s="386">
        <f t="shared" si="881"/>
        <v>0</v>
      </c>
      <c r="L1090" s="386">
        <f t="shared" si="881"/>
        <v>0</v>
      </c>
      <c r="M1090" s="386">
        <f t="shared" si="881"/>
        <v>0</v>
      </c>
      <c r="N1090" s="386">
        <f t="shared" si="881"/>
        <v>0</v>
      </c>
      <c r="O1090" s="386">
        <f t="shared" si="881"/>
        <v>0</v>
      </c>
      <c r="P1090" s="386">
        <f t="shared" si="881"/>
        <v>0</v>
      </c>
      <c r="Q1090" s="386">
        <f t="shared" si="881"/>
        <v>0</v>
      </c>
      <c r="R1090" s="386">
        <f t="shared" si="881"/>
        <v>0</v>
      </c>
      <c r="S1090" s="386">
        <f t="shared" si="881"/>
        <v>0</v>
      </c>
      <c r="T1090" s="386">
        <f t="shared" si="881"/>
        <v>0</v>
      </c>
      <c r="U1090" s="386">
        <f t="shared" si="881"/>
        <v>0</v>
      </c>
      <c r="V1090" s="386">
        <f t="shared" si="881"/>
        <v>0.31404181500000006</v>
      </c>
      <c r="W1090" s="386">
        <f t="shared" si="881"/>
        <v>0.82536632399999987</v>
      </c>
      <c r="X1090" s="386">
        <f t="shared" si="881"/>
        <v>1.3029954585129602</v>
      </c>
      <c r="Y1090" s="386">
        <f t="shared" si="881"/>
        <v>2.0061437958324002</v>
      </c>
      <c r="Z1090" s="386">
        <f t="shared" si="881"/>
        <v>3.3560971628366403</v>
      </c>
      <c r="AA1090" s="386">
        <f t="shared" si="881"/>
        <v>3.1286356200757202</v>
      </c>
      <c r="AB1090" s="386">
        <f t="shared" si="881"/>
        <v>3.0706451289885188</v>
      </c>
      <c r="AC1090" s="386">
        <f t="shared" si="881"/>
        <v>1.9614291687777747</v>
      </c>
      <c r="AD1090" s="386">
        <f t="shared" si="881"/>
        <v>2.8500910989634924</v>
      </c>
      <c r="AE1090" s="386">
        <f t="shared" si="881"/>
        <v>2.8549932934785289</v>
      </c>
      <c r="AF1090" s="386">
        <f t="shared" si="881"/>
        <v>2.8522133329429491</v>
      </c>
      <c r="AG1090" s="386">
        <f t="shared" si="881"/>
        <v>2.8482672990523024</v>
      </c>
      <c r="AH1090" s="386">
        <f t="shared" si="881"/>
        <v>2.852457417513504</v>
      </c>
      <c r="AI1090" s="386">
        <f t="shared" si="881"/>
        <v>2.4380476477577542</v>
      </c>
      <c r="AJ1090" s="386">
        <f t="shared" si="881"/>
        <v>2.4680766210267722</v>
      </c>
      <c r="AK1090" s="386">
        <f t="shared" si="881"/>
        <v>1.0421808895360172</v>
      </c>
      <c r="AL1090" s="386">
        <f t="shared" si="881"/>
        <v>0</v>
      </c>
      <c r="AM1090" s="386">
        <f t="shared" si="881"/>
        <v>0</v>
      </c>
      <c r="AN1090" s="386">
        <f t="shared" si="881"/>
        <v>0</v>
      </c>
      <c r="AO1090" s="386">
        <f t="shared" si="881"/>
        <v>0</v>
      </c>
      <c r="AP1090" s="386">
        <f t="shared" si="881"/>
        <v>0</v>
      </c>
      <c r="AQ1090" s="386">
        <f t="shared" si="881"/>
        <v>0</v>
      </c>
      <c r="AR1090" s="386">
        <f t="shared" si="881"/>
        <v>0</v>
      </c>
      <c r="AS1090" s="386">
        <f t="shared" si="881"/>
        <v>0</v>
      </c>
    </row>
    <row r="1091" spans="1:45" ht="15" customHeight="1" x14ac:dyDescent="0.3">
      <c r="A1091" s="394"/>
      <c r="B1091" s="394"/>
      <c r="C1091" s="395"/>
      <c r="D1091" s="34"/>
      <c r="E1091" s="34" t="str">
        <f t="shared" ref="E1091:J1091" si="882" xml:space="preserve"> E$795</f>
        <v>CIT payable</v>
      </c>
      <c r="F1091" s="34">
        <f t="shared" si="882"/>
        <v>0</v>
      </c>
      <c r="G1091" s="34" t="str">
        <f t="shared" si="882"/>
        <v>$ mn</v>
      </c>
      <c r="H1091" s="34">
        <f t="shared" si="882"/>
        <v>0</v>
      </c>
      <c r="I1091" s="34">
        <f t="shared" si="882"/>
        <v>1297.2944426677445</v>
      </c>
      <c r="J1091" s="34">
        <f t="shared" si="882"/>
        <v>0</v>
      </c>
      <c r="K1091" s="34">
        <f t="shared" ref="K1091:O1091" si="883" xml:space="preserve"> K$795</f>
        <v>0</v>
      </c>
      <c r="L1091" s="34">
        <f t="shared" si="883"/>
        <v>0</v>
      </c>
      <c r="M1091" s="34">
        <f t="shared" si="883"/>
        <v>0</v>
      </c>
      <c r="N1091" s="34">
        <f t="shared" si="883"/>
        <v>0</v>
      </c>
      <c r="O1091" s="34">
        <f t="shared" si="883"/>
        <v>0</v>
      </c>
      <c r="P1091" s="34">
        <f t="shared" ref="P1091:AS1091" si="884" xml:space="preserve"> P$795</f>
        <v>0</v>
      </c>
      <c r="Q1091" s="34">
        <f t="shared" si="884"/>
        <v>0</v>
      </c>
      <c r="R1091" s="34">
        <f t="shared" si="884"/>
        <v>0</v>
      </c>
      <c r="S1091" s="34">
        <f t="shared" si="884"/>
        <v>0</v>
      </c>
      <c r="T1091" s="34">
        <f t="shared" si="884"/>
        <v>0</v>
      </c>
      <c r="U1091" s="34">
        <f t="shared" si="884"/>
        <v>0</v>
      </c>
      <c r="V1091" s="34">
        <f t="shared" si="884"/>
        <v>1.0468060500000003</v>
      </c>
      <c r="W1091" s="34">
        <f t="shared" si="884"/>
        <v>2.7512210799999997</v>
      </c>
      <c r="X1091" s="34">
        <f t="shared" si="884"/>
        <v>33.206817816867449</v>
      </c>
      <c r="Y1091" s="34">
        <f t="shared" si="884"/>
        <v>91.036694725097149</v>
      </c>
      <c r="Z1091" s="34">
        <f t="shared" si="884"/>
        <v>229.8752354083783</v>
      </c>
      <c r="AA1091" s="34">
        <f t="shared" si="884"/>
        <v>119.32897273914344</v>
      </c>
      <c r="AB1091" s="34">
        <f t="shared" si="884"/>
        <v>129.2104604228746</v>
      </c>
      <c r="AC1091" s="34">
        <f t="shared" si="884"/>
        <v>13.921063440907346</v>
      </c>
      <c r="AD1091" s="34">
        <f t="shared" si="884"/>
        <v>103.64997645515984</v>
      </c>
      <c r="AE1091" s="34">
        <f t="shared" si="884"/>
        <v>106.97229478280092</v>
      </c>
      <c r="AF1091" s="34">
        <f t="shared" si="884"/>
        <v>103.82695725435919</v>
      </c>
      <c r="AG1091" s="34">
        <f t="shared" si="884"/>
        <v>103.5575318677414</v>
      </c>
      <c r="AH1091" s="34">
        <f t="shared" si="884"/>
        <v>104.80486722509302</v>
      </c>
      <c r="AI1091" s="34">
        <f t="shared" si="884"/>
        <v>63.926497242374566</v>
      </c>
      <c r="AJ1091" s="34">
        <f t="shared" si="884"/>
        <v>81.125964306258666</v>
      </c>
      <c r="AK1091" s="34">
        <f t="shared" si="884"/>
        <v>9.0530818506887716</v>
      </c>
      <c r="AL1091" s="34">
        <f t="shared" si="884"/>
        <v>0</v>
      </c>
      <c r="AM1091" s="34">
        <f t="shared" si="884"/>
        <v>0</v>
      </c>
      <c r="AN1091" s="34">
        <f t="shared" si="884"/>
        <v>0</v>
      </c>
      <c r="AO1091" s="34">
        <f t="shared" si="884"/>
        <v>0</v>
      </c>
      <c r="AP1091" s="34">
        <f t="shared" si="884"/>
        <v>0</v>
      </c>
      <c r="AQ1091" s="34">
        <f t="shared" si="884"/>
        <v>0</v>
      </c>
      <c r="AR1091" s="34">
        <f t="shared" si="884"/>
        <v>0</v>
      </c>
      <c r="AS1091" s="34">
        <f t="shared" si="884"/>
        <v>0</v>
      </c>
    </row>
    <row r="1092" spans="1:45" ht="15" customHeight="1" x14ac:dyDescent="0.3">
      <c r="A1092" s="394"/>
      <c r="B1092" s="394"/>
      <c r="C1092" s="395"/>
      <c r="D1092" s="34"/>
      <c r="E1092" s="34" t="str">
        <f xml:space="preserve"> E$753</f>
        <v>Special Tax On Excess Profits</v>
      </c>
      <c r="F1092" s="34">
        <f t="shared" ref="F1092:O1092" si="885" xml:space="preserve"> F$753</f>
        <v>0</v>
      </c>
      <c r="G1092" s="34" t="str">
        <f t="shared" si="885"/>
        <v>$ mn</v>
      </c>
      <c r="H1092" s="34">
        <f t="shared" si="885"/>
        <v>0</v>
      </c>
      <c r="I1092" s="34">
        <f t="shared" si="885"/>
        <v>0</v>
      </c>
      <c r="J1092" s="34">
        <f t="shared" si="885"/>
        <v>0</v>
      </c>
      <c r="K1092" s="34">
        <f t="shared" si="885"/>
        <v>0</v>
      </c>
      <c r="L1092" s="34">
        <f t="shared" si="885"/>
        <v>0</v>
      </c>
      <c r="M1092" s="34">
        <f t="shared" si="885"/>
        <v>0</v>
      </c>
      <c r="N1092" s="34">
        <f t="shared" si="885"/>
        <v>0</v>
      </c>
      <c r="O1092" s="34">
        <f t="shared" si="885"/>
        <v>0</v>
      </c>
      <c r="P1092" s="34">
        <f t="shared" ref="P1092:AS1092" si="886" xml:space="preserve"> P$753</f>
        <v>0</v>
      </c>
      <c r="Q1092" s="34">
        <f t="shared" si="886"/>
        <v>0</v>
      </c>
      <c r="R1092" s="34">
        <f t="shared" si="886"/>
        <v>0</v>
      </c>
      <c r="S1092" s="34">
        <f t="shared" si="886"/>
        <v>0</v>
      </c>
      <c r="T1092" s="34">
        <f t="shared" si="886"/>
        <v>0</v>
      </c>
      <c r="U1092" s="34">
        <f t="shared" si="886"/>
        <v>0</v>
      </c>
      <c r="V1092" s="34">
        <f t="shared" si="886"/>
        <v>0</v>
      </c>
      <c r="W1092" s="34">
        <f t="shared" si="886"/>
        <v>0</v>
      </c>
      <c r="X1092" s="34">
        <f t="shared" si="886"/>
        <v>0</v>
      </c>
      <c r="Y1092" s="34">
        <f t="shared" si="886"/>
        <v>0</v>
      </c>
      <c r="Z1092" s="34">
        <f t="shared" si="886"/>
        <v>0</v>
      </c>
      <c r="AA1092" s="34">
        <f t="shared" si="886"/>
        <v>0</v>
      </c>
      <c r="AB1092" s="34">
        <f t="shared" si="886"/>
        <v>0</v>
      </c>
      <c r="AC1092" s="34">
        <f t="shared" si="886"/>
        <v>0</v>
      </c>
      <c r="AD1092" s="34">
        <f t="shared" si="886"/>
        <v>0</v>
      </c>
      <c r="AE1092" s="34">
        <f t="shared" si="886"/>
        <v>0</v>
      </c>
      <c r="AF1092" s="34">
        <f t="shared" si="886"/>
        <v>0</v>
      </c>
      <c r="AG1092" s="34">
        <f t="shared" si="886"/>
        <v>0</v>
      </c>
      <c r="AH1092" s="34">
        <f t="shared" si="886"/>
        <v>0</v>
      </c>
      <c r="AI1092" s="34">
        <f t="shared" si="886"/>
        <v>0</v>
      </c>
      <c r="AJ1092" s="34">
        <f t="shared" si="886"/>
        <v>0</v>
      </c>
      <c r="AK1092" s="34">
        <f t="shared" si="886"/>
        <v>0</v>
      </c>
      <c r="AL1092" s="34">
        <f t="shared" si="886"/>
        <v>0</v>
      </c>
      <c r="AM1092" s="34">
        <f t="shared" si="886"/>
        <v>0</v>
      </c>
      <c r="AN1092" s="34">
        <f t="shared" si="886"/>
        <v>0</v>
      </c>
      <c r="AO1092" s="34">
        <f t="shared" si="886"/>
        <v>0</v>
      </c>
      <c r="AP1092" s="34">
        <f t="shared" si="886"/>
        <v>0</v>
      </c>
      <c r="AQ1092" s="34">
        <f t="shared" si="886"/>
        <v>0</v>
      </c>
      <c r="AR1092" s="34">
        <f t="shared" si="886"/>
        <v>0</v>
      </c>
      <c r="AS1092" s="34">
        <f t="shared" si="886"/>
        <v>0</v>
      </c>
    </row>
    <row r="1093" spans="1:45" ht="15" customHeight="1" x14ac:dyDescent="0.3">
      <c r="A1093" s="394"/>
      <c r="B1093" s="394"/>
      <c r="C1093" s="395"/>
      <c r="D1093" s="34"/>
      <c r="E1093" s="709" t="str">
        <f xml:space="preserve"> E$862</f>
        <v>Signature Bonus (EITI)</v>
      </c>
      <c r="F1093" s="709" t="str">
        <f t="shared" ref="F1093:O1093" si="887" xml:space="preserve"> F$862</f>
        <v>yes</v>
      </c>
      <c r="G1093" s="709" t="str">
        <f t="shared" si="887"/>
        <v>$ mn</v>
      </c>
      <c r="H1093" s="709">
        <f t="shared" si="887"/>
        <v>0</v>
      </c>
      <c r="I1093" s="709">
        <f t="shared" si="887"/>
        <v>42.679182000000004</v>
      </c>
      <c r="J1093" s="709">
        <f t="shared" si="887"/>
        <v>0</v>
      </c>
      <c r="K1093" s="709">
        <f t="shared" si="887"/>
        <v>0</v>
      </c>
      <c r="L1093" s="709">
        <f t="shared" si="887"/>
        <v>0</v>
      </c>
      <c r="M1093" s="709">
        <f t="shared" si="887"/>
        <v>0</v>
      </c>
      <c r="N1093" s="709">
        <f t="shared" si="887"/>
        <v>0</v>
      </c>
      <c r="O1093" s="709">
        <f t="shared" si="887"/>
        <v>0</v>
      </c>
      <c r="P1093" s="709">
        <f t="shared" ref="P1093:AS1093" si="888" xml:space="preserve"> P$862</f>
        <v>0</v>
      </c>
      <c r="Q1093" s="709">
        <f t="shared" si="888"/>
        <v>0</v>
      </c>
      <c r="R1093" s="709">
        <f t="shared" si="888"/>
        <v>0</v>
      </c>
      <c r="S1093" s="709">
        <f t="shared" si="888"/>
        <v>0</v>
      </c>
      <c r="T1093" s="709">
        <f t="shared" si="888"/>
        <v>0</v>
      </c>
      <c r="U1093" s="709">
        <f t="shared" si="888"/>
        <v>0</v>
      </c>
      <c r="V1093" s="709">
        <f t="shared" si="888"/>
        <v>2.7</v>
      </c>
      <c r="W1093" s="709">
        <f t="shared" si="888"/>
        <v>8.1</v>
      </c>
      <c r="X1093" s="709">
        <f t="shared" si="888"/>
        <v>5.4</v>
      </c>
      <c r="Y1093" s="709">
        <f t="shared" si="888"/>
        <v>0</v>
      </c>
      <c r="Z1093" s="709">
        <f t="shared" si="888"/>
        <v>0</v>
      </c>
      <c r="AA1093" s="709">
        <f t="shared" si="888"/>
        <v>26.479182000000002</v>
      </c>
      <c r="AB1093" s="709">
        <f t="shared" si="888"/>
        <v>0</v>
      </c>
      <c r="AC1093" s="709">
        <f t="shared" si="888"/>
        <v>0</v>
      </c>
      <c r="AD1093" s="709">
        <f t="shared" si="888"/>
        <v>0</v>
      </c>
      <c r="AE1093" s="709">
        <f t="shared" si="888"/>
        <v>0</v>
      </c>
      <c r="AF1093" s="709">
        <f t="shared" si="888"/>
        <v>0</v>
      </c>
      <c r="AG1093" s="709">
        <f t="shared" si="888"/>
        <v>0</v>
      </c>
      <c r="AH1093" s="709">
        <f t="shared" si="888"/>
        <v>0</v>
      </c>
      <c r="AI1093" s="709">
        <f t="shared" si="888"/>
        <v>0</v>
      </c>
      <c r="AJ1093" s="709">
        <f t="shared" si="888"/>
        <v>0</v>
      </c>
      <c r="AK1093" s="709">
        <f t="shared" si="888"/>
        <v>0</v>
      </c>
      <c r="AL1093" s="709">
        <f t="shared" si="888"/>
        <v>0</v>
      </c>
      <c r="AM1093" s="709">
        <f t="shared" si="888"/>
        <v>0</v>
      </c>
      <c r="AN1093" s="709">
        <f t="shared" si="888"/>
        <v>0</v>
      </c>
      <c r="AO1093" s="709">
        <f t="shared" si="888"/>
        <v>0</v>
      </c>
      <c r="AP1093" s="709">
        <f t="shared" si="888"/>
        <v>0</v>
      </c>
      <c r="AQ1093" s="709">
        <f t="shared" si="888"/>
        <v>0</v>
      </c>
      <c r="AR1093" s="709">
        <f t="shared" si="888"/>
        <v>0</v>
      </c>
      <c r="AS1093" s="709">
        <f t="shared" si="888"/>
        <v>0</v>
      </c>
    </row>
    <row r="1094" spans="1:45" ht="15" customHeight="1" x14ac:dyDescent="0.3">
      <c r="A1094" s="394"/>
      <c r="B1094" s="394"/>
      <c r="C1094" s="395"/>
      <c r="D1094" s="34"/>
      <c r="E1094" s="381" t="str">
        <f xml:space="preserve"> E$863</f>
        <v>Payroll taxes (included in costs)</v>
      </c>
      <c r="F1094" s="381">
        <f t="shared" ref="F1094:O1094" si="889" xml:space="preserve"> F$863</f>
        <v>0</v>
      </c>
      <c r="G1094" s="381" t="str">
        <f t="shared" si="889"/>
        <v>$ mn</v>
      </c>
      <c r="H1094" s="381">
        <f t="shared" si="889"/>
        <v>0</v>
      </c>
      <c r="I1094" s="381">
        <f t="shared" si="889"/>
        <v>256.69892824335369</v>
      </c>
      <c r="J1094" s="381">
        <f t="shared" si="889"/>
        <v>0</v>
      </c>
      <c r="K1094" s="381">
        <f t="shared" si="889"/>
        <v>0</v>
      </c>
      <c r="L1094" s="381">
        <f t="shared" si="889"/>
        <v>0</v>
      </c>
      <c r="M1094" s="381">
        <f t="shared" si="889"/>
        <v>0</v>
      </c>
      <c r="N1094" s="381">
        <f t="shared" si="889"/>
        <v>0</v>
      </c>
      <c r="O1094" s="381">
        <f t="shared" si="889"/>
        <v>0</v>
      </c>
      <c r="P1094" s="381">
        <f t="shared" ref="P1094:AS1094" si="890" xml:space="preserve"> P$863</f>
        <v>0</v>
      </c>
      <c r="Q1094" s="381">
        <f t="shared" si="890"/>
        <v>0</v>
      </c>
      <c r="R1094" s="381">
        <f t="shared" si="890"/>
        <v>0</v>
      </c>
      <c r="S1094" s="381">
        <f t="shared" si="890"/>
        <v>0</v>
      </c>
      <c r="T1094" s="381">
        <f t="shared" si="890"/>
        <v>0</v>
      </c>
      <c r="U1094" s="381">
        <f t="shared" si="890"/>
        <v>0</v>
      </c>
      <c r="V1094" s="381">
        <f t="shared" si="890"/>
        <v>3.7018979160000001</v>
      </c>
      <c r="W1094" s="381">
        <f t="shared" si="890"/>
        <v>4.4483312812000007</v>
      </c>
      <c r="X1094" s="381">
        <f t="shared" si="890"/>
        <v>8.918173364382719</v>
      </c>
      <c r="Y1094" s="381">
        <f t="shared" si="890"/>
        <v>11.003173489756801</v>
      </c>
      <c r="Z1094" s="381">
        <f t="shared" si="890"/>
        <v>9.4736950976844803</v>
      </c>
      <c r="AA1094" s="381">
        <f t="shared" si="890"/>
        <v>20.849272566499039</v>
      </c>
      <c r="AB1094" s="381">
        <f t="shared" si="890"/>
        <v>18.354245632181723</v>
      </c>
      <c r="AC1094" s="381">
        <f t="shared" si="890"/>
        <v>19.930563830032</v>
      </c>
      <c r="AD1094" s="381">
        <f t="shared" si="890"/>
        <v>19.975779678619961</v>
      </c>
      <c r="AE1094" s="381">
        <f t="shared" si="890"/>
        <v>20.465676569618431</v>
      </c>
      <c r="AF1094" s="381">
        <f t="shared" si="890"/>
        <v>20.899072725186198</v>
      </c>
      <c r="AG1094" s="381">
        <f t="shared" si="890"/>
        <v>21.351722609627963</v>
      </c>
      <c r="AH1094" s="381">
        <f t="shared" si="890"/>
        <v>21.812502005267589</v>
      </c>
      <c r="AI1094" s="381">
        <f t="shared" si="890"/>
        <v>22.521775076384014</v>
      </c>
      <c r="AJ1094" s="381">
        <f t="shared" si="890"/>
        <v>20.834805312495966</v>
      </c>
      <c r="AK1094" s="381">
        <f t="shared" si="890"/>
        <v>12.158241088416828</v>
      </c>
      <c r="AL1094" s="381">
        <f t="shared" si="890"/>
        <v>0</v>
      </c>
      <c r="AM1094" s="381">
        <f t="shared" si="890"/>
        <v>0</v>
      </c>
      <c r="AN1094" s="381">
        <f t="shared" si="890"/>
        <v>0</v>
      </c>
      <c r="AO1094" s="381">
        <f t="shared" si="890"/>
        <v>0</v>
      </c>
      <c r="AP1094" s="381">
        <f t="shared" si="890"/>
        <v>0</v>
      </c>
      <c r="AQ1094" s="381">
        <f t="shared" si="890"/>
        <v>0</v>
      </c>
      <c r="AR1094" s="381">
        <f t="shared" si="890"/>
        <v>0</v>
      </c>
      <c r="AS1094" s="381">
        <f t="shared" si="890"/>
        <v>0</v>
      </c>
    </row>
    <row r="1095" spans="1:45" ht="15" customHeight="1" x14ac:dyDescent="0.3">
      <c r="A1095" s="394"/>
      <c r="B1095" s="394"/>
      <c r="C1095" s="395"/>
      <c r="D1095" s="34"/>
      <c r="E1095" s="381" t="str">
        <f xml:space="preserve"> E$864</f>
        <v>Import duties (included in costs)</v>
      </c>
      <c r="F1095" s="381">
        <f t="shared" ref="F1095:O1095" si="891" xml:space="preserve"> F$864</f>
        <v>0</v>
      </c>
      <c r="G1095" s="381" t="str">
        <f t="shared" si="891"/>
        <v>$ mn</v>
      </c>
      <c r="H1095" s="381">
        <f t="shared" si="891"/>
        <v>0</v>
      </c>
      <c r="I1095" s="381">
        <f t="shared" si="891"/>
        <v>378.04054337098842</v>
      </c>
      <c r="J1095" s="381">
        <f t="shared" si="891"/>
        <v>378.04054337098842</v>
      </c>
      <c r="K1095" s="381">
        <f t="shared" si="891"/>
        <v>0</v>
      </c>
      <c r="L1095" s="381">
        <f t="shared" si="891"/>
        <v>0</v>
      </c>
      <c r="M1095" s="381">
        <f t="shared" si="891"/>
        <v>0</v>
      </c>
      <c r="N1095" s="381">
        <f t="shared" si="891"/>
        <v>0</v>
      </c>
      <c r="O1095" s="381">
        <f t="shared" si="891"/>
        <v>0</v>
      </c>
      <c r="P1095" s="381">
        <f t="shared" ref="P1095:AS1095" si="892" xml:space="preserve"> P$864</f>
        <v>0</v>
      </c>
      <c r="Q1095" s="381">
        <f t="shared" si="892"/>
        <v>0</v>
      </c>
      <c r="R1095" s="381">
        <f t="shared" si="892"/>
        <v>0</v>
      </c>
      <c r="S1095" s="381">
        <f t="shared" si="892"/>
        <v>0</v>
      </c>
      <c r="T1095" s="381">
        <f t="shared" si="892"/>
        <v>0</v>
      </c>
      <c r="U1095" s="381">
        <f t="shared" si="892"/>
        <v>0</v>
      </c>
      <c r="V1095" s="381">
        <f t="shared" si="892"/>
        <v>4.9504272399999998</v>
      </c>
      <c r="W1095" s="381">
        <f t="shared" si="892"/>
        <v>18.157969999999999</v>
      </c>
      <c r="X1095" s="381">
        <f t="shared" si="892"/>
        <v>40.621609999999997</v>
      </c>
      <c r="Y1095" s="381">
        <f t="shared" si="892"/>
        <v>3.393662</v>
      </c>
      <c r="Z1095" s="381">
        <f t="shared" si="892"/>
        <v>15.932733392105598</v>
      </c>
      <c r="AA1095" s="381">
        <f t="shared" si="892"/>
        <v>40.119290999999997</v>
      </c>
      <c r="AB1095" s="381">
        <f t="shared" si="892"/>
        <v>28.136993692495412</v>
      </c>
      <c r="AC1095" s="381">
        <f t="shared" si="892"/>
        <v>26.703387214366145</v>
      </c>
      <c r="AD1095" s="381">
        <f t="shared" si="892"/>
        <v>24.969724598274951</v>
      </c>
      <c r="AE1095" s="381">
        <f t="shared" si="892"/>
        <v>25.582095712023037</v>
      </c>
      <c r="AF1095" s="381">
        <f t="shared" si="892"/>
        <v>26.123840906482748</v>
      </c>
      <c r="AG1095" s="381">
        <f t="shared" si="892"/>
        <v>26.689653262034955</v>
      </c>
      <c r="AH1095" s="381">
        <f t="shared" si="892"/>
        <v>27.265627506584487</v>
      </c>
      <c r="AI1095" s="381">
        <f t="shared" si="892"/>
        <v>28.152218845480022</v>
      </c>
      <c r="AJ1095" s="381">
        <f t="shared" si="892"/>
        <v>26.043506640619956</v>
      </c>
      <c r="AK1095" s="381">
        <f t="shared" si="892"/>
        <v>15.197801360521035</v>
      </c>
      <c r="AL1095" s="381">
        <f t="shared" si="892"/>
        <v>0</v>
      </c>
      <c r="AM1095" s="381">
        <f t="shared" si="892"/>
        <v>0</v>
      </c>
      <c r="AN1095" s="381">
        <f t="shared" si="892"/>
        <v>0</v>
      </c>
      <c r="AO1095" s="381">
        <f t="shared" si="892"/>
        <v>0</v>
      </c>
      <c r="AP1095" s="381">
        <f t="shared" si="892"/>
        <v>0</v>
      </c>
      <c r="AQ1095" s="381">
        <f t="shared" si="892"/>
        <v>0</v>
      </c>
      <c r="AR1095" s="381">
        <f t="shared" si="892"/>
        <v>0</v>
      </c>
      <c r="AS1095" s="381">
        <f t="shared" si="892"/>
        <v>0</v>
      </c>
    </row>
    <row r="1096" spans="1:45" ht="15" customHeight="1" x14ac:dyDescent="0.3">
      <c r="A1096" s="394"/>
      <c r="B1096" s="394"/>
      <c r="C1096" s="395"/>
      <c r="D1096" s="34"/>
      <c r="E1096" s="381" t="str">
        <f xml:space="preserve"> E$918</f>
        <v>Interest withholding tax</v>
      </c>
      <c r="F1096" s="381">
        <f t="shared" ref="F1096:O1096" si="893" xml:space="preserve"> F$918</f>
        <v>0</v>
      </c>
      <c r="G1096" s="381" t="str">
        <f t="shared" si="893"/>
        <v>$ mn</v>
      </c>
      <c r="H1096" s="381">
        <f t="shared" si="893"/>
        <v>0</v>
      </c>
      <c r="I1096" s="381">
        <f t="shared" si="893"/>
        <v>0</v>
      </c>
      <c r="J1096" s="381">
        <f t="shared" si="893"/>
        <v>0</v>
      </c>
      <c r="K1096" s="381">
        <f t="shared" si="893"/>
        <v>0</v>
      </c>
      <c r="L1096" s="381">
        <f t="shared" si="893"/>
        <v>0</v>
      </c>
      <c r="M1096" s="381">
        <f t="shared" si="893"/>
        <v>0</v>
      </c>
      <c r="N1096" s="381">
        <f t="shared" si="893"/>
        <v>0</v>
      </c>
      <c r="O1096" s="381">
        <f t="shared" si="893"/>
        <v>0</v>
      </c>
      <c r="P1096" s="381">
        <f t="shared" ref="P1096:AS1096" si="894" xml:space="preserve"> P$918</f>
        <v>0</v>
      </c>
      <c r="Q1096" s="381">
        <f t="shared" si="894"/>
        <v>0</v>
      </c>
      <c r="R1096" s="381">
        <f t="shared" si="894"/>
        <v>0</v>
      </c>
      <c r="S1096" s="381">
        <f t="shared" si="894"/>
        <v>0</v>
      </c>
      <c r="T1096" s="381">
        <f t="shared" si="894"/>
        <v>0</v>
      </c>
      <c r="U1096" s="381">
        <f t="shared" si="894"/>
        <v>0</v>
      </c>
      <c r="V1096" s="381">
        <f t="shared" si="894"/>
        <v>0</v>
      </c>
      <c r="W1096" s="381">
        <f t="shared" si="894"/>
        <v>0</v>
      </c>
      <c r="X1096" s="381">
        <f t="shared" si="894"/>
        <v>0</v>
      </c>
      <c r="Y1096" s="381">
        <f t="shared" si="894"/>
        <v>0</v>
      </c>
      <c r="Z1096" s="381">
        <f t="shared" si="894"/>
        <v>0</v>
      </c>
      <c r="AA1096" s="381">
        <f t="shared" si="894"/>
        <v>0</v>
      </c>
      <c r="AB1096" s="381">
        <f t="shared" si="894"/>
        <v>0</v>
      </c>
      <c r="AC1096" s="381">
        <f t="shared" si="894"/>
        <v>0</v>
      </c>
      <c r="AD1096" s="381">
        <f t="shared" si="894"/>
        <v>0</v>
      </c>
      <c r="AE1096" s="381">
        <f t="shared" si="894"/>
        <v>0</v>
      </c>
      <c r="AF1096" s="381">
        <f t="shared" si="894"/>
        <v>0</v>
      </c>
      <c r="AG1096" s="381">
        <f t="shared" si="894"/>
        <v>0</v>
      </c>
      <c r="AH1096" s="381">
        <f t="shared" si="894"/>
        <v>0</v>
      </c>
      <c r="AI1096" s="381">
        <f t="shared" si="894"/>
        <v>0</v>
      </c>
      <c r="AJ1096" s="381">
        <f t="shared" si="894"/>
        <v>0</v>
      </c>
      <c r="AK1096" s="381">
        <f t="shared" si="894"/>
        <v>0</v>
      </c>
      <c r="AL1096" s="381">
        <f t="shared" si="894"/>
        <v>0</v>
      </c>
      <c r="AM1096" s="381">
        <f t="shared" si="894"/>
        <v>0</v>
      </c>
      <c r="AN1096" s="381">
        <f t="shared" si="894"/>
        <v>0</v>
      </c>
      <c r="AO1096" s="381">
        <f t="shared" si="894"/>
        <v>0</v>
      </c>
      <c r="AP1096" s="381">
        <f t="shared" si="894"/>
        <v>0</v>
      </c>
      <c r="AQ1096" s="381">
        <f t="shared" si="894"/>
        <v>0</v>
      </c>
      <c r="AR1096" s="381">
        <f t="shared" si="894"/>
        <v>0</v>
      </c>
      <c r="AS1096" s="381">
        <f t="shared" si="894"/>
        <v>0</v>
      </c>
    </row>
    <row r="1097" spans="1:45" ht="15" customHeight="1" x14ac:dyDescent="0.3">
      <c r="A1097" s="394"/>
      <c r="B1097" s="394"/>
      <c r="C1097" s="395"/>
      <c r="D1097" s="34"/>
      <c r="E1097" s="34" t="str">
        <f t="shared" ref="E1097:O1097" si="895" xml:space="preserve"> E$983</f>
        <v>Dividend withholding tax</v>
      </c>
      <c r="F1097" s="34">
        <f t="shared" si="895"/>
        <v>0</v>
      </c>
      <c r="G1097" s="34" t="str">
        <f t="shared" si="895"/>
        <v>$ mn</v>
      </c>
      <c r="H1097" s="34">
        <f t="shared" si="895"/>
        <v>0</v>
      </c>
      <c r="I1097" s="34">
        <f t="shared" si="895"/>
        <v>224.61815895215742</v>
      </c>
      <c r="J1097" s="34">
        <f t="shared" si="895"/>
        <v>0</v>
      </c>
      <c r="K1097" s="34">
        <f t="shared" si="895"/>
        <v>0</v>
      </c>
      <c r="L1097" s="34">
        <f t="shared" si="895"/>
        <v>0</v>
      </c>
      <c r="M1097" s="34">
        <f t="shared" si="895"/>
        <v>0</v>
      </c>
      <c r="N1097" s="34">
        <f t="shared" si="895"/>
        <v>0</v>
      </c>
      <c r="O1097" s="34">
        <f t="shared" si="895"/>
        <v>0</v>
      </c>
      <c r="P1097" s="34">
        <f t="shared" ref="P1097:AS1097" si="896" xml:space="preserve"> P$983</f>
        <v>0</v>
      </c>
      <c r="Q1097" s="34">
        <f t="shared" si="896"/>
        <v>0</v>
      </c>
      <c r="R1097" s="34">
        <f t="shared" si="896"/>
        <v>0</v>
      </c>
      <c r="S1097" s="34">
        <f t="shared" si="896"/>
        <v>0</v>
      </c>
      <c r="T1097" s="34">
        <f t="shared" si="896"/>
        <v>0</v>
      </c>
      <c r="U1097" s="34">
        <f t="shared" si="896"/>
        <v>0</v>
      </c>
      <c r="V1097" s="34">
        <f t="shared" si="896"/>
        <v>0</v>
      </c>
      <c r="W1097" s="34">
        <f t="shared" si="896"/>
        <v>28.712273925940117</v>
      </c>
      <c r="X1097" s="34">
        <f t="shared" si="896"/>
        <v>0</v>
      </c>
      <c r="Y1097" s="34">
        <f t="shared" si="896"/>
        <v>12.859494376943317</v>
      </c>
      <c r="Z1097" s="34">
        <f t="shared" si="896"/>
        <v>24.888187534151896</v>
      </c>
      <c r="AA1097" s="34">
        <f t="shared" si="896"/>
        <v>17.1209560194735</v>
      </c>
      <c r="AB1097" s="34">
        <f t="shared" si="896"/>
        <v>19.59615266395036</v>
      </c>
      <c r="AC1097" s="34">
        <f t="shared" si="896"/>
        <v>4.2520002565090707</v>
      </c>
      <c r="AD1097" s="34">
        <f t="shared" si="896"/>
        <v>19.553301604469887</v>
      </c>
      <c r="AE1097" s="34">
        <f t="shared" si="896"/>
        <v>18.653017899186221</v>
      </c>
      <c r="AF1097" s="34">
        <f t="shared" si="896"/>
        <v>19.12065732756238</v>
      </c>
      <c r="AG1097" s="34">
        <f t="shared" si="896"/>
        <v>18.2957410492299</v>
      </c>
      <c r="AH1097" s="34">
        <f t="shared" si="896"/>
        <v>17.530387391023734</v>
      </c>
      <c r="AI1097" s="34">
        <f t="shared" si="896"/>
        <v>10.173185274388651</v>
      </c>
      <c r="AJ1097" s="34">
        <f t="shared" si="896"/>
        <v>12.51733128626965</v>
      </c>
      <c r="AK1097" s="34">
        <f t="shared" si="896"/>
        <v>1.3454723430587663</v>
      </c>
      <c r="AL1097" s="34">
        <f t="shared" si="896"/>
        <v>0</v>
      </c>
      <c r="AM1097" s="34">
        <f t="shared" si="896"/>
        <v>0</v>
      </c>
      <c r="AN1097" s="34">
        <f t="shared" si="896"/>
        <v>0</v>
      </c>
      <c r="AO1097" s="34">
        <f t="shared" si="896"/>
        <v>0</v>
      </c>
      <c r="AP1097" s="34">
        <f t="shared" si="896"/>
        <v>0</v>
      </c>
      <c r="AQ1097" s="34">
        <f t="shared" si="896"/>
        <v>0</v>
      </c>
      <c r="AR1097" s="34">
        <f t="shared" si="896"/>
        <v>0</v>
      </c>
      <c r="AS1097" s="34">
        <f t="shared" si="896"/>
        <v>0</v>
      </c>
    </row>
    <row r="1098" spans="1:45" ht="15" customHeight="1" x14ac:dyDescent="0.3">
      <c r="A1098" s="394"/>
      <c r="B1098" s="394"/>
      <c r="C1098" s="395"/>
      <c r="D1098" s="34"/>
      <c r="E1098" s="381" t="str">
        <f xml:space="preserve"> E$848</f>
        <v>WHT on non-resident services</v>
      </c>
      <c r="F1098" s="381">
        <f t="shared" ref="F1098:AS1098" si="897" xml:space="preserve"> F$848</f>
        <v>0</v>
      </c>
      <c r="G1098" s="381" t="str">
        <f t="shared" si="897"/>
        <v>$ mn</v>
      </c>
      <c r="H1098" s="381">
        <f t="shared" si="897"/>
        <v>0</v>
      </c>
      <c r="I1098" s="381">
        <f t="shared" si="897"/>
        <v>72.445296483462641</v>
      </c>
      <c r="J1098" s="381">
        <f t="shared" si="897"/>
        <v>0</v>
      </c>
      <c r="K1098" s="381">
        <f t="shared" si="897"/>
        <v>0</v>
      </c>
      <c r="L1098" s="381">
        <f t="shared" si="897"/>
        <v>0</v>
      </c>
      <c r="M1098" s="381">
        <f t="shared" si="897"/>
        <v>0</v>
      </c>
      <c r="N1098" s="381">
        <f t="shared" si="897"/>
        <v>0</v>
      </c>
      <c r="O1098" s="381">
        <f t="shared" si="897"/>
        <v>0</v>
      </c>
      <c r="P1098" s="381">
        <f t="shared" si="897"/>
        <v>0</v>
      </c>
      <c r="Q1098" s="381">
        <f t="shared" si="897"/>
        <v>0</v>
      </c>
      <c r="R1098" s="381">
        <f t="shared" si="897"/>
        <v>0</v>
      </c>
      <c r="S1098" s="381">
        <f t="shared" si="897"/>
        <v>0</v>
      </c>
      <c r="T1098" s="381">
        <f t="shared" si="897"/>
        <v>0</v>
      </c>
      <c r="U1098" s="381">
        <f t="shared" si="897"/>
        <v>0</v>
      </c>
      <c r="V1098" s="381">
        <f t="shared" si="897"/>
        <v>5.6123427587850001</v>
      </c>
      <c r="W1098" s="381">
        <f t="shared" si="897"/>
        <v>3.1552135312705007</v>
      </c>
      <c r="X1098" s="381">
        <f t="shared" si="897"/>
        <v>4.857328718290721</v>
      </c>
      <c r="Y1098" s="381">
        <f t="shared" si="897"/>
        <v>2.5007843498043005</v>
      </c>
      <c r="Z1098" s="381">
        <f t="shared" si="897"/>
        <v>3.6758916944584801</v>
      </c>
      <c r="AA1098" s="381">
        <f t="shared" si="897"/>
        <v>6.5267786363856652</v>
      </c>
      <c r="AB1098" s="381">
        <f t="shared" si="897"/>
        <v>6.0511123997289111</v>
      </c>
      <c r="AC1098" s="381">
        <f t="shared" si="897"/>
        <v>5.0615623491353485</v>
      </c>
      <c r="AD1098" s="381">
        <f t="shared" si="897"/>
        <v>4.3697018046981171</v>
      </c>
      <c r="AE1098" s="381">
        <f t="shared" si="897"/>
        <v>4.4768667496040315</v>
      </c>
      <c r="AF1098" s="381">
        <f t="shared" si="897"/>
        <v>4.5716721586344811</v>
      </c>
      <c r="AG1098" s="381">
        <f t="shared" si="897"/>
        <v>4.6706893208561171</v>
      </c>
      <c r="AH1098" s="381">
        <f t="shared" si="897"/>
        <v>4.7714848136522852</v>
      </c>
      <c r="AI1098" s="381">
        <f t="shared" si="897"/>
        <v>4.9266382979590038</v>
      </c>
      <c r="AJ1098" s="381">
        <f t="shared" si="897"/>
        <v>4.5576136621084924</v>
      </c>
      <c r="AK1098" s="381">
        <f t="shared" si="897"/>
        <v>2.6596152380911815</v>
      </c>
      <c r="AL1098" s="381">
        <f t="shared" si="897"/>
        <v>0</v>
      </c>
      <c r="AM1098" s="381">
        <f t="shared" si="897"/>
        <v>0</v>
      </c>
      <c r="AN1098" s="381">
        <f t="shared" si="897"/>
        <v>0</v>
      </c>
      <c r="AO1098" s="381">
        <f t="shared" si="897"/>
        <v>0</v>
      </c>
      <c r="AP1098" s="381">
        <f t="shared" si="897"/>
        <v>0</v>
      </c>
      <c r="AQ1098" s="381">
        <f t="shared" si="897"/>
        <v>0</v>
      </c>
      <c r="AR1098" s="381">
        <f t="shared" si="897"/>
        <v>0</v>
      </c>
      <c r="AS1098" s="381">
        <f t="shared" si="897"/>
        <v>0</v>
      </c>
    </row>
    <row r="1099" spans="1:45" ht="15" customHeight="1" x14ac:dyDescent="0.3">
      <c r="A1099" s="739"/>
      <c r="B1099" s="739"/>
      <c r="C1099" s="740"/>
      <c r="D1099" s="703"/>
      <c r="E1099" s="703"/>
      <c r="F1099" s="703" t="s">
        <v>320</v>
      </c>
      <c r="G1099" s="703"/>
      <c r="H1099" s="703"/>
      <c r="I1099" s="703"/>
      <c r="J1099" s="703"/>
      <c r="K1099" s="703"/>
      <c r="L1099" s="703"/>
      <c r="M1099" s="703"/>
      <c r="N1099" s="703"/>
      <c r="O1099" s="703"/>
      <c r="P1099" s="703"/>
      <c r="Q1099" s="703"/>
      <c r="R1099" s="703"/>
      <c r="S1099" s="703"/>
      <c r="T1099" s="703"/>
      <c r="U1099" s="703"/>
      <c r="V1099" s="703"/>
      <c r="W1099" s="703"/>
      <c r="X1099" s="703"/>
      <c r="Y1099" s="703"/>
      <c r="Z1099" s="703"/>
      <c r="AA1099" s="703"/>
      <c r="AB1099" s="703"/>
      <c r="AC1099" s="703"/>
      <c r="AD1099" s="703"/>
      <c r="AE1099" s="703"/>
      <c r="AF1099" s="703"/>
      <c r="AG1099" s="703"/>
      <c r="AH1099" s="703"/>
      <c r="AI1099" s="703"/>
      <c r="AJ1099" s="703"/>
      <c r="AK1099" s="703"/>
      <c r="AL1099" s="703"/>
      <c r="AM1099" s="703"/>
      <c r="AN1099" s="703"/>
      <c r="AO1099" s="703"/>
      <c r="AP1099" s="703"/>
      <c r="AQ1099" s="703"/>
      <c r="AR1099" s="703"/>
      <c r="AS1099" s="703"/>
    </row>
    <row r="1100" spans="1:45" ht="15" customHeight="1" x14ac:dyDescent="0.3">
      <c r="A1100" s="771"/>
      <c r="B1100" s="771"/>
      <c r="C1100" s="772"/>
      <c r="D1100" s="773"/>
      <c r="E1100" s="773" t="s">
        <v>658</v>
      </c>
      <c r="F1100" s="773"/>
      <c r="G1100" s="773" t="s">
        <v>346</v>
      </c>
      <c r="H1100" s="773"/>
      <c r="I1100" s="773">
        <f>SUM(K1100:AS1100)</f>
        <v>2765.6905268255668</v>
      </c>
      <c r="J1100" s="773"/>
      <c r="K1100" s="773">
        <f>SUM(K1089:K1098)</f>
        <v>0</v>
      </c>
      <c r="L1100" s="773">
        <f t="shared" ref="L1100:AS1100" si="898">SUM(L1089:L1098)</f>
        <v>0</v>
      </c>
      <c r="M1100" s="773">
        <f t="shared" si="898"/>
        <v>0</v>
      </c>
      <c r="N1100" s="773">
        <f t="shared" si="898"/>
        <v>0</v>
      </c>
      <c r="O1100" s="773">
        <f t="shared" si="898"/>
        <v>0</v>
      </c>
      <c r="P1100" s="773">
        <f t="shared" si="898"/>
        <v>0</v>
      </c>
      <c r="Q1100" s="773">
        <f t="shared" si="898"/>
        <v>0</v>
      </c>
      <c r="R1100" s="773">
        <f t="shared" si="898"/>
        <v>0</v>
      </c>
      <c r="S1100" s="773">
        <f t="shared" si="898"/>
        <v>0</v>
      </c>
      <c r="T1100" s="773">
        <f t="shared" si="898"/>
        <v>0</v>
      </c>
      <c r="U1100" s="773">
        <f t="shared" si="898"/>
        <v>0</v>
      </c>
      <c r="V1100" s="773">
        <f t="shared" si="898"/>
        <v>20.419127879785002</v>
      </c>
      <c r="W1100" s="773">
        <f t="shared" si="898"/>
        <v>73.716234112410632</v>
      </c>
      <c r="X1100" s="773">
        <f t="shared" si="898"/>
        <v>110.64490124848584</v>
      </c>
      <c r="Y1100" s="773">
        <f t="shared" si="898"/>
        <v>148.34620549351393</v>
      </c>
      <c r="Z1100" s="773">
        <f t="shared" si="898"/>
        <v>330.22490284750336</v>
      </c>
      <c r="AA1100" s="773">
        <f t="shared" si="898"/>
        <v>276.84151441910132</v>
      </c>
      <c r="AB1100" s="773">
        <f t="shared" si="898"/>
        <v>243.53541986864383</v>
      </c>
      <c r="AC1100" s="773">
        <f t="shared" si="898"/>
        <v>95.544701892986964</v>
      </c>
      <c r="AD1100" s="773">
        <f t="shared" si="898"/>
        <v>211.54265958695359</v>
      </c>
      <c r="AE1100" s="773">
        <f t="shared" si="898"/>
        <v>215.23622162282058</v>
      </c>
      <c r="AF1100" s="773">
        <f t="shared" si="898"/>
        <v>213.59325744836227</v>
      </c>
      <c r="AG1100" s="773">
        <f t="shared" si="898"/>
        <v>213.56641208967943</v>
      </c>
      <c r="AH1100" s="773">
        <f t="shared" si="898"/>
        <v>215.2390177556521</v>
      </c>
      <c r="AI1100" s="773">
        <f t="shared" si="898"/>
        <v>163.57340365229086</v>
      </c>
      <c r="AJ1100" s="773">
        <f t="shared" si="898"/>
        <v>178.94949100444214</v>
      </c>
      <c r="AK1100" s="773">
        <f t="shared" si="898"/>
        <v>54.717055902935016</v>
      </c>
      <c r="AL1100" s="773">
        <f t="shared" si="898"/>
        <v>0</v>
      </c>
      <c r="AM1100" s="773">
        <f t="shared" si="898"/>
        <v>0</v>
      </c>
      <c r="AN1100" s="773">
        <f t="shared" si="898"/>
        <v>0</v>
      </c>
      <c r="AO1100" s="773">
        <f t="shared" si="898"/>
        <v>0</v>
      </c>
      <c r="AP1100" s="773">
        <f t="shared" si="898"/>
        <v>0</v>
      </c>
      <c r="AQ1100" s="773">
        <f t="shared" si="898"/>
        <v>0</v>
      </c>
      <c r="AR1100" s="773">
        <f t="shared" si="898"/>
        <v>0</v>
      </c>
      <c r="AS1100" s="773">
        <f t="shared" si="898"/>
        <v>0</v>
      </c>
    </row>
    <row r="1101" spans="1:45" ht="15" customHeight="1" x14ac:dyDescent="0.3">
      <c r="A1101" s="394"/>
      <c r="B1101" s="394"/>
      <c r="C1101" s="395"/>
      <c r="D1101" s="34"/>
      <c r="E1101" s="40" t="str">
        <f xml:space="preserve"> E$971</f>
        <v>Gecamines share of cashflows after repaying loan</v>
      </c>
      <c r="F1101" s="40">
        <f t="shared" ref="F1101:O1101" si="899" xml:space="preserve"> F$971</f>
        <v>0</v>
      </c>
      <c r="G1101" s="40" t="str">
        <f t="shared" si="899"/>
        <v>$ mn</v>
      </c>
      <c r="H1101" s="40">
        <f t="shared" si="899"/>
        <v>0</v>
      </c>
      <c r="I1101" s="40">
        <f t="shared" si="899"/>
        <v>921.83851310159503</v>
      </c>
      <c r="J1101" s="40">
        <f t="shared" si="899"/>
        <v>0</v>
      </c>
      <c r="K1101" s="40">
        <f t="shared" si="899"/>
        <v>0</v>
      </c>
      <c r="L1101" s="40">
        <f t="shared" si="899"/>
        <v>0</v>
      </c>
      <c r="M1101" s="40">
        <f t="shared" si="899"/>
        <v>0</v>
      </c>
      <c r="N1101" s="40">
        <f t="shared" si="899"/>
        <v>0</v>
      </c>
      <c r="O1101" s="40">
        <f t="shared" si="899"/>
        <v>0</v>
      </c>
      <c r="P1101" s="40">
        <f t="shared" ref="P1101:AS1101" si="900" xml:space="preserve"> P$971</f>
        <v>0</v>
      </c>
      <c r="Q1101" s="40">
        <f t="shared" si="900"/>
        <v>0</v>
      </c>
      <c r="R1101" s="40">
        <f t="shared" si="900"/>
        <v>0</v>
      </c>
      <c r="S1101" s="40">
        <f t="shared" si="900"/>
        <v>0</v>
      </c>
      <c r="T1101" s="40">
        <f t="shared" si="900"/>
        <v>0</v>
      </c>
      <c r="U1101" s="40">
        <f t="shared" si="900"/>
        <v>0</v>
      </c>
      <c r="V1101" s="40">
        <f t="shared" si="900"/>
        <v>0</v>
      </c>
      <c r="W1101" s="40">
        <f t="shared" si="900"/>
        <v>55.314913606598815</v>
      </c>
      <c r="X1101" s="40">
        <f t="shared" si="900"/>
        <v>0</v>
      </c>
      <c r="Y1101" s="40">
        <f t="shared" si="900"/>
        <v>28.804743620437343</v>
      </c>
      <c r="Z1101" s="40">
        <f t="shared" si="900"/>
        <v>96.787395966146264</v>
      </c>
      <c r="AA1101" s="40">
        <f t="shared" si="900"/>
        <v>66.581495631285847</v>
      </c>
      <c r="AB1101" s="40">
        <f t="shared" si="900"/>
        <v>76.207260359806966</v>
      </c>
      <c r="AC1101" s="40">
        <f t="shared" si="900"/>
        <v>20.942687830567063</v>
      </c>
      <c r="AD1101" s="40">
        <f t="shared" si="900"/>
        <v>96.307306410075569</v>
      </c>
      <c r="AE1101" s="40">
        <f t="shared" si="900"/>
        <v>91.873073234797815</v>
      </c>
      <c r="AF1101" s="40">
        <f t="shared" si="900"/>
        <v>94.176371911874412</v>
      </c>
      <c r="AG1101" s="40">
        <f t="shared" si="900"/>
        <v>90.113351436505482</v>
      </c>
      <c r="AH1101" s="40">
        <f t="shared" si="900"/>
        <v>86.3436990901169</v>
      </c>
      <c r="AI1101" s="40">
        <f t="shared" si="900"/>
        <v>50.106733441018733</v>
      </c>
      <c r="AJ1101" s="40">
        <f t="shared" si="900"/>
        <v>61.652527230880366</v>
      </c>
      <c r="AK1101" s="40">
        <f t="shared" si="900"/>
        <v>6.6269533314834765</v>
      </c>
      <c r="AL1101" s="40">
        <f t="shared" si="900"/>
        <v>0</v>
      </c>
      <c r="AM1101" s="40">
        <f t="shared" si="900"/>
        <v>0</v>
      </c>
      <c r="AN1101" s="40">
        <f t="shared" si="900"/>
        <v>0</v>
      </c>
      <c r="AO1101" s="40">
        <f t="shared" si="900"/>
        <v>0</v>
      </c>
      <c r="AP1101" s="40">
        <f t="shared" si="900"/>
        <v>0</v>
      </c>
      <c r="AQ1101" s="40">
        <f t="shared" si="900"/>
        <v>0</v>
      </c>
      <c r="AR1101" s="40">
        <f t="shared" si="900"/>
        <v>0</v>
      </c>
      <c r="AS1101" s="40">
        <f t="shared" si="900"/>
        <v>0</v>
      </c>
    </row>
    <row r="1102" spans="1:45" ht="15" customHeight="1" x14ac:dyDescent="0.3">
      <c r="A1102" s="558"/>
      <c r="B1102" s="558"/>
      <c r="C1102" s="559"/>
      <c r="D1102" s="548"/>
      <c r="E1102" s="548" t="s">
        <v>659</v>
      </c>
      <c r="F1102" s="548"/>
      <c r="G1102" s="548" t="s">
        <v>346</v>
      </c>
      <c r="H1102" s="747"/>
      <c r="I1102" s="747">
        <f>SUM(K1102:AS1102)</f>
        <v>3687.5290399271621</v>
      </c>
      <c r="J1102" s="551"/>
      <c r="K1102" s="548">
        <f t="shared" ref="K1102:O1102" si="901">K1100 + K1101</f>
        <v>0</v>
      </c>
      <c r="L1102" s="548">
        <f t="shared" si="901"/>
        <v>0</v>
      </c>
      <c r="M1102" s="548">
        <f t="shared" si="901"/>
        <v>0</v>
      </c>
      <c r="N1102" s="548">
        <f t="shared" si="901"/>
        <v>0</v>
      </c>
      <c r="O1102" s="548">
        <f t="shared" si="901"/>
        <v>0</v>
      </c>
      <c r="P1102" s="548">
        <f>P1100 + P1101</f>
        <v>0</v>
      </c>
      <c r="Q1102" s="548">
        <f t="shared" ref="Q1102:R1102" si="902">Q1100 + Q1101</f>
        <v>0</v>
      </c>
      <c r="R1102" s="548">
        <f t="shared" si="902"/>
        <v>0</v>
      </c>
      <c r="S1102" s="548">
        <f>S1100 + S1101</f>
        <v>0</v>
      </c>
      <c r="T1102" s="548">
        <f t="shared" ref="T1102:AS1102" si="903">T1100 + T1101</f>
        <v>0</v>
      </c>
      <c r="U1102" s="548">
        <f t="shared" si="903"/>
        <v>0</v>
      </c>
      <c r="V1102" s="548">
        <f t="shared" si="903"/>
        <v>20.419127879785002</v>
      </c>
      <c r="W1102" s="548">
        <f t="shared" si="903"/>
        <v>129.03114771900945</v>
      </c>
      <c r="X1102" s="548">
        <f t="shared" si="903"/>
        <v>110.64490124848584</v>
      </c>
      <c r="Y1102" s="548">
        <f t="shared" si="903"/>
        <v>177.15094911395127</v>
      </c>
      <c r="Z1102" s="548">
        <f t="shared" si="903"/>
        <v>427.01229881364964</v>
      </c>
      <c r="AA1102" s="548">
        <f t="shared" si="903"/>
        <v>343.42301005038718</v>
      </c>
      <c r="AB1102" s="548">
        <f>AB1100 + AB1101</f>
        <v>319.74268022845081</v>
      </c>
      <c r="AC1102" s="548">
        <f t="shared" si="903"/>
        <v>116.48738972355403</v>
      </c>
      <c r="AD1102" s="548">
        <f t="shared" si="903"/>
        <v>307.84996599702913</v>
      </c>
      <c r="AE1102" s="548">
        <f t="shared" si="903"/>
        <v>307.10929485761841</v>
      </c>
      <c r="AF1102" s="548">
        <f t="shared" si="903"/>
        <v>307.76962936023665</v>
      </c>
      <c r="AG1102" s="548">
        <f t="shared" si="903"/>
        <v>303.6797635261849</v>
      </c>
      <c r="AH1102" s="548">
        <f t="shared" si="903"/>
        <v>301.58271684576903</v>
      </c>
      <c r="AI1102" s="548">
        <f t="shared" si="903"/>
        <v>213.68013709330961</v>
      </c>
      <c r="AJ1102" s="548">
        <f t="shared" si="903"/>
        <v>240.6020182353225</v>
      </c>
      <c r="AK1102" s="548">
        <f t="shared" si="903"/>
        <v>61.344009234418493</v>
      </c>
      <c r="AL1102" s="548">
        <f t="shared" si="903"/>
        <v>0</v>
      </c>
      <c r="AM1102" s="548">
        <f t="shared" si="903"/>
        <v>0</v>
      </c>
      <c r="AN1102" s="548">
        <f t="shared" si="903"/>
        <v>0</v>
      </c>
      <c r="AO1102" s="548">
        <f t="shared" si="903"/>
        <v>0</v>
      </c>
      <c r="AP1102" s="548">
        <f t="shared" si="903"/>
        <v>0</v>
      </c>
      <c r="AQ1102" s="548">
        <f t="shared" si="903"/>
        <v>0</v>
      </c>
      <c r="AR1102" s="548">
        <f t="shared" si="903"/>
        <v>0</v>
      </c>
      <c r="AS1102" s="548">
        <f t="shared" si="903"/>
        <v>0</v>
      </c>
    </row>
    <row r="1103" spans="1:45" ht="15" customHeight="1" x14ac:dyDescent="0.3">
      <c r="I1103" s="116"/>
      <c r="AL1103" s="42"/>
      <c r="AM1103" s="42"/>
      <c r="AN1103" s="42"/>
      <c r="AO1103" s="42"/>
      <c r="AP1103" s="42"/>
      <c r="AQ1103" s="88"/>
      <c r="AR1103" s="88"/>
      <c r="AS1103" s="88"/>
    </row>
    <row r="1104" spans="1:45" ht="15" customHeight="1" x14ac:dyDescent="0.3">
      <c r="A1104" s="88"/>
      <c r="B1104" s="88"/>
      <c r="C1104" s="746"/>
      <c r="D1104" s="88"/>
      <c r="E1104" s="88" t="s">
        <v>852</v>
      </c>
      <c r="F1104" s="442">
        <f xml:space="preserve"> SUM(Q1104:AS1104)</f>
        <v>0</v>
      </c>
      <c r="G1104" s="88" t="s">
        <v>509</v>
      </c>
      <c r="H1104" s="88"/>
      <c r="I1104" s="88"/>
      <c r="J1104" s="88"/>
      <c r="K1104" s="442">
        <f t="shared" ref="K1104:AS1104" si="904" xml:space="preserve"> IF( ABS(K1100 - K1130) &gt; CHK_TOL, 1, 0)</f>
        <v>0</v>
      </c>
      <c r="L1104" s="442">
        <f t="shared" si="904"/>
        <v>0</v>
      </c>
      <c r="M1104" s="442">
        <f t="shared" si="904"/>
        <v>0</v>
      </c>
      <c r="N1104" s="442">
        <f t="shared" si="904"/>
        <v>0</v>
      </c>
      <c r="O1104" s="442">
        <f t="shared" si="904"/>
        <v>0</v>
      </c>
      <c r="P1104" s="442">
        <f t="shared" si="904"/>
        <v>0</v>
      </c>
      <c r="Q1104" s="442">
        <f t="shared" si="904"/>
        <v>0</v>
      </c>
      <c r="R1104" s="442">
        <f t="shared" si="904"/>
        <v>0</v>
      </c>
      <c r="S1104" s="442">
        <f t="shared" si="904"/>
        <v>0</v>
      </c>
      <c r="T1104" s="442">
        <f t="shared" si="904"/>
        <v>0</v>
      </c>
      <c r="U1104" s="442">
        <f t="shared" si="904"/>
        <v>0</v>
      </c>
      <c r="V1104" s="442">
        <f t="shared" si="904"/>
        <v>0</v>
      </c>
      <c r="W1104" s="442">
        <f t="shared" si="904"/>
        <v>0</v>
      </c>
      <c r="X1104" s="442">
        <f t="shared" si="904"/>
        <v>0</v>
      </c>
      <c r="Y1104" s="442">
        <f t="shared" si="904"/>
        <v>0</v>
      </c>
      <c r="Z1104" s="442">
        <f t="shared" si="904"/>
        <v>0</v>
      </c>
      <c r="AA1104" s="442">
        <f t="shared" si="904"/>
        <v>0</v>
      </c>
      <c r="AB1104" s="442">
        <f t="shared" si="904"/>
        <v>0</v>
      </c>
      <c r="AC1104" s="442">
        <f t="shared" si="904"/>
        <v>0</v>
      </c>
      <c r="AD1104" s="442">
        <f t="shared" si="904"/>
        <v>0</v>
      </c>
      <c r="AE1104" s="442">
        <f t="shared" si="904"/>
        <v>0</v>
      </c>
      <c r="AF1104" s="442">
        <f t="shared" si="904"/>
        <v>0</v>
      </c>
      <c r="AG1104" s="442">
        <f t="shared" si="904"/>
        <v>0</v>
      </c>
      <c r="AH1104" s="442">
        <f t="shared" si="904"/>
        <v>0</v>
      </c>
      <c r="AI1104" s="442">
        <f t="shared" si="904"/>
        <v>0</v>
      </c>
      <c r="AJ1104" s="442">
        <f t="shared" si="904"/>
        <v>0</v>
      </c>
      <c r="AK1104" s="442">
        <f t="shared" si="904"/>
        <v>0</v>
      </c>
      <c r="AL1104" s="442">
        <f t="shared" si="904"/>
        <v>0</v>
      </c>
      <c r="AM1104" s="442">
        <f t="shared" si="904"/>
        <v>0</v>
      </c>
      <c r="AN1104" s="442">
        <f t="shared" si="904"/>
        <v>0</v>
      </c>
      <c r="AO1104" s="442">
        <f t="shared" si="904"/>
        <v>0</v>
      </c>
      <c r="AP1104" s="442">
        <f t="shared" si="904"/>
        <v>0</v>
      </c>
      <c r="AQ1104" s="442">
        <f t="shared" si="904"/>
        <v>0</v>
      </c>
      <c r="AR1104" s="442">
        <f t="shared" si="904"/>
        <v>0</v>
      </c>
      <c r="AS1104" s="442">
        <f t="shared" si="904"/>
        <v>0</v>
      </c>
    </row>
    <row r="1105" spans="1:45" ht="15" customHeight="1" x14ac:dyDescent="0.3">
      <c r="I1105" s="116"/>
      <c r="AL1105" s="42"/>
      <c r="AM1105" s="42"/>
      <c r="AN1105" s="42"/>
      <c r="AO1105" s="42"/>
      <c r="AP1105" s="42"/>
      <c r="AQ1105" s="88"/>
      <c r="AR1105" s="88"/>
      <c r="AS1105" s="88"/>
    </row>
    <row r="1106" spans="1:45" ht="15" customHeight="1" x14ac:dyDescent="0.3">
      <c r="B1106" s="112" t="s">
        <v>966</v>
      </c>
      <c r="I1106" s="116"/>
      <c r="AL1106" s="42"/>
      <c r="AM1106" s="42"/>
      <c r="AN1106" s="42"/>
      <c r="AO1106" s="42"/>
      <c r="AP1106" s="42"/>
      <c r="AQ1106" s="88"/>
      <c r="AR1106" s="88"/>
      <c r="AS1106" s="88"/>
    </row>
    <row r="1107" spans="1:45" ht="15" customHeight="1" x14ac:dyDescent="0.3">
      <c r="E1107" s="980" t="str">
        <f xml:space="preserve"> Inputs_Con!E$29</f>
        <v xml:space="preserve">Forecast / point forward year </v>
      </c>
      <c r="F1107" s="980">
        <f xml:space="preserve"> Inputs_Con!F$29</f>
        <v>2025</v>
      </c>
      <c r="G1107" s="980" t="str">
        <f xml:space="preserve"> Inputs_Con!G$29</f>
        <v>year</v>
      </c>
      <c r="I1107" s="116"/>
      <c r="AL1107" s="42"/>
      <c r="AM1107" s="42"/>
      <c r="AN1107" s="42"/>
      <c r="AO1107" s="42"/>
      <c r="AP1107" s="42"/>
      <c r="AQ1107" s="88"/>
      <c r="AR1107" s="88"/>
      <c r="AS1107" s="88"/>
    </row>
    <row r="1108" spans="1:45" ht="15" customHeight="1" x14ac:dyDescent="0.3">
      <c r="E1108" s="177" t="str">
        <f xml:space="preserve"> Inputs_Con!E$30</f>
        <v>Focus year for sensitivity analysis</v>
      </c>
      <c r="F1108" s="980">
        <f xml:space="preserve"> Inputs_Con!F$30</f>
        <v>2022</v>
      </c>
      <c r="G1108" s="177" t="str">
        <f xml:space="preserve"> Inputs_Con!G$30</f>
        <v>year</v>
      </c>
      <c r="I1108" s="116"/>
      <c r="AL1108" s="42"/>
      <c r="AM1108" s="42"/>
      <c r="AN1108" s="42"/>
      <c r="AO1108" s="42"/>
      <c r="AP1108" s="42"/>
      <c r="AQ1108" s="88"/>
      <c r="AR1108" s="88"/>
      <c r="AS1108" s="88"/>
    </row>
    <row r="1109" spans="1:45" ht="15" customHeight="1" x14ac:dyDescent="0.3">
      <c r="I1109" s="116"/>
      <c r="AL1109" s="42"/>
      <c r="AM1109" s="42"/>
      <c r="AN1109" s="42"/>
      <c r="AO1109" s="42"/>
      <c r="AP1109" s="42"/>
      <c r="AQ1109" s="88"/>
      <c r="AR1109" s="88"/>
      <c r="AS1109" s="88"/>
    </row>
    <row r="1110" spans="1:45" ht="15" customHeight="1" x14ac:dyDescent="0.3">
      <c r="A1110" s="394"/>
      <c r="B1110" s="394"/>
      <c r="C1110" s="395"/>
      <c r="D1110" s="34"/>
      <c r="E1110" s="1051" t="s">
        <v>245</v>
      </c>
      <c r="F1110" s="408">
        <f>F1108</f>
        <v>2022</v>
      </c>
      <c r="G1110" s="1052" t="str">
        <f xml:space="preserve"> "&gt;= " &amp; F1107</f>
        <v>&gt;= 2025</v>
      </c>
      <c r="H1110" s="230"/>
      <c r="I1110" s="230"/>
      <c r="J1110" s="386"/>
      <c r="K1110" s="34"/>
      <c r="L1110" s="34"/>
      <c r="M1110" s="34"/>
      <c r="N1110" s="34"/>
      <c r="O1110" s="34"/>
      <c r="P1110" s="34"/>
      <c r="Q1110" s="34"/>
      <c r="R1110" s="34"/>
      <c r="S1110" s="34"/>
      <c r="T1110" s="34"/>
      <c r="U1110" s="34"/>
      <c r="V1110" s="34"/>
      <c r="W1110" s="34"/>
      <c r="X1110" s="34"/>
      <c r="Y1110" s="34"/>
      <c r="Z1110" s="34"/>
      <c r="AA1110" s="34"/>
      <c r="AB1110" s="34"/>
      <c r="AC1110" s="34"/>
      <c r="AD1110" s="34"/>
      <c r="AE1110" s="34"/>
      <c r="AF1110" s="34"/>
      <c r="AG1110" s="34"/>
      <c r="AH1110" s="34"/>
      <c r="AI1110" s="34"/>
      <c r="AJ1110" s="34"/>
      <c r="AK1110" s="34"/>
      <c r="AL1110" s="34"/>
      <c r="AM1110" s="34"/>
      <c r="AN1110" s="34"/>
      <c r="AO1110" s="34"/>
      <c r="AP1110" s="34"/>
      <c r="AQ1110" s="408"/>
      <c r="AR1110" s="408"/>
      <c r="AS1110" s="408"/>
    </row>
    <row r="1111" spans="1:45" ht="15" customHeight="1" x14ac:dyDescent="0.3">
      <c r="A1111" s="736"/>
      <c r="B1111" s="736"/>
      <c r="C1111" s="737"/>
      <c r="D1111" s="738"/>
      <c r="E1111" s="738"/>
      <c r="F1111" s="738"/>
      <c r="G1111" s="738"/>
      <c r="H1111" s="738"/>
      <c r="I1111" s="230"/>
      <c r="J1111" s="386"/>
      <c r="K1111" s="34"/>
      <c r="L1111" s="34"/>
      <c r="M1111" s="34"/>
      <c r="N1111" s="34"/>
      <c r="O1111" s="34"/>
      <c r="P1111" s="34"/>
      <c r="Q1111" s="34"/>
      <c r="R1111" s="34"/>
      <c r="S1111" s="34"/>
      <c r="T1111" s="34"/>
      <c r="U1111" s="34"/>
      <c r="V1111" s="34"/>
      <c r="W1111" s="34"/>
      <c r="X1111" s="34"/>
      <c r="Y1111" s="34"/>
      <c r="Z1111" s="34"/>
      <c r="AA1111" s="34"/>
      <c r="AB1111" s="34"/>
      <c r="AC1111" s="34"/>
      <c r="AD1111" s="34"/>
      <c r="AE1111" s="34"/>
      <c r="AF1111" s="34"/>
      <c r="AG1111" s="34"/>
      <c r="AH1111" s="34"/>
      <c r="AI1111" s="34"/>
      <c r="AJ1111" s="34"/>
      <c r="AK1111" s="34"/>
      <c r="AL1111" s="34"/>
      <c r="AM1111" s="34"/>
      <c r="AN1111" s="34"/>
      <c r="AO1111" s="34"/>
      <c r="AP1111" s="34"/>
      <c r="AQ1111" s="408"/>
      <c r="AR1111" s="408"/>
      <c r="AS1111" s="408"/>
    </row>
    <row r="1112" spans="1:45" ht="15" customHeight="1" x14ac:dyDescent="0.3">
      <c r="A1112" s="394"/>
      <c r="B1112" s="394"/>
      <c r="C1112" s="395"/>
      <c r="D1112" s="34"/>
      <c r="E1112" s="408" t="str">
        <f t="shared" ref="E1112:E1121" si="905" xml:space="preserve"> E1089 &amp; " " &amp; $F$1108</f>
        <v>Total royalty 2022</v>
      </c>
      <c r="F1112" s="408" cm="1">
        <f t="array" ref="F1112" xml:space="preserve"> INDEX(K1089:AV1089, , MATCH($F$1108, L$1033:AV$1033, 0))</f>
        <v>43.023062557888011</v>
      </c>
      <c r="G1112" s="408">
        <f t="shared" ref="G1112:G1119" si="906" xml:space="preserve"> SUMIFS(K1089:AV1089, K$1033:AV$1033, "&gt;=" &amp; F$1107)</f>
        <v>257.05660035995732</v>
      </c>
      <c r="H1112" s="408" t="str">
        <f xml:space="preserve"> G1089</f>
        <v>$ mn</v>
      </c>
      <c r="I1112" s="230"/>
      <c r="J1112" s="386"/>
      <c r="K1112" s="34"/>
      <c r="L1112" s="34"/>
      <c r="M1112" s="34"/>
      <c r="N1112" s="34"/>
      <c r="O1112" s="34"/>
      <c r="P1112" s="34"/>
      <c r="Q1112" s="34"/>
      <c r="R1112" s="34"/>
      <c r="S1112" s="34"/>
      <c r="T1112" s="34"/>
      <c r="U1112" s="34"/>
      <c r="V1112" s="34"/>
      <c r="W1112" s="34"/>
      <c r="X1112" s="34"/>
      <c r="Y1112" s="34"/>
      <c r="Z1112" s="34"/>
      <c r="AA1112" s="34"/>
      <c r="AB1112" s="34"/>
      <c r="AC1112" s="34"/>
      <c r="AD1112" s="34"/>
      <c r="AE1112" s="34"/>
      <c r="AF1112" s="34"/>
      <c r="AG1112" s="34"/>
      <c r="AH1112" s="34"/>
      <c r="AI1112" s="34"/>
      <c r="AJ1112" s="34"/>
      <c r="AK1112" s="34"/>
      <c r="AL1112" s="34"/>
      <c r="AM1112" s="34"/>
      <c r="AN1112" s="34"/>
      <c r="AO1112" s="34"/>
      <c r="AP1112" s="34"/>
      <c r="AQ1112" s="408"/>
      <c r="AR1112" s="408"/>
      <c r="AS1112" s="408"/>
    </row>
    <row r="1113" spans="1:45" ht="15" customHeight="1" x14ac:dyDescent="0.3">
      <c r="A1113" s="394"/>
      <c r="B1113" s="394"/>
      <c r="C1113" s="395"/>
      <c r="D1113" s="34"/>
      <c r="E1113" s="408" t="str">
        <f t="shared" si="905"/>
        <v>Turnover tax (Chiffre d'Affaires 0.3PC) 2022</v>
      </c>
      <c r="F1113" s="408" cm="1">
        <f t="array" ref="F1113" xml:space="preserve"> INDEX(K1090:AV1090, , MATCH($F$1108, L$1033:AV$1033, 0))</f>
        <v>3.3560971628366403</v>
      </c>
      <c r="G1113" s="408">
        <f t="shared" si="906"/>
        <v>20.206327600271319</v>
      </c>
      <c r="H1113" s="408" t="str">
        <f t="shared" ref="H1113:H1121" si="907" xml:space="preserve"> G1090</f>
        <v>$ mn</v>
      </c>
      <c r="I1113" s="230"/>
      <c r="J1113" s="386"/>
      <c r="K1113" s="34"/>
      <c r="L1113" s="34"/>
      <c r="M1113" s="34"/>
      <c r="N1113" s="34"/>
      <c r="O1113" s="34"/>
      <c r="P1113" s="34"/>
      <c r="Q1113" s="34"/>
      <c r="R1113" s="34"/>
      <c r="S1113" s="34"/>
      <c r="T1113" s="34"/>
      <c r="U1113" s="34"/>
      <c r="V1113" s="34"/>
      <c r="W1113" s="34"/>
      <c r="X1113" s="34"/>
      <c r="Y1113" s="34"/>
      <c r="Z1113" s="34"/>
      <c r="AA1113" s="34"/>
      <c r="AB1113" s="34"/>
      <c r="AC1113" s="34"/>
      <c r="AD1113" s="34"/>
      <c r="AE1113" s="34"/>
      <c r="AF1113" s="34"/>
      <c r="AG1113" s="34"/>
      <c r="AH1113" s="34"/>
      <c r="AI1113" s="34"/>
      <c r="AJ1113" s="34"/>
      <c r="AK1113" s="34"/>
      <c r="AL1113" s="34"/>
      <c r="AM1113" s="34"/>
      <c r="AN1113" s="34"/>
      <c r="AO1113" s="34"/>
      <c r="AP1113" s="34"/>
      <c r="AQ1113" s="408"/>
      <c r="AR1113" s="408"/>
      <c r="AS1113" s="408"/>
    </row>
    <row r="1114" spans="1:45" ht="15" customHeight="1" x14ac:dyDescent="0.3">
      <c r="A1114" s="394"/>
      <c r="B1114" s="394"/>
      <c r="C1114" s="395"/>
      <c r="D1114" s="34"/>
      <c r="E1114" s="408" t="str">
        <f t="shared" si="905"/>
        <v>CIT payable 2022</v>
      </c>
      <c r="F1114" s="408" cm="1">
        <f t="array" ref="F1114" xml:space="preserve"> INDEX(K1091:AV1091, , MATCH($F$1108, L$1033:AV$1033, 0))</f>
        <v>229.8752354083783</v>
      </c>
      <c r="G1114" s="408">
        <f t="shared" si="906"/>
        <v>676.91717098447634</v>
      </c>
      <c r="H1114" s="408" t="str">
        <f t="shared" si="907"/>
        <v>$ mn</v>
      </c>
      <c r="I1114" s="230"/>
      <c r="J1114" s="386"/>
      <c r="K1114" s="34"/>
      <c r="L1114" s="34"/>
      <c r="M1114" s="34"/>
      <c r="N1114" s="34"/>
      <c r="O1114" s="34"/>
      <c r="P1114" s="34"/>
      <c r="Q1114" s="34"/>
      <c r="R1114" s="34"/>
      <c r="S1114" s="34"/>
      <c r="T1114" s="34"/>
      <c r="U1114" s="34"/>
      <c r="V1114" s="34"/>
      <c r="W1114" s="34"/>
      <c r="X1114" s="34"/>
      <c r="Y1114" s="34"/>
      <c r="Z1114" s="34"/>
      <c r="AA1114" s="34"/>
      <c r="AB1114" s="34"/>
      <c r="AC1114" s="34"/>
      <c r="AD1114" s="34"/>
      <c r="AE1114" s="34"/>
      <c r="AF1114" s="34"/>
      <c r="AG1114" s="34"/>
      <c r="AH1114" s="34"/>
      <c r="AI1114" s="34"/>
      <c r="AJ1114" s="34"/>
      <c r="AK1114" s="34"/>
      <c r="AL1114" s="34"/>
      <c r="AM1114" s="34"/>
      <c r="AN1114" s="34"/>
      <c r="AO1114" s="34"/>
      <c r="AP1114" s="34"/>
      <c r="AQ1114" s="408"/>
      <c r="AR1114" s="408"/>
      <c r="AS1114" s="408"/>
    </row>
    <row r="1115" spans="1:45" ht="15" customHeight="1" x14ac:dyDescent="0.3">
      <c r="A1115" s="394"/>
      <c r="B1115" s="394"/>
      <c r="C1115" s="395"/>
      <c r="D1115" s="34"/>
      <c r="E1115" s="408" t="str">
        <f t="shared" si="905"/>
        <v>Special Tax On Excess Profits 2022</v>
      </c>
      <c r="F1115" s="408" cm="1">
        <f t="array" ref="F1115" xml:space="preserve"> INDEX(K1092:AV1092, , MATCH($F$1108, L$1033:AV$1033, 0))</f>
        <v>0</v>
      </c>
      <c r="G1115" s="408">
        <f t="shared" si="906"/>
        <v>0</v>
      </c>
      <c r="H1115" s="408" t="str">
        <f t="shared" si="907"/>
        <v>$ mn</v>
      </c>
      <c r="I1115" s="230"/>
      <c r="J1115" s="386"/>
      <c r="K1115" s="34"/>
      <c r="L1115" s="34"/>
      <c r="M1115" s="34"/>
      <c r="N1115" s="34"/>
      <c r="O1115" s="34"/>
      <c r="P1115" s="34"/>
      <c r="Q1115" s="34"/>
      <c r="R1115" s="34"/>
      <c r="S1115" s="34"/>
      <c r="T1115" s="34"/>
      <c r="U1115" s="34"/>
      <c r="V1115" s="34"/>
      <c r="W1115" s="34"/>
      <c r="X1115" s="34"/>
      <c r="Y1115" s="34"/>
      <c r="Z1115" s="34"/>
      <c r="AA1115" s="34"/>
      <c r="AB1115" s="34"/>
      <c r="AC1115" s="34"/>
      <c r="AD1115" s="34"/>
      <c r="AE1115" s="34"/>
      <c r="AF1115" s="34"/>
      <c r="AG1115" s="34"/>
      <c r="AH1115" s="34"/>
      <c r="AI1115" s="34"/>
      <c r="AJ1115" s="34"/>
      <c r="AK1115" s="34"/>
      <c r="AL1115" s="34"/>
      <c r="AM1115" s="34"/>
      <c r="AN1115" s="34"/>
      <c r="AO1115" s="34"/>
      <c r="AP1115" s="34"/>
      <c r="AQ1115" s="408"/>
      <c r="AR1115" s="408"/>
      <c r="AS1115" s="408"/>
    </row>
    <row r="1116" spans="1:45" ht="15" customHeight="1" x14ac:dyDescent="0.3">
      <c r="A1116" s="394"/>
      <c r="B1116" s="394"/>
      <c r="C1116" s="395"/>
      <c r="D1116" s="34"/>
      <c r="E1116" s="408" t="str">
        <f t="shared" si="905"/>
        <v>Signature Bonus (EITI) 2022</v>
      </c>
      <c r="F1116" s="408" cm="1">
        <f t="array" ref="F1116" xml:space="preserve"> INDEX(K1093:AV1093, , MATCH($F$1108, L$1033:AV$1033, 0))</f>
        <v>0</v>
      </c>
      <c r="G1116" s="408">
        <f t="shared" si="906"/>
        <v>0</v>
      </c>
      <c r="H1116" s="408" t="str">
        <f t="shared" si="907"/>
        <v>$ mn</v>
      </c>
      <c r="I1116" s="230"/>
      <c r="J1116" s="386"/>
      <c r="K1116" s="34"/>
      <c r="L1116" s="34"/>
      <c r="M1116" s="34"/>
      <c r="N1116" s="34"/>
      <c r="O1116" s="34"/>
      <c r="P1116" s="34"/>
      <c r="Q1116" s="34"/>
      <c r="R1116" s="34"/>
      <c r="S1116" s="34"/>
      <c r="T1116" s="34"/>
      <c r="U1116" s="34"/>
      <c r="V1116" s="34"/>
      <c r="W1116" s="34"/>
      <c r="X1116" s="34"/>
      <c r="Y1116" s="34"/>
      <c r="Z1116" s="34"/>
      <c r="AA1116" s="34"/>
      <c r="AB1116" s="34"/>
      <c r="AC1116" s="34"/>
      <c r="AD1116" s="34"/>
      <c r="AE1116" s="34"/>
      <c r="AF1116" s="34"/>
      <c r="AG1116" s="34"/>
      <c r="AH1116" s="34"/>
      <c r="AI1116" s="34"/>
      <c r="AJ1116" s="34"/>
      <c r="AK1116" s="34"/>
      <c r="AL1116" s="34"/>
      <c r="AM1116" s="34"/>
      <c r="AN1116" s="34"/>
      <c r="AO1116" s="34"/>
      <c r="AP1116" s="34"/>
      <c r="AQ1116" s="408"/>
      <c r="AR1116" s="408"/>
      <c r="AS1116" s="408"/>
    </row>
    <row r="1117" spans="1:45" ht="15" customHeight="1" x14ac:dyDescent="0.3">
      <c r="A1117" s="394"/>
      <c r="B1117" s="394"/>
      <c r="C1117" s="395"/>
      <c r="D1117" s="34"/>
      <c r="E1117" s="408" t="str">
        <f t="shared" si="905"/>
        <v>Payroll taxes (included in costs) 2022</v>
      </c>
      <c r="F1117" s="408" cm="1">
        <f t="array" ref="F1117" xml:space="preserve"> INDEX(K1094:AV1094, , MATCH($F$1108, L$1033:AV$1033, 0))</f>
        <v>9.4736950976844803</v>
      </c>
      <c r="G1117" s="408">
        <f t="shared" si="906"/>
        <v>160.01957506561695</v>
      </c>
      <c r="H1117" s="408" t="str">
        <f t="shared" si="907"/>
        <v>$ mn</v>
      </c>
      <c r="I1117" s="230"/>
      <c r="J1117" s="386"/>
      <c r="K1117" s="34"/>
      <c r="L1117" s="34"/>
      <c r="M1117" s="34"/>
      <c r="N1117" s="34"/>
      <c r="O1117" s="34"/>
      <c r="P1117" s="34"/>
      <c r="Q1117" s="34"/>
      <c r="R1117" s="34"/>
      <c r="S1117" s="34"/>
      <c r="T1117" s="34"/>
      <c r="U1117" s="34"/>
      <c r="V1117" s="34"/>
      <c r="W1117" s="34"/>
      <c r="X1117" s="34"/>
      <c r="Y1117" s="34"/>
      <c r="Z1117" s="34"/>
      <c r="AA1117" s="34"/>
      <c r="AB1117" s="34"/>
      <c r="AC1117" s="34"/>
      <c r="AD1117" s="34"/>
      <c r="AE1117" s="34"/>
      <c r="AF1117" s="34"/>
      <c r="AG1117" s="34"/>
      <c r="AH1117" s="34"/>
      <c r="AI1117" s="34"/>
      <c r="AJ1117" s="34"/>
      <c r="AK1117" s="34"/>
      <c r="AL1117" s="34"/>
      <c r="AM1117" s="34"/>
      <c r="AN1117" s="34"/>
      <c r="AO1117" s="34"/>
      <c r="AP1117" s="34"/>
      <c r="AQ1117" s="408"/>
      <c r="AR1117" s="408"/>
      <c r="AS1117" s="408"/>
    </row>
    <row r="1118" spans="1:45" ht="15" customHeight="1" x14ac:dyDescent="0.3">
      <c r="A1118" s="394"/>
      <c r="B1118" s="394"/>
      <c r="C1118" s="395"/>
      <c r="D1118" s="34"/>
      <c r="E1118" s="408" t="str">
        <f t="shared" si="905"/>
        <v>Import duties (included in costs) 2022</v>
      </c>
      <c r="F1118" s="408" cm="1">
        <f t="array" ref="F1118" xml:space="preserve"> INDEX(K1095:AV1095, , MATCH($F$1108, L$1033:AV$1033, 0))</f>
        <v>15.932733392105598</v>
      </c>
      <c r="G1118" s="408">
        <f t="shared" si="906"/>
        <v>200.0244688320212</v>
      </c>
      <c r="H1118" s="408" t="str">
        <f t="shared" si="907"/>
        <v>$ mn</v>
      </c>
      <c r="I1118" s="230"/>
      <c r="J1118" s="386"/>
      <c r="K1118" s="34"/>
      <c r="L1118" s="34"/>
      <c r="M1118" s="34"/>
      <c r="N1118" s="34"/>
      <c r="O1118" s="34"/>
      <c r="P1118" s="34"/>
      <c r="Q1118" s="34"/>
      <c r="R1118" s="34"/>
      <c r="S1118" s="34"/>
      <c r="T1118" s="34"/>
      <c r="U1118" s="34"/>
      <c r="V1118" s="34"/>
      <c r="W1118" s="34"/>
      <c r="X1118" s="34"/>
      <c r="Y1118" s="34"/>
      <c r="Z1118" s="34"/>
      <c r="AA1118" s="34"/>
      <c r="AB1118" s="34"/>
      <c r="AC1118" s="34"/>
      <c r="AD1118" s="34"/>
      <c r="AE1118" s="34"/>
      <c r="AF1118" s="34"/>
      <c r="AG1118" s="34"/>
      <c r="AH1118" s="34"/>
      <c r="AI1118" s="34"/>
      <c r="AJ1118" s="34"/>
      <c r="AK1118" s="34"/>
      <c r="AL1118" s="34"/>
      <c r="AM1118" s="34"/>
      <c r="AN1118" s="34"/>
      <c r="AO1118" s="34"/>
      <c r="AP1118" s="34"/>
      <c r="AQ1118" s="408"/>
      <c r="AR1118" s="408"/>
      <c r="AS1118" s="408"/>
    </row>
    <row r="1119" spans="1:45" ht="15" customHeight="1" x14ac:dyDescent="0.3">
      <c r="A1119" s="394"/>
      <c r="B1119" s="394"/>
      <c r="C1119" s="395"/>
      <c r="D1119" s="34"/>
      <c r="E1119" s="408" t="str">
        <f t="shared" si="905"/>
        <v>Interest withholding tax 2022</v>
      </c>
      <c r="F1119" s="408" cm="1">
        <f t="array" ref="F1119" xml:space="preserve"> INDEX(K1096:AV1096, , MATCH($F$1108, L$1033:AV$1033, 0))</f>
        <v>0</v>
      </c>
      <c r="G1119" s="408">
        <f t="shared" si="906"/>
        <v>0</v>
      </c>
      <c r="H1119" s="408" t="str">
        <f t="shared" si="907"/>
        <v>$ mn</v>
      </c>
      <c r="I1119" s="230"/>
      <c r="J1119" s="386"/>
      <c r="K1119" s="34"/>
      <c r="L1119" s="34"/>
      <c r="M1119" s="34"/>
      <c r="N1119" s="34"/>
      <c r="O1119" s="34"/>
      <c r="P1119" s="34"/>
      <c r="Q1119" s="34"/>
      <c r="R1119" s="34"/>
      <c r="S1119" s="34"/>
      <c r="T1119" s="34"/>
      <c r="U1119" s="34"/>
      <c r="V1119" s="34"/>
      <c r="W1119" s="34"/>
      <c r="X1119" s="34"/>
      <c r="Y1119" s="34"/>
      <c r="Z1119" s="34"/>
      <c r="AA1119" s="34"/>
      <c r="AB1119" s="34"/>
      <c r="AC1119" s="34"/>
      <c r="AD1119" s="34"/>
      <c r="AE1119" s="34"/>
      <c r="AF1119" s="34"/>
      <c r="AG1119" s="34"/>
      <c r="AH1119" s="34"/>
      <c r="AI1119" s="34"/>
      <c r="AJ1119" s="34"/>
      <c r="AK1119" s="34"/>
      <c r="AL1119" s="34"/>
      <c r="AM1119" s="34"/>
      <c r="AN1119" s="34"/>
      <c r="AO1119" s="34"/>
      <c r="AP1119" s="34"/>
      <c r="AQ1119" s="408"/>
      <c r="AR1119" s="408"/>
      <c r="AS1119" s="408"/>
    </row>
    <row r="1120" spans="1:45" ht="15" customHeight="1" x14ac:dyDescent="0.3">
      <c r="A1120" s="394"/>
      <c r="B1120" s="394"/>
      <c r="C1120" s="395"/>
      <c r="D1120" s="34"/>
      <c r="E1120" s="408" t="str">
        <f t="shared" si="905"/>
        <v>Dividend withholding tax 2022</v>
      </c>
      <c r="F1120" s="408" cm="1">
        <f t="array" ref="F1120" xml:space="preserve"> INDEX(K1097:AV1097, , MATCH($F$1108, L$1033:AV$1033, 0))</f>
        <v>24.888187534151896</v>
      </c>
      <c r="G1120" s="408">
        <f t="shared" ref="G1120" si="908" xml:space="preserve"> SUMIFS(K1097:AV1097, K$1033:AV$1033, "&gt;=" &amp; F$1107)</f>
        <v>117.18909417518921</v>
      </c>
      <c r="H1120" s="408" t="str">
        <f t="shared" si="907"/>
        <v>$ mn</v>
      </c>
      <c r="I1120" s="230"/>
      <c r="J1120" s="386"/>
      <c r="K1120" s="34"/>
      <c r="L1120" s="34"/>
      <c r="M1120" s="34"/>
      <c r="N1120" s="34"/>
      <c r="O1120" s="34"/>
      <c r="P1120" s="34"/>
      <c r="Q1120" s="34"/>
      <c r="R1120" s="34"/>
      <c r="S1120" s="34"/>
      <c r="T1120" s="34"/>
      <c r="U1120" s="34"/>
      <c r="V1120" s="34"/>
      <c r="W1120" s="34"/>
      <c r="X1120" s="34"/>
      <c r="Y1120" s="34"/>
      <c r="Z1120" s="34"/>
      <c r="AA1120" s="34"/>
      <c r="AB1120" s="34"/>
      <c r="AC1120" s="34"/>
      <c r="AD1120" s="34"/>
      <c r="AE1120" s="34"/>
      <c r="AF1120" s="34"/>
      <c r="AG1120" s="34"/>
      <c r="AH1120" s="34"/>
      <c r="AI1120" s="34"/>
      <c r="AJ1120" s="34"/>
      <c r="AK1120" s="34"/>
      <c r="AL1120" s="34"/>
      <c r="AM1120" s="34"/>
      <c r="AN1120" s="34"/>
      <c r="AO1120" s="34"/>
      <c r="AP1120" s="34"/>
      <c r="AQ1120" s="408"/>
      <c r="AR1120" s="408"/>
      <c r="AS1120" s="408"/>
    </row>
    <row r="1121" spans="1:45" ht="15" customHeight="1" x14ac:dyDescent="0.3">
      <c r="A1121" s="394"/>
      <c r="B1121" s="394"/>
      <c r="C1121" s="395"/>
      <c r="D1121" s="34"/>
      <c r="E1121" s="408" t="str">
        <f t="shared" si="905"/>
        <v>WHT on non-resident services 2022</v>
      </c>
      <c r="F1121" s="408" cm="1">
        <f t="array" ref="F1121" xml:space="preserve"> INDEX(K1098:AV1098, , MATCH($F$1108, L$1033:AV$1033, 0))</f>
        <v>3.6758916944584801</v>
      </c>
      <c r="G1121" s="408">
        <f t="shared" ref="G1121" si="909" xml:space="preserve"> SUMIFS(K1098:AV1098, K$1033:AV$1033, "&gt;=" &amp; F$1107)</f>
        <v>35.004282045603716</v>
      </c>
      <c r="H1121" s="408" t="str">
        <f t="shared" si="907"/>
        <v>$ mn</v>
      </c>
      <c r="I1121" s="230"/>
      <c r="J1121" s="386"/>
      <c r="K1121" s="34"/>
      <c r="L1121" s="34"/>
      <c r="M1121" s="34"/>
      <c r="N1121" s="34"/>
      <c r="O1121" s="34"/>
      <c r="P1121" s="34"/>
      <c r="Q1121" s="34"/>
      <c r="R1121" s="34"/>
      <c r="S1121" s="34"/>
      <c r="T1121" s="34"/>
      <c r="U1121" s="34"/>
      <c r="V1121" s="34"/>
      <c r="W1121" s="34"/>
      <c r="X1121" s="34"/>
      <c r="Y1121" s="34"/>
      <c r="Z1121" s="34"/>
      <c r="AA1121" s="34"/>
      <c r="AB1121" s="34"/>
      <c r="AC1121" s="34"/>
      <c r="AD1121" s="34"/>
      <c r="AE1121" s="34"/>
      <c r="AF1121" s="34"/>
      <c r="AG1121" s="34"/>
      <c r="AH1121" s="34"/>
      <c r="AI1121" s="34"/>
      <c r="AJ1121" s="34"/>
      <c r="AK1121" s="34"/>
      <c r="AL1121" s="34"/>
      <c r="AM1121" s="34"/>
      <c r="AN1121" s="34"/>
      <c r="AO1121" s="34"/>
      <c r="AP1121" s="34"/>
      <c r="AQ1121" s="408"/>
      <c r="AR1121" s="408"/>
      <c r="AS1121" s="408"/>
    </row>
    <row r="1122" spans="1:45" ht="15" customHeight="1" x14ac:dyDescent="0.3">
      <c r="A1122" s="736"/>
      <c r="B1122" s="736"/>
      <c r="C1122" s="737"/>
      <c r="D1122" s="738"/>
      <c r="E1122" s="738"/>
      <c r="F1122" s="738"/>
      <c r="G1122" s="738"/>
      <c r="H1122" s="738"/>
      <c r="I1122" s="230"/>
      <c r="J1122" s="386"/>
      <c r="K1122" s="34"/>
      <c r="L1122" s="34"/>
      <c r="M1122" s="34"/>
      <c r="N1122" s="34"/>
      <c r="O1122" s="34"/>
      <c r="P1122" s="34"/>
      <c r="Q1122" s="34"/>
      <c r="R1122" s="34"/>
      <c r="S1122" s="34"/>
      <c r="T1122" s="34"/>
      <c r="U1122" s="34"/>
      <c r="V1122" s="34"/>
      <c r="W1122" s="34"/>
      <c r="X1122" s="34"/>
      <c r="Y1122" s="34"/>
      <c r="Z1122" s="34"/>
      <c r="AA1122" s="34"/>
      <c r="AB1122" s="34"/>
      <c r="AC1122" s="34"/>
      <c r="AD1122" s="34"/>
      <c r="AE1122" s="34"/>
      <c r="AF1122" s="34"/>
      <c r="AG1122" s="34"/>
      <c r="AH1122" s="34"/>
      <c r="AI1122" s="34"/>
      <c r="AJ1122" s="34"/>
      <c r="AK1122" s="34"/>
      <c r="AL1122" s="34"/>
      <c r="AM1122" s="34"/>
      <c r="AN1122" s="34"/>
      <c r="AO1122" s="34"/>
      <c r="AP1122" s="34"/>
      <c r="AQ1122" s="408"/>
      <c r="AR1122" s="408"/>
      <c r="AS1122" s="408"/>
    </row>
    <row r="1123" spans="1:45" ht="15" customHeight="1" x14ac:dyDescent="0.3">
      <c r="A1123" s="771"/>
      <c r="B1123" s="771"/>
      <c r="C1123" s="772"/>
      <c r="D1123" s="773"/>
      <c r="E1123" s="408" t="str">
        <f xml:space="preserve"> E1100 &amp; " " &amp; $F$1108</f>
        <v>Government revenues excl Gecamines participation 2022</v>
      </c>
      <c r="F1123" s="408" cm="1">
        <f t="array" ref="F1123" xml:space="preserve"> INDEX(K1100:AV1100, , MATCH($F$1108, L$1033:AV$1033, 0))</f>
        <v>330.22490284750336</v>
      </c>
      <c r="G1123" s="408">
        <f xml:space="preserve"> SUMIFS(K1100:AV1100, K$1033:AV$1033, "&gt;=" &amp; F$1107)</f>
        <v>1466.4175190631361</v>
      </c>
      <c r="H1123" s="408" t="str">
        <f xml:space="preserve"> G1100</f>
        <v>$ mn</v>
      </c>
      <c r="I1123" s="230"/>
      <c r="J1123" s="386"/>
      <c r="K1123" s="386"/>
      <c r="L1123" s="386"/>
      <c r="M1123" s="386"/>
      <c r="N1123" s="386"/>
      <c r="O1123" s="386"/>
      <c r="P1123" s="386"/>
      <c r="Q1123" s="386"/>
      <c r="R1123" s="386"/>
      <c r="S1123" s="386"/>
      <c r="T1123" s="386"/>
      <c r="U1123" s="386"/>
      <c r="V1123" s="386"/>
      <c r="W1123" s="386"/>
      <c r="X1123" s="386"/>
      <c r="Y1123" s="386"/>
      <c r="Z1123" s="386"/>
      <c r="AA1123" s="386"/>
      <c r="AB1123" s="386"/>
      <c r="AC1123" s="386"/>
      <c r="AD1123" s="386"/>
      <c r="AE1123" s="386"/>
      <c r="AF1123" s="386"/>
      <c r="AG1123" s="386"/>
      <c r="AH1123" s="386"/>
      <c r="AI1123" s="386"/>
      <c r="AJ1123" s="386"/>
      <c r="AK1123" s="386"/>
      <c r="AL1123" s="386"/>
      <c r="AM1123" s="386"/>
      <c r="AN1123" s="386"/>
      <c r="AO1123" s="386"/>
      <c r="AP1123" s="386"/>
      <c r="AQ1123" s="773"/>
      <c r="AR1123" s="773"/>
      <c r="AS1123" s="773"/>
    </row>
    <row r="1124" spans="1:45" ht="15" customHeight="1" x14ac:dyDescent="0.3">
      <c r="A1124" s="394"/>
      <c r="B1124" s="394"/>
      <c r="C1124" s="395"/>
      <c r="D1124" s="34"/>
      <c r="E1124" s="408" t="str">
        <f xml:space="preserve"> E1101 &amp; " " &amp; $F$1108</f>
        <v>Gecamines share of cashflows after repaying loan 2022</v>
      </c>
      <c r="F1124" s="408" cm="1">
        <f t="array" ref="F1124" xml:space="preserve"> INDEX(K1101:AV1101, , MATCH($F$1108, L$1033:AV$1033, 0))</f>
        <v>96.787395966146264</v>
      </c>
      <c r="G1124" s="408">
        <f xml:space="preserve"> SUMIFS(K1101:AV1101, K$1033:AV$1033, "&gt;=" &amp; F$1107)</f>
        <v>577.20001608675273</v>
      </c>
      <c r="H1124" s="408" t="str">
        <f xml:space="preserve"> G1101</f>
        <v>$ mn</v>
      </c>
      <c r="I1124" s="230"/>
      <c r="J1124" s="386"/>
      <c r="K1124" s="34"/>
      <c r="L1124" s="34"/>
      <c r="M1124" s="34"/>
      <c r="N1124" s="34"/>
      <c r="O1124" s="34"/>
      <c r="P1124" s="34"/>
      <c r="Q1124" s="34"/>
      <c r="R1124" s="34"/>
      <c r="S1124" s="34"/>
      <c r="T1124" s="34"/>
      <c r="U1124" s="34"/>
      <c r="V1124" s="34"/>
      <c r="W1124" s="34"/>
      <c r="X1124" s="34"/>
      <c r="Y1124" s="34"/>
      <c r="Z1124" s="34"/>
      <c r="AA1124" s="34"/>
      <c r="AB1124" s="34"/>
      <c r="AC1124" s="34"/>
      <c r="AD1124" s="34"/>
      <c r="AE1124" s="34"/>
      <c r="AF1124" s="34"/>
      <c r="AG1124" s="34"/>
      <c r="AH1124" s="34"/>
      <c r="AI1124" s="34"/>
      <c r="AJ1124" s="34"/>
      <c r="AK1124" s="34"/>
      <c r="AL1124" s="34"/>
      <c r="AM1124" s="34"/>
      <c r="AN1124" s="34"/>
      <c r="AO1124" s="34"/>
      <c r="AP1124" s="34"/>
      <c r="AQ1124" s="408"/>
      <c r="AR1124" s="408"/>
      <c r="AS1124" s="408"/>
    </row>
    <row r="1125" spans="1:45" ht="15" customHeight="1" x14ac:dyDescent="0.3">
      <c r="A1125" s="394"/>
      <c r="B1125" s="394"/>
      <c r="C1125" s="395"/>
      <c r="D1125" s="34"/>
      <c r="E1125" s="408" t="str">
        <f xml:space="preserve"> E1102 &amp; " " &amp; $F$1108</f>
        <v>Government revenues incl Gecamines 2022</v>
      </c>
      <c r="F1125" s="408" cm="1">
        <f t="array" ref="F1125" xml:space="preserve"> INDEX(K1102:AV1102, , MATCH($F$1108, L$1033:AV$1033, 0))</f>
        <v>427.01229881364964</v>
      </c>
      <c r="G1125" s="408">
        <f xml:space="preserve"> SUMIFS(K1102:AV1102, K$1033:AV$1033, "&gt;=" &amp; F$1107)</f>
        <v>2043.6175351498887</v>
      </c>
      <c r="H1125" s="408" t="str">
        <f xml:space="preserve"> G1102</f>
        <v>$ mn</v>
      </c>
      <c r="I1125" s="230"/>
      <c r="J1125" s="386"/>
      <c r="K1125" s="34"/>
      <c r="L1125" s="34"/>
      <c r="M1125" s="34"/>
      <c r="N1125" s="34"/>
      <c r="O1125" s="34"/>
      <c r="P1125" s="34"/>
      <c r="Q1125" s="34"/>
      <c r="R1125" s="34"/>
      <c r="S1125" s="34"/>
      <c r="T1125" s="34"/>
      <c r="U1125" s="34"/>
      <c r="V1125" s="34"/>
      <c r="W1125" s="34"/>
      <c r="X1125" s="34"/>
      <c r="Y1125" s="34"/>
      <c r="Z1125" s="34"/>
      <c r="AA1125" s="34"/>
      <c r="AB1125" s="34"/>
      <c r="AC1125" s="34"/>
      <c r="AD1125" s="34"/>
      <c r="AE1125" s="34"/>
      <c r="AF1125" s="34"/>
      <c r="AG1125" s="34"/>
      <c r="AH1125" s="34"/>
      <c r="AI1125" s="34"/>
      <c r="AJ1125" s="34"/>
      <c r="AK1125" s="34"/>
      <c r="AL1125" s="34"/>
      <c r="AM1125" s="34"/>
      <c r="AN1125" s="34"/>
      <c r="AO1125" s="34"/>
      <c r="AP1125" s="34"/>
      <c r="AQ1125" s="408"/>
      <c r="AR1125" s="408"/>
      <c r="AS1125" s="408"/>
    </row>
    <row r="1126" spans="1:45" ht="15" customHeight="1" x14ac:dyDescent="0.3">
      <c r="A1126" s="981"/>
      <c r="B1126" s="982"/>
      <c r="C1126" s="983"/>
      <c r="D1126" s="984"/>
      <c r="E1126" s="984"/>
      <c r="F1126" s="984"/>
      <c r="G1126" s="984"/>
      <c r="H1126" s="984"/>
      <c r="I1126" s="116"/>
      <c r="AL1126" s="42"/>
      <c r="AM1126" s="42"/>
      <c r="AN1126" s="42"/>
      <c r="AO1126" s="42"/>
      <c r="AP1126" s="42"/>
      <c r="AQ1126" s="88"/>
      <c r="AR1126" s="88"/>
      <c r="AS1126" s="88"/>
    </row>
    <row r="1127" spans="1:45" ht="15" customHeight="1" x14ac:dyDescent="0.3">
      <c r="I1127" s="116"/>
      <c r="AL1127" s="42"/>
      <c r="AM1127" s="42"/>
      <c r="AN1127" s="42"/>
      <c r="AO1127" s="42"/>
      <c r="AP1127" s="42"/>
      <c r="AQ1127" s="88"/>
      <c r="AR1127" s="88"/>
      <c r="AS1127" s="88"/>
    </row>
    <row r="1128" spans="1:45" ht="15" customHeight="1" x14ac:dyDescent="0.3">
      <c r="B1128" s="112" t="s">
        <v>661</v>
      </c>
      <c r="I1128" s="116"/>
      <c r="AL1128" s="42"/>
      <c r="AM1128" s="42"/>
      <c r="AN1128" s="42"/>
      <c r="AO1128" s="42"/>
      <c r="AP1128" s="42"/>
      <c r="AQ1128" s="42"/>
      <c r="AR1128" s="42"/>
      <c r="AS1128" s="42"/>
    </row>
    <row r="1129" spans="1:45" ht="15" customHeight="1" x14ac:dyDescent="0.3">
      <c r="A1129" s="394"/>
      <c r="B1129" s="394"/>
      <c r="C1129" s="395"/>
      <c r="D1129" s="34"/>
      <c r="E1129" s="381" t="str">
        <f xml:space="preserve"> E$1016</f>
        <v>Project cashflow before tax</v>
      </c>
      <c r="F1129" s="381">
        <f t="shared" ref="F1129:O1129" si="910" xml:space="preserve"> F$1016</f>
        <v>0</v>
      </c>
      <c r="G1129" s="381" t="str">
        <f t="shared" si="910"/>
        <v>$ mn</v>
      </c>
      <c r="H1129" s="381">
        <f t="shared" si="910"/>
        <v>0</v>
      </c>
      <c r="I1129" s="381">
        <f t="shared" si="910"/>
        <v>4808.508951492714</v>
      </c>
      <c r="J1129" s="381">
        <f t="shared" si="910"/>
        <v>0</v>
      </c>
      <c r="K1129" s="381">
        <f t="shared" si="910"/>
        <v>0</v>
      </c>
      <c r="L1129" s="381">
        <f t="shared" si="910"/>
        <v>0</v>
      </c>
      <c r="M1129" s="381">
        <f t="shared" si="910"/>
        <v>0</v>
      </c>
      <c r="N1129" s="381">
        <f t="shared" si="910"/>
        <v>0</v>
      </c>
      <c r="O1129" s="381">
        <f t="shared" si="910"/>
        <v>0</v>
      </c>
      <c r="P1129" s="381">
        <f t="shared" ref="P1129:AS1129" si="911" xml:space="preserve"> P$1016</f>
        <v>0</v>
      </c>
      <c r="Q1129" s="381">
        <f t="shared" si="911"/>
        <v>0</v>
      </c>
      <c r="R1129" s="381">
        <f t="shared" si="911"/>
        <v>0</v>
      </c>
      <c r="S1129" s="381">
        <f t="shared" si="911"/>
        <v>0</v>
      </c>
      <c r="T1129" s="381">
        <f t="shared" si="911"/>
        <v>0</v>
      </c>
      <c r="U1129" s="381">
        <f t="shared" si="911"/>
        <v>0</v>
      </c>
      <c r="V1129" s="381">
        <f t="shared" si="911"/>
        <v>-232.89503624999998</v>
      </c>
      <c r="W1129" s="381">
        <f t="shared" si="911"/>
        <v>52.580098239999941</v>
      </c>
      <c r="X1129" s="381">
        <f t="shared" si="911"/>
        <v>63.087776474752047</v>
      </c>
      <c r="Y1129" s="381">
        <f t="shared" si="911"/>
        <v>388.84749866688009</v>
      </c>
      <c r="Z1129" s="381">
        <f t="shared" si="911"/>
        <v>800.04438643676804</v>
      </c>
      <c r="AA1129" s="381">
        <f t="shared" si="911"/>
        <v>421.34059002276399</v>
      </c>
      <c r="AB1129" s="381">
        <f t="shared" si="911"/>
        <v>460.80850247959802</v>
      </c>
      <c r="AC1129" s="381">
        <f t="shared" si="911"/>
        <v>119.74197863860209</v>
      </c>
      <c r="AD1129" s="381">
        <f t="shared" si="911"/>
        <v>450.63587435566512</v>
      </c>
      <c r="AE1129" s="381">
        <f t="shared" si="911"/>
        <v>440.02251691904888</v>
      </c>
      <c r="AF1129" s="381">
        <f t="shared" si="911"/>
        <v>428.26095951799471</v>
      </c>
      <c r="AG1129" s="381">
        <f t="shared" si="911"/>
        <v>415.62936777673497</v>
      </c>
      <c r="AH1129" s="381">
        <f t="shared" si="911"/>
        <v>405.50658903947829</v>
      </c>
      <c r="AI1129" s="381">
        <f t="shared" si="911"/>
        <v>249.63817234298438</v>
      </c>
      <c r="AJ1129" s="381">
        <f t="shared" si="911"/>
        <v>301.82207419652491</v>
      </c>
      <c r="AK1129" s="381">
        <f t="shared" si="911"/>
        <v>43.437602634918335</v>
      </c>
      <c r="AL1129" s="381">
        <f t="shared" si="911"/>
        <v>0</v>
      </c>
      <c r="AM1129" s="381">
        <f t="shared" si="911"/>
        <v>0</v>
      </c>
      <c r="AN1129" s="381">
        <f t="shared" si="911"/>
        <v>0</v>
      </c>
      <c r="AO1129" s="381">
        <f t="shared" si="911"/>
        <v>0</v>
      </c>
      <c r="AP1129" s="381">
        <f t="shared" si="911"/>
        <v>0</v>
      </c>
      <c r="AQ1129" s="381">
        <f t="shared" si="911"/>
        <v>0</v>
      </c>
      <c r="AR1129" s="381">
        <f t="shared" si="911"/>
        <v>0</v>
      </c>
      <c r="AS1129" s="381">
        <f t="shared" si="911"/>
        <v>0</v>
      </c>
    </row>
    <row r="1130" spans="1:45" ht="15" customHeight="1" x14ac:dyDescent="0.3">
      <c r="A1130" s="394"/>
      <c r="B1130" s="394"/>
      <c r="C1130" s="395"/>
      <c r="D1130" s="34"/>
      <c r="E1130" s="381" t="str">
        <f xml:space="preserve"> E$1017</f>
        <v>Government revenues excl Gecamines participation</v>
      </c>
      <c r="F1130" s="381">
        <f t="shared" ref="F1130:O1130" si="912" xml:space="preserve"> F$1017</f>
        <v>0</v>
      </c>
      <c r="G1130" s="381" t="str">
        <f t="shared" si="912"/>
        <v>$ mn</v>
      </c>
      <c r="H1130" s="381">
        <f t="shared" si="912"/>
        <v>0</v>
      </c>
      <c r="I1130" s="381">
        <f t="shared" si="912"/>
        <v>2765.6905268255668</v>
      </c>
      <c r="J1130" s="381">
        <f t="shared" si="912"/>
        <v>0</v>
      </c>
      <c r="K1130" s="381">
        <f t="shared" si="912"/>
        <v>0</v>
      </c>
      <c r="L1130" s="381">
        <f t="shared" si="912"/>
        <v>0</v>
      </c>
      <c r="M1130" s="381">
        <f t="shared" si="912"/>
        <v>0</v>
      </c>
      <c r="N1130" s="381">
        <f t="shared" si="912"/>
        <v>0</v>
      </c>
      <c r="O1130" s="381">
        <f t="shared" si="912"/>
        <v>0</v>
      </c>
      <c r="P1130" s="381">
        <f t="shared" ref="P1130:AS1130" si="913" xml:space="preserve"> P$1017</f>
        <v>0</v>
      </c>
      <c r="Q1130" s="381">
        <f t="shared" si="913"/>
        <v>0</v>
      </c>
      <c r="R1130" s="381">
        <f t="shared" si="913"/>
        <v>0</v>
      </c>
      <c r="S1130" s="381">
        <f t="shared" si="913"/>
        <v>0</v>
      </c>
      <c r="T1130" s="381">
        <f t="shared" si="913"/>
        <v>0</v>
      </c>
      <c r="U1130" s="381">
        <f t="shared" si="913"/>
        <v>0</v>
      </c>
      <c r="V1130" s="381">
        <f t="shared" si="913"/>
        <v>20.419127879785002</v>
      </c>
      <c r="W1130" s="381">
        <f t="shared" si="913"/>
        <v>73.716234112410632</v>
      </c>
      <c r="X1130" s="381">
        <f t="shared" si="913"/>
        <v>110.64490124848584</v>
      </c>
      <c r="Y1130" s="381">
        <f t="shared" si="913"/>
        <v>148.34620549351393</v>
      </c>
      <c r="Z1130" s="381">
        <f t="shared" si="913"/>
        <v>330.22490284750336</v>
      </c>
      <c r="AA1130" s="381">
        <f t="shared" si="913"/>
        <v>276.84151441910132</v>
      </c>
      <c r="AB1130" s="381">
        <f t="shared" si="913"/>
        <v>243.53541986864383</v>
      </c>
      <c r="AC1130" s="381">
        <f t="shared" si="913"/>
        <v>95.544701892986964</v>
      </c>
      <c r="AD1130" s="381">
        <f t="shared" si="913"/>
        <v>211.54265958695359</v>
      </c>
      <c r="AE1130" s="381">
        <f t="shared" si="913"/>
        <v>215.23622162282058</v>
      </c>
      <c r="AF1130" s="381">
        <f t="shared" si="913"/>
        <v>213.59325744836227</v>
      </c>
      <c r="AG1130" s="381">
        <f t="shared" si="913"/>
        <v>213.56641208967943</v>
      </c>
      <c r="AH1130" s="381">
        <f t="shared" si="913"/>
        <v>215.2390177556521</v>
      </c>
      <c r="AI1130" s="381">
        <f t="shared" si="913"/>
        <v>163.57340365229086</v>
      </c>
      <c r="AJ1130" s="381">
        <f t="shared" si="913"/>
        <v>178.94949100444214</v>
      </c>
      <c r="AK1130" s="381">
        <f t="shared" si="913"/>
        <v>54.717055902935016</v>
      </c>
      <c r="AL1130" s="381">
        <f t="shared" si="913"/>
        <v>0</v>
      </c>
      <c r="AM1130" s="381">
        <f t="shared" si="913"/>
        <v>0</v>
      </c>
      <c r="AN1130" s="381">
        <f t="shared" si="913"/>
        <v>0</v>
      </c>
      <c r="AO1130" s="381">
        <f t="shared" si="913"/>
        <v>0</v>
      </c>
      <c r="AP1130" s="381">
        <f t="shared" si="913"/>
        <v>0</v>
      </c>
      <c r="AQ1130" s="381">
        <f t="shared" si="913"/>
        <v>0</v>
      </c>
      <c r="AR1130" s="381">
        <f t="shared" si="913"/>
        <v>0</v>
      </c>
      <c r="AS1130" s="381">
        <f t="shared" si="913"/>
        <v>0</v>
      </c>
    </row>
    <row r="1131" spans="1:45" ht="15" customHeight="1" x14ac:dyDescent="0.3">
      <c r="A1131" s="394"/>
      <c r="B1131" s="394"/>
      <c r="C1131" s="395"/>
      <c r="D1131" s="34"/>
      <c r="E1131" s="34" t="str">
        <f xml:space="preserve"> E$1018</f>
        <v>Gecamines share of cashflows after repaying loan</v>
      </c>
      <c r="F1131" s="34">
        <f t="shared" ref="F1131:O1131" si="914" xml:space="preserve"> F$1018</f>
        <v>0</v>
      </c>
      <c r="G1131" s="34" t="str">
        <f t="shared" si="914"/>
        <v>$ mn</v>
      </c>
      <c r="H1131" s="34">
        <f t="shared" si="914"/>
        <v>0</v>
      </c>
      <c r="I1131" s="34">
        <f t="shared" si="914"/>
        <v>921.83851310159503</v>
      </c>
      <c r="J1131" s="34">
        <f t="shared" si="914"/>
        <v>0</v>
      </c>
      <c r="K1131" s="34">
        <f t="shared" si="914"/>
        <v>0</v>
      </c>
      <c r="L1131" s="34">
        <f t="shared" si="914"/>
        <v>0</v>
      </c>
      <c r="M1131" s="34">
        <f t="shared" si="914"/>
        <v>0</v>
      </c>
      <c r="N1131" s="34">
        <f t="shared" si="914"/>
        <v>0</v>
      </c>
      <c r="O1131" s="34">
        <f t="shared" si="914"/>
        <v>0</v>
      </c>
      <c r="P1131" s="34">
        <f t="shared" ref="P1131:AS1131" si="915" xml:space="preserve"> P$1018</f>
        <v>0</v>
      </c>
      <c r="Q1131" s="34">
        <f t="shared" si="915"/>
        <v>0</v>
      </c>
      <c r="R1131" s="34">
        <f t="shared" si="915"/>
        <v>0</v>
      </c>
      <c r="S1131" s="34">
        <f t="shared" si="915"/>
        <v>0</v>
      </c>
      <c r="T1131" s="34">
        <f t="shared" si="915"/>
        <v>0</v>
      </c>
      <c r="U1131" s="34">
        <f t="shared" si="915"/>
        <v>0</v>
      </c>
      <c r="V1131" s="34">
        <f t="shared" si="915"/>
        <v>0</v>
      </c>
      <c r="W1131" s="34">
        <f t="shared" si="915"/>
        <v>55.314913606598815</v>
      </c>
      <c r="X1131" s="34">
        <f t="shared" si="915"/>
        <v>0</v>
      </c>
      <c r="Y1131" s="34">
        <f t="shared" si="915"/>
        <v>28.804743620437343</v>
      </c>
      <c r="Z1131" s="34">
        <f t="shared" si="915"/>
        <v>96.787395966146264</v>
      </c>
      <c r="AA1131" s="34">
        <f t="shared" si="915"/>
        <v>66.581495631285847</v>
      </c>
      <c r="AB1131" s="34">
        <f t="shared" si="915"/>
        <v>76.207260359806966</v>
      </c>
      <c r="AC1131" s="34">
        <f t="shared" si="915"/>
        <v>20.942687830567063</v>
      </c>
      <c r="AD1131" s="34">
        <f t="shared" si="915"/>
        <v>96.307306410075569</v>
      </c>
      <c r="AE1131" s="34">
        <f t="shared" si="915"/>
        <v>91.873073234797815</v>
      </c>
      <c r="AF1131" s="34">
        <f t="shared" si="915"/>
        <v>94.176371911874412</v>
      </c>
      <c r="AG1131" s="34">
        <f t="shared" si="915"/>
        <v>90.113351436505482</v>
      </c>
      <c r="AH1131" s="34">
        <f t="shared" si="915"/>
        <v>86.3436990901169</v>
      </c>
      <c r="AI1131" s="34">
        <f t="shared" si="915"/>
        <v>50.106733441018733</v>
      </c>
      <c r="AJ1131" s="34">
        <f t="shared" si="915"/>
        <v>61.652527230880366</v>
      </c>
      <c r="AK1131" s="34">
        <f t="shared" si="915"/>
        <v>6.6269533314834765</v>
      </c>
      <c r="AL1131" s="34">
        <f t="shared" si="915"/>
        <v>0</v>
      </c>
      <c r="AM1131" s="34">
        <f t="shared" si="915"/>
        <v>0</v>
      </c>
      <c r="AN1131" s="34">
        <f t="shared" si="915"/>
        <v>0</v>
      </c>
      <c r="AO1131" s="34">
        <f t="shared" si="915"/>
        <v>0</v>
      </c>
      <c r="AP1131" s="34">
        <f t="shared" si="915"/>
        <v>0</v>
      </c>
      <c r="AQ1131" s="34">
        <f t="shared" si="915"/>
        <v>0</v>
      </c>
      <c r="AR1131" s="34">
        <f t="shared" si="915"/>
        <v>0</v>
      </c>
      <c r="AS1131" s="34">
        <f t="shared" si="915"/>
        <v>0</v>
      </c>
    </row>
    <row r="1132" spans="1:45" ht="15" customHeight="1" x14ac:dyDescent="0.3">
      <c r="A1132" s="394"/>
      <c r="B1132" s="394"/>
      <c r="C1132" s="395"/>
      <c r="D1132" s="34"/>
      <c r="E1132" s="34" t="str">
        <f xml:space="preserve"> E$1019</f>
        <v>Government revenues incl Gecamines</v>
      </c>
      <c r="F1132" s="34">
        <f t="shared" ref="F1132:O1132" si="916" xml:space="preserve"> F$1019</f>
        <v>0</v>
      </c>
      <c r="G1132" s="34" t="str">
        <f t="shared" si="916"/>
        <v>$ mn</v>
      </c>
      <c r="H1132" s="34">
        <f t="shared" si="916"/>
        <v>0</v>
      </c>
      <c r="I1132" s="34">
        <f t="shared" si="916"/>
        <v>3687.5290399271621</v>
      </c>
      <c r="J1132" s="34">
        <f t="shared" si="916"/>
        <v>0</v>
      </c>
      <c r="K1132" s="34">
        <f t="shared" si="916"/>
        <v>0</v>
      </c>
      <c r="L1132" s="34">
        <f t="shared" si="916"/>
        <v>0</v>
      </c>
      <c r="M1132" s="34">
        <f t="shared" si="916"/>
        <v>0</v>
      </c>
      <c r="N1132" s="34">
        <f t="shared" si="916"/>
        <v>0</v>
      </c>
      <c r="O1132" s="34">
        <f t="shared" si="916"/>
        <v>0</v>
      </c>
      <c r="P1132" s="34">
        <f t="shared" ref="P1132:AS1132" si="917" xml:space="preserve"> P$1019</f>
        <v>0</v>
      </c>
      <c r="Q1132" s="34">
        <f t="shared" si="917"/>
        <v>0</v>
      </c>
      <c r="R1132" s="34">
        <f t="shared" si="917"/>
        <v>0</v>
      </c>
      <c r="S1132" s="34">
        <f t="shared" si="917"/>
        <v>0</v>
      </c>
      <c r="T1132" s="34">
        <f t="shared" si="917"/>
        <v>0</v>
      </c>
      <c r="U1132" s="34">
        <f t="shared" si="917"/>
        <v>0</v>
      </c>
      <c r="V1132" s="34">
        <f t="shared" si="917"/>
        <v>20.419127879785002</v>
      </c>
      <c r="W1132" s="34">
        <f t="shared" si="917"/>
        <v>129.03114771900945</v>
      </c>
      <c r="X1132" s="34">
        <f t="shared" si="917"/>
        <v>110.64490124848584</v>
      </c>
      <c r="Y1132" s="34">
        <f t="shared" si="917"/>
        <v>177.15094911395127</v>
      </c>
      <c r="Z1132" s="34">
        <f t="shared" si="917"/>
        <v>427.01229881364964</v>
      </c>
      <c r="AA1132" s="34">
        <f t="shared" si="917"/>
        <v>343.42301005038718</v>
      </c>
      <c r="AB1132" s="34">
        <f t="shared" si="917"/>
        <v>319.74268022845081</v>
      </c>
      <c r="AC1132" s="34">
        <f t="shared" si="917"/>
        <v>116.48738972355403</v>
      </c>
      <c r="AD1132" s="34">
        <f t="shared" si="917"/>
        <v>307.84996599702913</v>
      </c>
      <c r="AE1132" s="34">
        <f t="shared" si="917"/>
        <v>307.10929485761841</v>
      </c>
      <c r="AF1132" s="34">
        <f t="shared" si="917"/>
        <v>307.76962936023665</v>
      </c>
      <c r="AG1132" s="34">
        <f t="shared" si="917"/>
        <v>303.6797635261849</v>
      </c>
      <c r="AH1132" s="34">
        <f t="shared" si="917"/>
        <v>301.58271684576903</v>
      </c>
      <c r="AI1132" s="34">
        <f t="shared" si="917"/>
        <v>213.68013709330961</v>
      </c>
      <c r="AJ1132" s="34">
        <f t="shared" si="917"/>
        <v>240.6020182353225</v>
      </c>
      <c r="AK1132" s="34">
        <f t="shared" si="917"/>
        <v>61.344009234418493</v>
      </c>
      <c r="AL1132" s="34">
        <f t="shared" si="917"/>
        <v>0</v>
      </c>
      <c r="AM1132" s="34">
        <f t="shared" si="917"/>
        <v>0</v>
      </c>
      <c r="AN1132" s="34">
        <f t="shared" si="917"/>
        <v>0</v>
      </c>
      <c r="AO1132" s="34">
        <f t="shared" si="917"/>
        <v>0</v>
      </c>
      <c r="AP1132" s="34">
        <f t="shared" si="917"/>
        <v>0</v>
      </c>
      <c r="AQ1132" s="34">
        <f t="shared" si="917"/>
        <v>0</v>
      </c>
      <c r="AR1132" s="34">
        <f t="shared" si="917"/>
        <v>0</v>
      </c>
      <c r="AS1132" s="34">
        <f t="shared" si="917"/>
        <v>0</v>
      </c>
    </row>
    <row r="1133" spans="1:45" ht="15" customHeight="1" x14ac:dyDescent="0.3">
      <c r="A1133" s="394"/>
      <c r="B1133" s="394"/>
      <c r="C1133" s="395"/>
      <c r="D1133" s="34"/>
      <c r="E1133" s="34" t="str">
        <f xml:space="preserve"> E$1020</f>
        <v>Zijin final cashflows</v>
      </c>
      <c r="F1133" s="34">
        <f t="shared" ref="F1133:O1133" si="918" xml:space="preserve"> F$1020</f>
        <v>0</v>
      </c>
      <c r="G1133" s="34" t="str">
        <f t="shared" si="918"/>
        <v>$ mn</v>
      </c>
      <c r="H1133" s="34">
        <f t="shared" si="918"/>
        <v>0</v>
      </c>
      <c r="I1133" s="34">
        <f t="shared" si="918"/>
        <v>1831.7319216633568</v>
      </c>
      <c r="J1133" s="34">
        <f t="shared" si="918"/>
        <v>0</v>
      </c>
      <c r="K1133" s="34">
        <f t="shared" si="918"/>
        <v>0</v>
      </c>
      <c r="L1133" s="34">
        <f t="shared" si="918"/>
        <v>0</v>
      </c>
      <c r="M1133" s="34">
        <f t="shared" si="918"/>
        <v>0</v>
      </c>
      <c r="N1133" s="34">
        <f t="shared" si="918"/>
        <v>0</v>
      </c>
      <c r="O1133" s="34">
        <f t="shared" si="918"/>
        <v>0</v>
      </c>
      <c r="P1133" s="34">
        <f t="shared" ref="P1133:AS1133" si="919" xml:space="preserve"> P$1020</f>
        <v>0</v>
      </c>
      <c r="Q1133" s="34">
        <f t="shared" si="919"/>
        <v>0</v>
      </c>
      <c r="R1133" s="34">
        <f t="shared" si="919"/>
        <v>0</v>
      </c>
      <c r="S1133" s="34">
        <f t="shared" si="919"/>
        <v>0</v>
      </c>
      <c r="T1133" s="34">
        <f t="shared" si="919"/>
        <v>0</v>
      </c>
      <c r="U1133" s="34">
        <f t="shared" si="919"/>
        <v>0</v>
      </c>
      <c r="V1133" s="34">
        <f t="shared" si="919"/>
        <v>-137.34949621499999</v>
      </c>
      <c r="W1133" s="34">
        <f t="shared" si="919"/>
        <v>258.41046533346105</v>
      </c>
      <c r="X1133" s="34">
        <f t="shared" si="919"/>
        <v>-52.482012691060348</v>
      </c>
      <c r="Y1133" s="34">
        <f t="shared" si="919"/>
        <v>115.73544939248985</v>
      </c>
      <c r="Z1133" s="34">
        <f t="shared" si="919"/>
        <v>223.99368780736705</v>
      </c>
      <c r="AA1133" s="34">
        <f t="shared" si="919"/>
        <v>154.08860417526148</v>
      </c>
      <c r="AB1133" s="34">
        <f t="shared" si="919"/>
        <v>176.36537397555321</v>
      </c>
      <c r="AC1133" s="34">
        <f t="shared" si="919"/>
        <v>38.268002308581636</v>
      </c>
      <c r="AD1133" s="34">
        <f t="shared" si="919"/>
        <v>175.97971444022897</v>
      </c>
      <c r="AE1133" s="34">
        <f t="shared" si="919"/>
        <v>167.877161092676</v>
      </c>
      <c r="AF1133" s="34">
        <f t="shared" si="919"/>
        <v>172.0859159480614</v>
      </c>
      <c r="AG1133" s="34">
        <f t="shared" si="919"/>
        <v>164.66166944306912</v>
      </c>
      <c r="AH1133" s="34">
        <f t="shared" si="919"/>
        <v>157.77348651921358</v>
      </c>
      <c r="AI1133" s="34">
        <f t="shared" si="919"/>
        <v>91.558667469497863</v>
      </c>
      <c r="AJ1133" s="34">
        <f t="shared" si="919"/>
        <v>112.65598157642684</v>
      </c>
      <c r="AK1133" s="34">
        <f t="shared" si="919"/>
        <v>12.109251087528897</v>
      </c>
      <c r="AL1133" s="34">
        <f t="shared" si="919"/>
        <v>0</v>
      </c>
      <c r="AM1133" s="34">
        <f t="shared" si="919"/>
        <v>0</v>
      </c>
      <c r="AN1133" s="34">
        <f t="shared" si="919"/>
        <v>0</v>
      </c>
      <c r="AO1133" s="34">
        <f t="shared" si="919"/>
        <v>0</v>
      </c>
      <c r="AP1133" s="34">
        <f t="shared" si="919"/>
        <v>0</v>
      </c>
      <c r="AQ1133" s="34">
        <f t="shared" si="919"/>
        <v>0</v>
      </c>
      <c r="AR1133" s="34">
        <f t="shared" si="919"/>
        <v>0</v>
      </c>
      <c r="AS1133" s="34">
        <f t="shared" si="919"/>
        <v>0</v>
      </c>
    </row>
    <row r="1134" spans="1:45" ht="15" customHeight="1" x14ac:dyDescent="0.3">
      <c r="A1134" s="394"/>
      <c r="B1134" s="394"/>
      <c r="C1134" s="395"/>
      <c r="D1134" s="34"/>
      <c r="E1134" s="381" t="str">
        <f xml:space="preserve"> E$1021</f>
        <v>Net debt cashflows: 3rd party lenders</v>
      </c>
      <c r="F1134" s="381">
        <f t="shared" ref="F1134:O1134" si="920" xml:space="preserve"> F$1021</f>
        <v>0</v>
      </c>
      <c r="G1134" s="381" t="str">
        <f t="shared" si="920"/>
        <v>$ mn</v>
      </c>
      <c r="H1134" s="381">
        <f t="shared" si="920"/>
        <v>0</v>
      </c>
      <c r="I1134" s="381">
        <f t="shared" si="920"/>
        <v>39.11193999999999</v>
      </c>
      <c r="J1134" s="381">
        <f t="shared" si="920"/>
        <v>0</v>
      </c>
      <c r="K1134" s="381">
        <f t="shared" si="920"/>
        <v>0</v>
      </c>
      <c r="L1134" s="381">
        <f t="shared" si="920"/>
        <v>0</v>
      </c>
      <c r="M1134" s="381">
        <f t="shared" si="920"/>
        <v>0</v>
      </c>
      <c r="N1134" s="381">
        <f t="shared" si="920"/>
        <v>0</v>
      </c>
      <c r="O1134" s="381">
        <f t="shared" si="920"/>
        <v>0</v>
      </c>
      <c r="P1134" s="381">
        <f t="shared" ref="P1134:AS1134" si="921" xml:space="preserve"> P$1021</f>
        <v>0</v>
      </c>
      <c r="Q1134" s="381">
        <f t="shared" si="921"/>
        <v>0</v>
      </c>
      <c r="R1134" s="381">
        <f t="shared" si="921"/>
        <v>0</v>
      </c>
      <c r="S1134" s="381">
        <f t="shared" si="921"/>
        <v>0</v>
      </c>
      <c r="T1134" s="381">
        <f t="shared" si="921"/>
        <v>0</v>
      </c>
      <c r="U1134" s="381">
        <f t="shared" si="921"/>
        <v>0</v>
      </c>
      <c r="V1134" s="381">
        <f t="shared" si="921"/>
        <v>-99</v>
      </c>
      <c r="W1134" s="381">
        <f t="shared" si="921"/>
        <v>-301</v>
      </c>
      <c r="X1134" s="381">
        <f t="shared" si="921"/>
        <v>64.721999999999994</v>
      </c>
      <c r="Y1134" s="381">
        <f t="shared" si="921"/>
        <v>112.85872000000001</v>
      </c>
      <c r="Z1134" s="381">
        <f t="shared" si="921"/>
        <v>178.12072000000001</v>
      </c>
      <c r="AA1134" s="381">
        <f t="shared" si="921"/>
        <v>17.8035</v>
      </c>
      <c r="AB1134" s="381">
        <f t="shared" si="921"/>
        <v>17.242799999999999</v>
      </c>
      <c r="AC1134" s="381">
        <f t="shared" si="921"/>
        <v>16.682099999999998</v>
      </c>
      <c r="AD1134" s="381">
        <f t="shared" si="921"/>
        <v>16.121400000000001</v>
      </c>
      <c r="AE1134" s="381">
        <f t="shared" si="921"/>
        <v>15.560700000000001</v>
      </c>
      <c r="AF1134" s="381">
        <f t="shared" si="921"/>
        <v>0</v>
      </c>
      <c r="AG1134" s="381">
        <f t="shared" si="921"/>
        <v>0</v>
      </c>
      <c r="AH1134" s="381">
        <f t="shared" si="921"/>
        <v>0</v>
      </c>
      <c r="AI1134" s="381">
        <f t="shared" si="921"/>
        <v>0</v>
      </c>
      <c r="AJ1134" s="381">
        <f t="shared" si="921"/>
        <v>0</v>
      </c>
      <c r="AK1134" s="381">
        <f t="shared" si="921"/>
        <v>0</v>
      </c>
      <c r="AL1134" s="381">
        <f t="shared" si="921"/>
        <v>0</v>
      </c>
      <c r="AM1134" s="381">
        <f t="shared" si="921"/>
        <v>0</v>
      </c>
      <c r="AN1134" s="381">
        <f t="shared" si="921"/>
        <v>0</v>
      </c>
      <c r="AO1134" s="381">
        <f t="shared" si="921"/>
        <v>0</v>
      </c>
      <c r="AP1134" s="381">
        <f t="shared" si="921"/>
        <v>0</v>
      </c>
      <c r="AQ1134" s="381">
        <f t="shared" si="921"/>
        <v>0</v>
      </c>
      <c r="AR1134" s="381">
        <f t="shared" si="921"/>
        <v>0</v>
      </c>
      <c r="AS1134" s="381">
        <f t="shared" si="921"/>
        <v>0</v>
      </c>
    </row>
    <row r="1135" spans="1:45" ht="15" customHeight="1" x14ac:dyDescent="0.3">
      <c r="E1135" s="381" t="str">
        <f xml:space="preserve"> E$1025</f>
        <v>Additional govt revenues incl. in project costs</v>
      </c>
      <c r="F1135" s="381">
        <f t="shared" ref="F1135:O1135" si="922" xml:space="preserve"> F$1025</f>
        <v>0</v>
      </c>
      <c r="G1135" s="381" t="str">
        <f t="shared" si="922"/>
        <v>$ mn</v>
      </c>
      <c r="H1135" s="381">
        <f t="shared" si="922"/>
        <v>0</v>
      </c>
      <c r="I1135" s="381">
        <f t="shared" si="922"/>
        <v>749.86395009780472</v>
      </c>
      <c r="J1135" s="381">
        <f t="shared" si="922"/>
        <v>0</v>
      </c>
      <c r="K1135" s="381">
        <f t="shared" si="922"/>
        <v>0</v>
      </c>
      <c r="L1135" s="381">
        <f t="shared" si="922"/>
        <v>0</v>
      </c>
      <c r="M1135" s="381">
        <f t="shared" si="922"/>
        <v>0</v>
      </c>
      <c r="N1135" s="381">
        <f t="shared" si="922"/>
        <v>0</v>
      </c>
      <c r="O1135" s="381">
        <f t="shared" si="922"/>
        <v>0</v>
      </c>
      <c r="P1135" s="381">
        <f t="shared" ref="P1135:AS1135" si="923" xml:space="preserve"> P$1025</f>
        <v>0</v>
      </c>
      <c r="Q1135" s="381">
        <f t="shared" si="923"/>
        <v>0</v>
      </c>
      <c r="R1135" s="381">
        <f t="shared" si="923"/>
        <v>0</v>
      </c>
      <c r="S1135" s="381">
        <f t="shared" si="923"/>
        <v>0</v>
      </c>
      <c r="T1135" s="381">
        <f t="shared" si="923"/>
        <v>0</v>
      </c>
      <c r="U1135" s="381">
        <f t="shared" si="923"/>
        <v>0</v>
      </c>
      <c r="V1135" s="381">
        <f t="shared" si="923"/>
        <v>16.964667914785</v>
      </c>
      <c r="W1135" s="381">
        <f t="shared" si="923"/>
        <v>33.861514812470496</v>
      </c>
      <c r="X1135" s="381">
        <f t="shared" si="923"/>
        <v>59.797112082673443</v>
      </c>
      <c r="Y1135" s="381">
        <f t="shared" si="923"/>
        <v>16.897619839561102</v>
      </c>
      <c r="Z1135" s="381">
        <f t="shared" si="923"/>
        <v>29.082320184248559</v>
      </c>
      <c r="AA1135" s="381">
        <f t="shared" si="923"/>
        <v>93.974524202884709</v>
      </c>
      <c r="AB1135" s="381">
        <f t="shared" si="923"/>
        <v>52.542351724406046</v>
      </c>
      <c r="AC1135" s="381">
        <f t="shared" si="923"/>
        <v>51.695513393533496</v>
      </c>
      <c r="AD1135" s="381">
        <f t="shared" si="923"/>
        <v>49.315206081593026</v>
      </c>
      <c r="AE1135" s="381">
        <f t="shared" si="923"/>
        <v>50.524639031245499</v>
      </c>
      <c r="AF1135" s="381">
        <f t="shared" si="923"/>
        <v>51.594585790303427</v>
      </c>
      <c r="AG1135" s="381">
        <f t="shared" si="923"/>
        <v>52.712065192519042</v>
      </c>
      <c r="AH1135" s="381">
        <f t="shared" si="923"/>
        <v>53.849614325504362</v>
      </c>
      <c r="AI1135" s="381">
        <f t="shared" si="923"/>
        <v>55.600632219823041</v>
      </c>
      <c r="AJ1135" s="381">
        <f t="shared" si="923"/>
        <v>51.43592561522442</v>
      </c>
      <c r="AK1135" s="381">
        <f t="shared" si="923"/>
        <v>30.015657687029044</v>
      </c>
      <c r="AL1135" s="381">
        <f t="shared" si="923"/>
        <v>0</v>
      </c>
      <c r="AM1135" s="381">
        <f t="shared" si="923"/>
        <v>0</v>
      </c>
      <c r="AN1135" s="381">
        <f t="shared" si="923"/>
        <v>0</v>
      </c>
      <c r="AO1135" s="381">
        <f t="shared" si="923"/>
        <v>0</v>
      </c>
      <c r="AP1135" s="381">
        <f t="shared" si="923"/>
        <v>0</v>
      </c>
      <c r="AQ1135" s="381">
        <f t="shared" si="923"/>
        <v>0</v>
      </c>
      <c r="AR1135" s="381">
        <f t="shared" si="923"/>
        <v>0</v>
      </c>
      <c r="AS1135" s="381">
        <f t="shared" si="923"/>
        <v>0</v>
      </c>
    </row>
    <row r="1136" spans="1:45" ht="15" customHeight="1" x14ac:dyDescent="0.3">
      <c r="A1136" s="394"/>
      <c r="B1136" s="394"/>
      <c r="C1136" s="395"/>
      <c r="D1136" s="34"/>
      <c r="E1136" s="487" t="s">
        <v>856</v>
      </c>
      <c r="F1136" s="853">
        <f xml:space="preserve"> SUM(Q1136:AV1136)</f>
        <v>0</v>
      </c>
      <c r="G1136" s="488" t="s">
        <v>509</v>
      </c>
      <c r="H1136" s="230"/>
      <c r="I1136" s="230"/>
      <c r="J1136" s="70"/>
      <c r="K1136" s="853">
        <f t="shared" ref="K1136:P1136" si="924" xml:space="preserve"> IF( ABS(K1129- SUM(K1131:K1134) + K1135) &lt;= CHK_TOL, 0, 1)</f>
        <v>0</v>
      </c>
      <c r="L1136" s="853">
        <f t="shared" si="924"/>
        <v>0</v>
      </c>
      <c r="M1136" s="853">
        <f t="shared" si="924"/>
        <v>0</v>
      </c>
      <c r="N1136" s="853">
        <f t="shared" si="924"/>
        <v>0</v>
      </c>
      <c r="O1136" s="853">
        <f t="shared" si="924"/>
        <v>0</v>
      </c>
      <c r="P1136" s="853">
        <f t="shared" si="924"/>
        <v>0</v>
      </c>
      <c r="Q1136" s="853">
        <f t="shared" ref="Q1136:AS1136" si="925" xml:space="preserve"> IF( ABS(Q1129- SUM(Q1132:Q1134) + Q1135) &lt;= CHK_TOL, 0, 1)</f>
        <v>0</v>
      </c>
      <c r="R1136" s="853">
        <f t="shared" si="925"/>
        <v>0</v>
      </c>
      <c r="S1136" s="853">
        <f t="shared" si="925"/>
        <v>0</v>
      </c>
      <c r="T1136" s="853">
        <f t="shared" si="925"/>
        <v>0</v>
      </c>
      <c r="U1136" s="853">
        <f t="shared" si="925"/>
        <v>0</v>
      </c>
      <c r="V1136" s="853">
        <f t="shared" si="925"/>
        <v>0</v>
      </c>
      <c r="W1136" s="853">
        <f t="shared" si="925"/>
        <v>0</v>
      </c>
      <c r="X1136" s="853">
        <f t="shared" si="925"/>
        <v>0</v>
      </c>
      <c r="Y1136" s="853">
        <f t="shared" si="925"/>
        <v>0</v>
      </c>
      <c r="Z1136" s="853">
        <f t="shared" si="925"/>
        <v>0</v>
      </c>
      <c r="AA1136" s="853">
        <f t="shared" si="925"/>
        <v>0</v>
      </c>
      <c r="AB1136" s="853">
        <f t="shared" si="925"/>
        <v>0</v>
      </c>
      <c r="AC1136" s="853">
        <f t="shared" si="925"/>
        <v>0</v>
      </c>
      <c r="AD1136" s="853">
        <f t="shared" si="925"/>
        <v>0</v>
      </c>
      <c r="AE1136" s="853">
        <f t="shared" si="925"/>
        <v>0</v>
      </c>
      <c r="AF1136" s="853">
        <f t="shared" si="925"/>
        <v>0</v>
      </c>
      <c r="AG1136" s="853">
        <f t="shared" si="925"/>
        <v>0</v>
      </c>
      <c r="AH1136" s="853">
        <f t="shared" si="925"/>
        <v>0</v>
      </c>
      <c r="AI1136" s="853">
        <f t="shared" si="925"/>
        <v>0</v>
      </c>
      <c r="AJ1136" s="853">
        <f t="shared" si="925"/>
        <v>0</v>
      </c>
      <c r="AK1136" s="853">
        <f t="shared" si="925"/>
        <v>0</v>
      </c>
      <c r="AL1136" s="853">
        <f t="shared" si="925"/>
        <v>0</v>
      </c>
      <c r="AM1136" s="853">
        <f t="shared" si="925"/>
        <v>0</v>
      </c>
      <c r="AN1136" s="853">
        <f t="shared" si="925"/>
        <v>0</v>
      </c>
      <c r="AO1136" s="853">
        <f t="shared" si="925"/>
        <v>0</v>
      </c>
      <c r="AP1136" s="853">
        <f t="shared" si="925"/>
        <v>0</v>
      </c>
      <c r="AQ1136" s="853">
        <f t="shared" si="925"/>
        <v>0</v>
      </c>
      <c r="AR1136" s="853">
        <f t="shared" si="925"/>
        <v>0</v>
      </c>
      <c r="AS1136" s="853">
        <f t="shared" si="925"/>
        <v>0</v>
      </c>
    </row>
    <row r="1137" spans="1:45" ht="15" customHeight="1" x14ac:dyDescent="0.3">
      <c r="I1137" s="116"/>
      <c r="AL1137" s="42"/>
      <c r="AM1137" s="42"/>
      <c r="AN1137" s="42"/>
      <c r="AO1137" s="42"/>
      <c r="AP1137" s="42"/>
      <c r="AQ1137" s="88"/>
      <c r="AR1137" s="88"/>
      <c r="AS1137" s="88"/>
    </row>
    <row r="1138" spans="1:45" ht="15" customHeight="1" x14ac:dyDescent="0.3">
      <c r="B1138" s="480" t="s">
        <v>857</v>
      </c>
      <c r="I1138" s="116"/>
      <c r="AL1138" s="42"/>
      <c r="AM1138" s="42"/>
      <c r="AN1138" s="42"/>
      <c r="AO1138" s="42"/>
      <c r="AP1138" s="42"/>
      <c r="AQ1138" s="88"/>
      <c r="AR1138" s="88"/>
      <c r="AS1138" s="88"/>
    </row>
    <row r="1139" spans="1:45" ht="15" customHeight="1" x14ac:dyDescent="0.3">
      <c r="E1139" s="439" t="s">
        <v>858</v>
      </c>
      <c r="F1139" s="1211">
        <v>2014</v>
      </c>
      <c r="G1139" s="854" t="s">
        <v>27</v>
      </c>
      <c r="I1139" s="116"/>
      <c r="AL1139" s="42"/>
      <c r="AM1139" s="42"/>
      <c r="AN1139" s="42"/>
      <c r="AO1139" s="42"/>
      <c r="AP1139" s="42"/>
      <c r="AQ1139" s="88"/>
      <c r="AR1139" s="88"/>
      <c r="AS1139" s="88"/>
    </row>
    <row r="1140" spans="1:45" ht="15" customHeight="1" x14ac:dyDescent="0.3">
      <c r="E1140" s="439" t="s">
        <v>859</v>
      </c>
      <c r="F1140" s="1211">
        <v>2017</v>
      </c>
      <c r="G1140" s="854" t="s">
        <v>27</v>
      </c>
      <c r="I1140" s="116"/>
      <c r="AL1140" s="42"/>
      <c r="AM1140" s="42"/>
      <c r="AN1140" s="42"/>
      <c r="AO1140" s="42"/>
      <c r="AP1140" s="42"/>
      <c r="AQ1140" s="88"/>
      <c r="AR1140" s="88"/>
      <c r="AS1140" s="88"/>
    </row>
    <row r="1141" spans="1:45" ht="15" customHeight="1" x14ac:dyDescent="0.3">
      <c r="E1141" s="855" t="str">
        <f xml:space="preserve"> 'T&amp;E'!E$12</f>
        <v xml:space="preserve">Forecast / point forward year </v>
      </c>
      <c r="F1141" s="855">
        <f xml:space="preserve"> 'T&amp;E'!F$12</f>
        <v>2025</v>
      </c>
      <c r="G1141" s="855" t="str">
        <f xml:space="preserve"> 'T&amp;E'!G$12</f>
        <v>year</v>
      </c>
      <c r="I1141" s="116"/>
      <c r="AL1141" s="42"/>
      <c r="AM1141" s="42"/>
      <c r="AN1141" s="42"/>
      <c r="AO1141" s="42"/>
      <c r="AP1141" s="42"/>
      <c r="AQ1141" s="88"/>
      <c r="AR1141" s="88"/>
      <c r="AS1141" s="88"/>
    </row>
    <row r="1142" spans="1:45" ht="15" customHeight="1" x14ac:dyDescent="0.3">
      <c r="A1142" s="150"/>
      <c r="B1142" s="150"/>
      <c r="C1142" s="151"/>
      <c r="D1142" s="104"/>
      <c r="E1142" s="104" t="str">
        <f xml:space="preserve"> 'T&amp;E'!E$9</f>
        <v>Model calendar year</v>
      </c>
      <c r="F1142" s="104">
        <f xml:space="preserve"> 'T&amp;E'!F$9</f>
        <v>0</v>
      </c>
      <c r="G1142" s="104" t="str">
        <f xml:space="preserve"> 'T&amp;E'!G$9</f>
        <v>year</v>
      </c>
      <c r="H1142" s="104">
        <f xml:space="preserve"> 'T&amp;E'!H$9</f>
        <v>0</v>
      </c>
      <c r="I1142" s="104">
        <f xml:space="preserve"> 'T&amp;E'!I$9</f>
        <v>0</v>
      </c>
      <c r="J1142" s="104">
        <f xml:space="preserve"> 'T&amp;E'!J$9</f>
        <v>0</v>
      </c>
      <c r="K1142" s="104">
        <f xml:space="preserve"> 'T&amp;E'!K$9</f>
        <v>2006</v>
      </c>
      <c r="L1142" s="104">
        <f xml:space="preserve"> 'T&amp;E'!L$9</f>
        <v>2007</v>
      </c>
      <c r="M1142" s="104">
        <f xml:space="preserve"> 'T&amp;E'!M$9</f>
        <v>2008</v>
      </c>
      <c r="N1142" s="104">
        <f xml:space="preserve"> 'T&amp;E'!N$9</f>
        <v>2009</v>
      </c>
      <c r="O1142" s="104">
        <f xml:space="preserve"> 'T&amp;E'!O$9</f>
        <v>2010</v>
      </c>
      <c r="P1142" s="104">
        <f xml:space="preserve"> 'T&amp;E'!P$9</f>
        <v>2011</v>
      </c>
      <c r="Q1142" s="104">
        <f xml:space="preserve"> 'T&amp;E'!Q$9</f>
        <v>2012</v>
      </c>
      <c r="R1142" s="104">
        <f xml:space="preserve"> 'T&amp;E'!R$9</f>
        <v>2013</v>
      </c>
      <c r="S1142" s="104">
        <f xml:space="preserve"> 'T&amp;E'!S$9</f>
        <v>2014</v>
      </c>
      <c r="T1142" s="104">
        <f xml:space="preserve"> 'T&amp;E'!T$9</f>
        <v>2015</v>
      </c>
      <c r="U1142" s="104">
        <f xml:space="preserve"> 'T&amp;E'!U$9</f>
        <v>2016</v>
      </c>
      <c r="V1142" s="104">
        <f xml:space="preserve"> 'T&amp;E'!V$9</f>
        <v>2017</v>
      </c>
      <c r="W1142" s="104">
        <f xml:space="preserve"> 'T&amp;E'!W$9</f>
        <v>2018</v>
      </c>
      <c r="X1142" s="104">
        <f xml:space="preserve"> 'T&amp;E'!X$9</f>
        <v>2019</v>
      </c>
      <c r="Y1142" s="104">
        <f xml:space="preserve"> 'T&amp;E'!Y$9</f>
        <v>2020</v>
      </c>
      <c r="Z1142" s="104">
        <f xml:space="preserve"> 'T&amp;E'!Z$9</f>
        <v>2021</v>
      </c>
      <c r="AA1142" s="104">
        <f xml:space="preserve"> 'T&amp;E'!AA$9</f>
        <v>2022</v>
      </c>
      <c r="AB1142" s="104">
        <f xml:space="preserve"> 'T&amp;E'!AB$9</f>
        <v>2023</v>
      </c>
      <c r="AC1142" s="104">
        <f xml:space="preserve"> 'T&amp;E'!AC$9</f>
        <v>2024</v>
      </c>
      <c r="AD1142" s="104">
        <f xml:space="preserve"> 'T&amp;E'!AD$9</f>
        <v>2025</v>
      </c>
      <c r="AE1142" s="104">
        <f xml:space="preserve"> 'T&amp;E'!AE$9</f>
        <v>2026</v>
      </c>
      <c r="AF1142" s="104">
        <f xml:space="preserve"> 'T&amp;E'!AF$9</f>
        <v>2027</v>
      </c>
      <c r="AG1142" s="104">
        <f xml:space="preserve"> 'T&amp;E'!AG$9</f>
        <v>2028</v>
      </c>
      <c r="AH1142" s="104">
        <f xml:space="preserve"> 'T&amp;E'!AH$9</f>
        <v>2029</v>
      </c>
      <c r="AI1142" s="104">
        <f xml:space="preserve"> 'T&amp;E'!AI$9</f>
        <v>2030</v>
      </c>
      <c r="AJ1142" s="104">
        <f xml:space="preserve"> 'T&amp;E'!AJ$9</f>
        <v>2031</v>
      </c>
      <c r="AK1142" s="104">
        <f xml:space="preserve"> 'T&amp;E'!AK$9</f>
        <v>2032</v>
      </c>
      <c r="AL1142" s="104">
        <f xml:space="preserve"> 'T&amp;E'!AL$9</f>
        <v>2033</v>
      </c>
      <c r="AM1142" s="104">
        <f xml:space="preserve"> 'T&amp;E'!AM$9</f>
        <v>2034</v>
      </c>
      <c r="AN1142" s="104">
        <f xml:space="preserve"> 'T&amp;E'!AN$9</f>
        <v>2035</v>
      </c>
      <c r="AO1142" s="104">
        <f xml:space="preserve"> 'T&amp;E'!AO$9</f>
        <v>2036</v>
      </c>
      <c r="AP1142" s="104">
        <f xml:space="preserve"> 'T&amp;E'!AP$9</f>
        <v>2037</v>
      </c>
      <c r="AQ1142" s="104">
        <f xml:space="preserve"> 'T&amp;E'!AQ$9</f>
        <v>2038</v>
      </c>
      <c r="AR1142" s="104">
        <f xml:space="preserve"> 'T&amp;E'!AR$9</f>
        <v>2039</v>
      </c>
      <c r="AS1142" s="104">
        <f xml:space="preserve"> 'T&amp;E'!AS$9</f>
        <v>2040</v>
      </c>
    </row>
    <row r="1143" spans="1:45" ht="15" customHeight="1" x14ac:dyDescent="0.3">
      <c r="A1143" s="479"/>
      <c r="B1143" s="480"/>
      <c r="C1143" s="481"/>
      <c r="D1143" s="482"/>
      <c r="E1143" s="439" t="s">
        <v>860</v>
      </c>
      <c r="F1143" s="463"/>
      <c r="G1143" s="854" t="s">
        <v>124</v>
      </c>
      <c r="H1143" s="854"/>
      <c r="I1143" s="854"/>
      <c r="J1143" s="856"/>
      <c r="K1143" s="463">
        <f t="shared" ref="K1143:O1143" si="926" xml:space="preserve"> IF(K1142 &lt; $F1139, 0, D1143 + 1)</f>
        <v>0</v>
      </c>
      <c r="L1143" s="463">
        <f t="shared" si="926"/>
        <v>0</v>
      </c>
      <c r="M1143" s="463">
        <f t="shared" si="926"/>
        <v>0</v>
      </c>
      <c r="N1143" s="463">
        <f t="shared" si="926"/>
        <v>0</v>
      </c>
      <c r="O1143" s="463">
        <f t="shared" si="926"/>
        <v>0</v>
      </c>
      <c r="P1143" s="463">
        <f xml:space="preserve"> IF(P1142 &lt; $F1139, 0, I1143 + 1)</f>
        <v>0</v>
      </c>
      <c r="Q1143" s="463">
        <f xml:space="preserve"> IF(Q1142 &lt; $F1139, 0, J1143 + 1)</f>
        <v>0</v>
      </c>
      <c r="R1143" s="463">
        <f t="shared" ref="R1143:AS1143" si="927" xml:space="preserve"> IF(R1142 &lt; $F1139, 0, Q1143 + 1)</f>
        <v>0</v>
      </c>
      <c r="S1143" s="463">
        <f t="shared" si="927"/>
        <v>1</v>
      </c>
      <c r="T1143" s="463">
        <f t="shared" si="927"/>
        <v>2</v>
      </c>
      <c r="U1143" s="463">
        <f t="shared" si="927"/>
        <v>3</v>
      </c>
      <c r="V1143" s="463">
        <f t="shared" si="927"/>
        <v>4</v>
      </c>
      <c r="W1143" s="463">
        <f t="shared" si="927"/>
        <v>5</v>
      </c>
      <c r="X1143" s="463">
        <f t="shared" si="927"/>
        <v>6</v>
      </c>
      <c r="Y1143" s="463">
        <f t="shared" si="927"/>
        <v>7</v>
      </c>
      <c r="Z1143" s="463">
        <f t="shared" si="927"/>
        <v>8</v>
      </c>
      <c r="AA1143" s="463">
        <f t="shared" si="927"/>
        <v>9</v>
      </c>
      <c r="AB1143" s="463">
        <f t="shared" si="927"/>
        <v>10</v>
      </c>
      <c r="AC1143" s="463">
        <f t="shared" si="927"/>
        <v>11</v>
      </c>
      <c r="AD1143" s="463">
        <f t="shared" si="927"/>
        <v>12</v>
      </c>
      <c r="AE1143" s="463">
        <f t="shared" si="927"/>
        <v>13</v>
      </c>
      <c r="AF1143" s="463">
        <f t="shared" si="927"/>
        <v>14</v>
      </c>
      <c r="AG1143" s="463">
        <f t="shared" si="927"/>
        <v>15</v>
      </c>
      <c r="AH1143" s="463">
        <f t="shared" si="927"/>
        <v>16</v>
      </c>
      <c r="AI1143" s="463">
        <f t="shared" si="927"/>
        <v>17</v>
      </c>
      <c r="AJ1143" s="463">
        <f t="shared" si="927"/>
        <v>18</v>
      </c>
      <c r="AK1143" s="463">
        <f t="shared" si="927"/>
        <v>19</v>
      </c>
      <c r="AL1143" s="463">
        <f t="shared" si="927"/>
        <v>20</v>
      </c>
      <c r="AM1143" s="463">
        <f t="shared" si="927"/>
        <v>21</v>
      </c>
      <c r="AN1143" s="463">
        <f t="shared" si="927"/>
        <v>22</v>
      </c>
      <c r="AO1143" s="463">
        <f t="shared" si="927"/>
        <v>23</v>
      </c>
      <c r="AP1143" s="463">
        <f t="shared" si="927"/>
        <v>24</v>
      </c>
      <c r="AQ1143" s="463">
        <f t="shared" si="927"/>
        <v>25</v>
      </c>
      <c r="AR1143" s="463">
        <f t="shared" si="927"/>
        <v>26</v>
      </c>
      <c r="AS1143" s="463">
        <f t="shared" si="927"/>
        <v>27</v>
      </c>
    </row>
    <row r="1144" spans="1:45" ht="15" customHeight="1" x14ac:dyDescent="0.3">
      <c r="A1144" s="479"/>
      <c r="B1144" s="480"/>
      <c r="C1144" s="481"/>
      <c r="D1144" s="482"/>
      <c r="E1144" s="439" t="s">
        <v>861</v>
      </c>
      <c r="F1144" s="463"/>
      <c r="G1144" s="854" t="s">
        <v>124</v>
      </c>
      <c r="H1144" s="854"/>
      <c r="I1144" s="854"/>
      <c r="J1144" s="856"/>
      <c r="K1144" s="463">
        <f t="shared" ref="K1144:O1144" si="928" xml:space="preserve"> IF(K1142 &lt; $F1140, 0, D1144 + 1)</f>
        <v>0</v>
      </c>
      <c r="L1144" s="463">
        <f t="shared" si="928"/>
        <v>0</v>
      </c>
      <c r="M1144" s="463">
        <f t="shared" si="928"/>
        <v>0</v>
      </c>
      <c r="N1144" s="463">
        <f t="shared" si="928"/>
        <v>0</v>
      </c>
      <c r="O1144" s="463">
        <f t="shared" si="928"/>
        <v>0</v>
      </c>
      <c r="P1144" s="463">
        <f xml:space="preserve"> IF(P1142 &lt; $F1140, 0, I1144 + 1)</f>
        <v>0</v>
      </c>
      <c r="Q1144" s="463">
        <f xml:space="preserve"> IF(Q1142 &lt; $F1140, 0, J1144 + 1)</f>
        <v>0</v>
      </c>
      <c r="R1144" s="463">
        <f t="shared" ref="R1144:AS1144" si="929" xml:space="preserve"> IF(R1142 &lt; $F1140, 0, Q1144 + 1)</f>
        <v>0</v>
      </c>
      <c r="S1144" s="463">
        <f t="shared" si="929"/>
        <v>0</v>
      </c>
      <c r="T1144" s="463">
        <f t="shared" si="929"/>
        <v>0</v>
      </c>
      <c r="U1144" s="463">
        <f t="shared" si="929"/>
        <v>0</v>
      </c>
      <c r="V1144" s="463">
        <f t="shared" si="929"/>
        <v>1</v>
      </c>
      <c r="W1144" s="463">
        <f t="shared" si="929"/>
        <v>2</v>
      </c>
      <c r="X1144" s="463">
        <f t="shared" si="929"/>
        <v>3</v>
      </c>
      <c r="Y1144" s="463">
        <f t="shared" si="929"/>
        <v>4</v>
      </c>
      <c r="Z1144" s="463">
        <f t="shared" si="929"/>
        <v>5</v>
      </c>
      <c r="AA1144" s="463">
        <f t="shared" si="929"/>
        <v>6</v>
      </c>
      <c r="AB1144" s="463">
        <f t="shared" si="929"/>
        <v>7</v>
      </c>
      <c r="AC1144" s="463">
        <f t="shared" si="929"/>
        <v>8</v>
      </c>
      <c r="AD1144" s="463">
        <f t="shared" si="929"/>
        <v>9</v>
      </c>
      <c r="AE1144" s="463">
        <f t="shared" si="929"/>
        <v>10</v>
      </c>
      <c r="AF1144" s="463">
        <f t="shared" si="929"/>
        <v>11</v>
      </c>
      <c r="AG1144" s="463">
        <f t="shared" si="929"/>
        <v>12</v>
      </c>
      <c r="AH1144" s="463">
        <f t="shared" si="929"/>
        <v>13</v>
      </c>
      <c r="AI1144" s="463">
        <f t="shared" si="929"/>
        <v>14</v>
      </c>
      <c r="AJ1144" s="463">
        <f t="shared" si="929"/>
        <v>15</v>
      </c>
      <c r="AK1144" s="463">
        <f t="shared" si="929"/>
        <v>16</v>
      </c>
      <c r="AL1144" s="463">
        <f t="shared" si="929"/>
        <v>17</v>
      </c>
      <c r="AM1144" s="463">
        <f t="shared" si="929"/>
        <v>18</v>
      </c>
      <c r="AN1144" s="463">
        <f t="shared" si="929"/>
        <v>19</v>
      </c>
      <c r="AO1144" s="463">
        <f t="shared" si="929"/>
        <v>20</v>
      </c>
      <c r="AP1144" s="463">
        <f t="shared" si="929"/>
        <v>21</v>
      </c>
      <c r="AQ1144" s="463">
        <f t="shared" si="929"/>
        <v>22</v>
      </c>
      <c r="AR1144" s="463">
        <f t="shared" si="929"/>
        <v>23</v>
      </c>
      <c r="AS1144" s="463">
        <f t="shared" si="929"/>
        <v>24</v>
      </c>
    </row>
    <row r="1145" spans="1:45" ht="15" customHeight="1" x14ac:dyDescent="0.3">
      <c r="A1145" s="479"/>
      <c r="B1145" s="480"/>
      <c r="C1145" s="481"/>
      <c r="D1145" s="482"/>
      <c r="E1145" s="439" t="s">
        <v>862</v>
      </c>
      <c r="F1145" s="463"/>
      <c r="G1145" s="854" t="s">
        <v>124</v>
      </c>
      <c r="H1145" s="854"/>
      <c r="I1145" s="854"/>
      <c r="J1145" s="856"/>
      <c r="K1145" s="463">
        <f t="shared" ref="K1145:O1145" si="930" xml:space="preserve"> IF(K1142 &lt; $F1141, 0, D1145 + 1)</f>
        <v>0</v>
      </c>
      <c r="L1145" s="463">
        <f t="shared" si="930"/>
        <v>0</v>
      </c>
      <c r="M1145" s="463">
        <f t="shared" si="930"/>
        <v>0</v>
      </c>
      <c r="N1145" s="463">
        <f t="shared" si="930"/>
        <v>0</v>
      </c>
      <c r="O1145" s="463">
        <f t="shared" si="930"/>
        <v>0</v>
      </c>
      <c r="P1145" s="463">
        <f xml:space="preserve"> IF(P1142 &lt; $F1141, 0, I1145 + 1)</f>
        <v>0</v>
      </c>
      <c r="Q1145" s="463">
        <f xml:space="preserve"> IF(Q1142 &lt; $F1141, 0, J1145 + 1)</f>
        <v>0</v>
      </c>
      <c r="R1145" s="463">
        <f t="shared" ref="R1145:AS1145" si="931" xml:space="preserve"> IF(R1142 &lt; $F1141, 0, Q1145 + 1)</f>
        <v>0</v>
      </c>
      <c r="S1145" s="463">
        <f t="shared" si="931"/>
        <v>0</v>
      </c>
      <c r="T1145" s="463">
        <f t="shared" si="931"/>
        <v>0</v>
      </c>
      <c r="U1145" s="463">
        <f t="shared" si="931"/>
        <v>0</v>
      </c>
      <c r="V1145" s="463">
        <f t="shared" si="931"/>
        <v>0</v>
      </c>
      <c r="W1145" s="463">
        <f t="shared" si="931"/>
        <v>0</v>
      </c>
      <c r="X1145" s="463">
        <f t="shared" si="931"/>
        <v>0</v>
      </c>
      <c r="Y1145" s="463">
        <f t="shared" si="931"/>
        <v>0</v>
      </c>
      <c r="Z1145" s="463">
        <f t="shared" si="931"/>
        <v>0</v>
      </c>
      <c r="AA1145" s="463">
        <f t="shared" si="931"/>
        <v>0</v>
      </c>
      <c r="AB1145" s="463">
        <f t="shared" si="931"/>
        <v>0</v>
      </c>
      <c r="AC1145" s="463">
        <f t="shared" si="931"/>
        <v>0</v>
      </c>
      <c r="AD1145" s="463">
        <f t="shared" si="931"/>
        <v>1</v>
      </c>
      <c r="AE1145" s="463">
        <f t="shared" si="931"/>
        <v>2</v>
      </c>
      <c r="AF1145" s="463">
        <f t="shared" si="931"/>
        <v>3</v>
      </c>
      <c r="AG1145" s="463">
        <f t="shared" si="931"/>
        <v>4</v>
      </c>
      <c r="AH1145" s="463">
        <f t="shared" si="931"/>
        <v>5</v>
      </c>
      <c r="AI1145" s="463">
        <f t="shared" si="931"/>
        <v>6</v>
      </c>
      <c r="AJ1145" s="463">
        <f t="shared" si="931"/>
        <v>7</v>
      </c>
      <c r="AK1145" s="463">
        <f t="shared" si="931"/>
        <v>8</v>
      </c>
      <c r="AL1145" s="463">
        <f t="shared" si="931"/>
        <v>9</v>
      </c>
      <c r="AM1145" s="463">
        <f t="shared" si="931"/>
        <v>10</v>
      </c>
      <c r="AN1145" s="463">
        <f t="shared" si="931"/>
        <v>11</v>
      </c>
      <c r="AO1145" s="463">
        <f t="shared" si="931"/>
        <v>12</v>
      </c>
      <c r="AP1145" s="463">
        <f t="shared" si="931"/>
        <v>13</v>
      </c>
      <c r="AQ1145" s="463">
        <f t="shared" si="931"/>
        <v>14</v>
      </c>
      <c r="AR1145" s="463">
        <f t="shared" si="931"/>
        <v>15</v>
      </c>
      <c r="AS1145" s="463">
        <f t="shared" si="931"/>
        <v>16</v>
      </c>
    </row>
    <row r="1146" spans="1:45" ht="15" customHeight="1" x14ac:dyDescent="0.3">
      <c r="I1146" s="116"/>
      <c r="AL1146" s="42"/>
      <c r="AM1146" s="42"/>
      <c r="AN1146" s="42"/>
      <c r="AO1146" s="42"/>
      <c r="AP1146" s="42"/>
      <c r="AQ1146" s="88"/>
      <c r="AR1146" s="88"/>
      <c r="AS1146" s="88"/>
    </row>
    <row r="1147" spans="1:45" ht="15" customHeight="1" x14ac:dyDescent="0.3">
      <c r="E1147" s="61" t="str">
        <f xml:space="preserve"> Inputs_Con!E$21</f>
        <v>Discount rate</v>
      </c>
      <c r="F1147" s="435">
        <f xml:space="preserve"> Inputs_Con!F$21</f>
        <v>0.1</v>
      </c>
      <c r="G1147" s="61" t="str">
        <f xml:space="preserve"> Inputs_Con!G$21</f>
        <v>%nominal</v>
      </c>
      <c r="I1147" s="116"/>
      <c r="AL1147" s="42"/>
      <c r="AM1147" s="42"/>
      <c r="AN1147" s="42"/>
      <c r="AO1147" s="42"/>
      <c r="AP1147" s="42"/>
      <c r="AQ1147" s="88"/>
      <c r="AR1147" s="88"/>
      <c r="AS1147" s="88"/>
    </row>
    <row r="1148" spans="1:45" ht="15" customHeight="1" x14ac:dyDescent="0.3">
      <c r="A1148" s="479"/>
      <c r="B1148" s="480"/>
      <c r="C1148" s="481"/>
      <c r="D1148" s="482"/>
      <c r="E1148" s="439" t="str">
        <f>"Discount factor_" &amp; F1139</f>
        <v>Discount factor_2014</v>
      </c>
      <c r="F1148" s="854"/>
      <c r="G1148" s="854" t="s">
        <v>252</v>
      </c>
      <c r="H1148" s="854"/>
      <c r="I1148" s="854"/>
      <c r="J1148" s="482"/>
      <c r="K1148" s="857">
        <f t="shared" ref="K1148:O1148" si="932" xml:space="preserve"> IF( K1143 &gt; 0, 1 / ( 1 + $F1147) ^ (K1143 - 0.5), 0)</f>
        <v>0</v>
      </c>
      <c r="L1148" s="857">
        <f t="shared" si="932"/>
        <v>0</v>
      </c>
      <c r="M1148" s="857">
        <f t="shared" si="932"/>
        <v>0</v>
      </c>
      <c r="N1148" s="857">
        <f t="shared" si="932"/>
        <v>0</v>
      </c>
      <c r="O1148" s="857">
        <f t="shared" si="932"/>
        <v>0</v>
      </c>
      <c r="P1148" s="857">
        <f t="shared" ref="P1148:AS1148" si="933" xml:space="preserve"> IF( P1143 &gt; 0, 1 / ( 1 + $F1147) ^ (P1143 - 0.5), 0)</f>
        <v>0</v>
      </c>
      <c r="Q1148" s="857">
        <f t="shared" si="933"/>
        <v>0</v>
      </c>
      <c r="R1148" s="857">
        <f t="shared" si="933"/>
        <v>0</v>
      </c>
      <c r="S1148" s="857">
        <f t="shared" si="933"/>
        <v>0.95346258924559224</v>
      </c>
      <c r="T1148" s="857">
        <f t="shared" si="933"/>
        <v>0.86678417204144742</v>
      </c>
      <c r="U1148" s="857">
        <f t="shared" si="933"/>
        <v>0.78798561094677033</v>
      </c>
      <c r="V1148" s="857">
        <f t="shared" si="933"/>
        <v>0.71635055540615489</v>
      </c>
      <c r="W1148" s="857">
        <f t="shared" si="933"/>
        <v>0.65122777764195883</v>
      </c>
      <c r="X1148" s="857">
        <f t="shared" si="933"/>
        <v>0.59202525240178083</v>
      </c>
      <c r="Y1148" s="857">
        <f t="shared" si="933"/>
        <v>0.53820477491070973</v>
      </c>
      <c r="Z1148" s="857">
        <f t="shared" si="933"/>
        <v>0.48927706810064514</v>
      </c>
      <c r="AA1148" s="857">
        <f t="shared" si="933"/>
        <v>0.44479733463695009</v>
      </c>
      <c r="AB1148" s="857">
        <f t="shared" si="933"/>
        <v>0.4043612133063183</v>
      </c>
      <c r="AC1148" s="857">
        <f t="shared" si="933"/>
        <v>0.36760110300574383</v>
      </c>
      <c r="AD1148" s="857">
        <f t="shared" si="933"/>
        <v>0.33418282091431251</v>
      </c>
      <c r="AE1148" s="857">
        <f t="shared" si="933"/>
        <v>0.30380256446755688</v>
      </c>
      <c r="AF1148" s="857">
        <f t="shared" si="933"/>
        <v>0.27618414951596076</v>
      </c>
      <c r="AG1148" s="857">
        <f t="shared" si="933"/>
        <v>0.25107649955996431</v>
      </c>
      <c r="AH1148" s="857">
        <f t="shared" si="933"/>
        <v>0.22825136323633116</v>
      </c>
      <c r="AI1148" s="857">
        <f t="shared" si="933"/>
        <v>0.20750123930575562</v>
      </c>
      <c r="AJ1148" s="857">
        <f t="shared" si="933"/>
        <v>0.18863749027795962</v>
      </c>
      <c r="AK1148" s="857">
        <f t="shared" si="933"/>
        <v>0.17148862752541782</v>
      </c>
      <c r="AL1148" s="857">
        <f t="shared" si="933"/>
        <v>0.15589875229583436</v>
      </c>
      <c r="AM1148" s="857">
        <f t="shared" si="933"/>
        <v>0.14172613845075852</v>
      </c>
      <c r="AN1148" s="857">
        <f t="shared" si="933"/>
        <v>0.1288419440461441</v>
      </c>
      <c r="AO1148" s="857">
        <f t="shared" si="933"/>
        <v>0.11712904004194918</v>
      </c>
      <c r="AP1148" s="857">
        <f t="shared" si="933"/>
        <v>0.10648094549268106</v>
      </c>
      <c r="AQ1148" s="857">
        <f t="shared" si="933"/>
        <v>9.6800859538800965E-2</v>
      </c>
      <c r="AR1148" s="857">
        <f t="shared" si="933"/>
        <v>8.8000781398909919E-2</v>
      </c>
      <c r="AS1148" s="857">
        <f t="shared" si="933"/>
        <v>8.0000710362645402E-2</v>
      </c>
    </row>
    <row r="1149" spans="1:45" ht="15" customHeight="1" x14ac:dyDescent="0.3">
      <c r="A1149" s="479"/>
      <c r="B1149" s="480"/>
      <c r="C1149" s="481"/>
      <c r="D1149" s="482"/>
      <c r="E1149" s="439" t="str">
        <f>"Discount factor_" &amp; F1140</f>
        <v>Discount factor_2017</v>
      </c>
      <c r="F1149" s="854"/>
      <c r="G1149" s="854" t="s">
        <v>252</v>
      </c>
      <c r="H1149" s="854"/>
      <c r="I1149" s="854"/>
      <c r="J1149" s="482"/>
      <c r="K1149" s="857">
        <f t="shared" ref="K1149:O1149" si="934" xml:space="preserve"> IF( K1144 &gt; 0, 1 / ( 1 + $F1147) ^ (K1144 - 0.5), 0)</f>
        <v>0</v>
      </c>
      <c r="L1149" s="857">
        <f t="shared" si="934"/>
        <v>0</v>
      </c>
      <c r="M1149" s="857">
        <f t="shared" si="934"/>
        <v>0</v>
      </c>
      <c r="N1149" s="857">
        <f t="shared" si="934"/>
        <v>0</v>
      </c>
      <c r="O1149" s="857">
        <f t="shared" si="934"/>
        <v>0</v>
      </c>
      <c r="P1149" s="857">
        <f t="shared" ref="P1149:AS1149" si="935" xml:space="preserve"> IF( P1144 &gt; 0, 1 / ( 1 + $F1147) ^ (P1144 - 0.5), 0)</f>
        <v>0</v>
      </c>
      <c r="Q1149" s="857">
        <f t="shared" si="935"/>
        <v>0</v>
      </c>
      <c r="R1149" s="857">
        <f t="shared" si="935"/>
        <v>0</v>
      </c>
      <c r="S1149" s="857">
        <f t="shared" si="935"/>
        <v>0</v>
      </c>
      <c r="T1149" s="857">
        <f t="shared" si="935"/>
        <v>0</v>
      </c>
      <c r="U1149" s="857">
        <f t="shared" si="935"/>
        <v>0</v>
      </c>
      <c r="V1149" s="857">
        <f t="shared" si="935"/>
        <v>0.95346258924559224</v>
      </c>
      <c r="W1149" s="857">
        <f t="shared" si="935"/>
        <v>0.86678417204144742</v>
      </c>
      <c r="X1149" s="857">
        <f t="shared" si="935"/>
        <v>0.78798561094677033</v>
      </c>
      <c r="Y1149" s="857">
        <f t="shared" si="935"/>
        <v>0.71635055540615489</v>
      </c>
      <c r="Z1149" s="857">
        <f t="shared" si="935"/>
        <v>0.65122777764195883</v>
      </c>
      <c r="AA1149" s="857">
        <f t="shared" si="935"/>
        <v>0.59202525240178083</v>
      </c>
      <c r="AB1149" s="857">
        <f t="shared" si="935"/>
        <v>0.53820477491070973</v>
      </c>
      <c r="AC1149" s="857">
        <f t="shared" si="935"/>
        <v>0.48927706810064514</v>
      </c>
      <c r="AD1149" s="857">
        <f t="shared" si="935"/>
        <v>0.44479733463695009</v>
      </c>
      <c r="AE1149" s="857">
        <f t="shared" si="935"/>
        <v>0.4043612133063183</v>
      </c>
      <c r="AF1149" s="857">
        <f t="shared" si="935"/>
        <v>0.36760110300574383</v>
      </c>
      <c r="AG1149" s="857">
        <f t="shared" si="935"/>
        <v>0.33418282091431251</v>
      </c>
      <c r="AH1149" s="857">
        <f t="shared" si="935"/>
        <v>0.30380256446755688</v>
      </c>
      <c r="AI1149" s="857">
        <f t="shared" si="935"/>
        <v>0.27618414951596076</v>
      </c>
      <c r="AJ1149" s="857">
        <f t="shared" si="935"/>
        <v>0.25107649955996431</v>
      </c>
      <c r="AK1149" s="857">
        <f t="shared" si="935"/>
        <v>0.22825136323633116</v>
      </c>
      <c r="AL1149" s="857">
        <f t="shared" si="935"/>
        <v>0.20750123930575562</v>
      </c>
      <c r="AM1149" s="857">
        <f t="shared" si="935"/>
        <v>0.18863749027795962</v>
      </c>
      <c r="AN1149" s="857">
        <f t="shared" si="935"/>
        <v>0.17148862752541782</v>
      </c>
      <c r="AO1149" s="857">
        <f t="shared" si="935"/>
        <v>0.15589875229583436</v>
      </c>
      <c r="AP1149" s="857">
        <f t="shared" si="935"/>
        <v>0.14172613845075852</v>
      </c>
      <c r="AQ1149" s="857">
        <f t="shared" si="935"/>
        <v>0.1288419440461441</v>
      </c>
      <c r="AR1149" s="857">
        <f t="shared" si="935"/>
        <v>0.11712904004194918</v>
      </c>
      <c r="AS1149" s="857">
        <f t="shared" si="935"/>
        <v>0.10648094549268106</v>
      </c>
    </row>
    <row r="1150" spans="1:45" ht="15" customHeight="1" x14ac:dyDescent="0.3">
      <c r="A1150" s="479"/>
      <c r="B1150" s="480"/>
      <c r="C1150" s="481"/>
      <c r="D1150" s="482"/>
      <c r="E1150" s="439" t="str">
        <f>"Discount factor_" &amp; F1141</f>
        <v>Discount factor_2025</v>
      </c>
      <c r="F1150" s="854"/>
      <c r="G1150" s="854" t="s">
        <v>252</v>
      </c>
      <c r="H1150" s="854"/>
      <c r="I1150" s="854"/>
      <c r="J1150" s="482"/>
      <c r="K1150" s="857">
        <f t="shared" ref="K1150:O1150" si="936" xml:space="preserve"> IF( K1145 &gt; 0, 1 / ( 1 + $F1147) ^ (K1145 - 0.5), 0)</f>
        <v>0</v>
      </c>
      <c r="L1150" s="857">
        <f t="shared" si="936"/>
        <v>0</v>
      </c>
      <c r="M1150" s="857">
        <f t="shared" si="936"/>
        <v>0</v>
      </c>
      <c r="N1150" s="857">
        <f t="shared" si="936"/>
        <v>0</v>
      </c>
      <c r="O1150" s="857">
        <f t="shared" si="936"/>
        <v>0</v>
      </c>
      <c r="P1150" s="857">
        <f t="shared" ref="P1150:AS1150" si="937" xml:space="preserve"> IF( P1145 &gt; 0, 1 / ( 1 + $F1147) ^ (P1145 - 0.5), 0)</f>
        <v>0</v>
      </c>
      <c r="Q1150" s="857">
        <f t="shared" si="937"/>
        <v>0</v>
      </c>
      <c r="R1150" s="857">
        <f t="shared" si="937"/>
        <v>0</v>
      </c>
      <c r="S1150" s="857">
        <f t="shared" si="937"/>
        <v>0</v>
      </c>
      <c r="T1150" s="857">
        <f t="shared" si="937"/>
        <v>0</v>
      </c>
      <c r="U1150" s="857">
        <f t="shared" si="937"/>
        <v>0</v>
      </c>
      <c r="V1150" s="857">
        <f t="shared" si="937"/>
        <v>0</v>
      </c>
      <c r="W1150" s="857">
        <f t="shared" si="937"/>
        <v>0</v>
      </c>
      <c r="X1150" s="857">
        <f t="shared" si="937"/>
        <v>0</v>
      </c>
      <c r="Y1150" s="857">
        <f t="shared" si="937"/>
        <v>0</v>
      </c>
      <c r="Z1150" s="857">
        <f t="shared" si="937"/>
        <v>0</v>
      </c>
      <c r="AA1150" s="857">
        <f t="shared" si="937"/>
        <v>0</v>
      </c>
      <c r="AB1150" s="857">
        <f t="shared" si="937"/>
        <v>0</v>
      </c>
      <c r="AC1150" s="857">
        <f t="shared" si="937"/>
        <v>0</v>
      </c>
      <c r="AD1150" s="857">
        <f t="shared" si="937"/>
        <v>0.95346258924559224</v>
      </c>
      <c r="AE1150" s="857">
        <f t="shared" si="937"/>
        <v>0.86678417204144742</v>
      </c>
      <c r="AF1150" s="857">
        <f t="shared" si="937"/>
        <v>0.78798561094677033</v>
      </c>
      <c r="AG1150" s="857">
        <f t="shared" si="937"/>
        <v>0.71635055540615489</v>
      </c>
      <c r="AH1150" s="857">
        <f t="shared" si="937"/>
        <v>0.65122777764195883</v>
      </c>
      <c r="AI1150" s="857">
        <f t="shared" si="937"/>
        <v>0.59202525240178083</v>
      </c>
      <c r="AJ1150" s="857">
        <f t="shared" si="937"/>
        <v>0.53820477491070973</v>
      </c>
      <c r="AK1150" s="857">
        <f t="shared" si="937"/>
        <v>0.48927706810064514</v>
      </c>
      <c r="AL1150" s="857">
        <f t="shared" si="937"/>
        <v>0.44479733463695009</v>
      </c>
      <c r="AM1150" s="857">
        <f t="shared" si="937"/>
        <v>0.4043612133063183</v>
      </c>
      <c r="AN1150" s="857">
        <f t="shared" si="937"/>
        <v>0.36760110300574383</v>
      </c>
      <c r="AO1150" s="857">
        <f t="shared" si="937"/>
        <v>0.33418282091431251</v>
      </c>
      <c r="AP1150" s="857">
        <f t="shared" si="937"/>
        <v>0.30380256446755688</v>
      </c>
      <c r="AQ1150" s="857">
        <f t="shared" si="937"/>
        <v>0.27618414951596076</v>
      </c>
      <c r="AR1150" s="857">
        <f t="shared" si="937"/>
        <v>0.25107649955996431</v>
      </c>
      <c r="AS1150" s="857">
        <f t="shared" si="937"/>
        <v>0.22825136323633116</v>
      </c>
    </row>
    <row r="1151" spans="1:45" ht="15" customHeight="1" x14ac:dyDescent="0.3">
      <c r="A1151" s="479"/>
      <c r="B1151" s="480"/>
      <c r="C1151" s="481"/>
      <c r="D1151" s="482"/>
      <c r="E1151" s="339" t="s">
        <v>863</v>
      </c>
      <c r="F1151" s="840" t="str">
        <f>"$ mn NPV" &amp; F1147 * 100</f>
        <v>$ mn NPV10</v>
      </c>
      <c r="G1151" s="482"/>
      <c r="H1151" s="482"/>
      <c r="I1151" s="482"/>
      <c r="J1151" s="482"/>
      <c r="K1151" s="463"/>
      <c r="L1151" s="482"/>
      <c r="M1151" s="482"/>
      <c r="N1151" s="482"/>
      <c r="O1151" s="482"/>
      <c r="P1151" s="482"/>
      <c r="Q1151" s="482"/>
      <c r="R1151" s="482"/>
      <c r="S1151" s="482"/>
      <c r="T1151" s="482"/>
      <c r="U1151" s="482"/>
      <c r="V1151" s="482"/>
      <c r="W1151" s="482"/>
      <c r="X1151" s="482"/>
      <c r="Y1151" s="482"/>
      <c r="Z1151" s="482"/>
      <c r="AA1151" s="482"/>
      <c r="AB1151" s="482"/>
      <c r="AC1151" s="482"/>
      <c r="AD1151" s="482"/>
      <c r="AE1151" s="482"/>
      <c r="AF1151" s="482"/>
      <c r="AG1151" s="482"/>
      <c r="AH1151" s="482"/>
      <c r="AI1151" s="482"/>
      <c r="AJ1151" s="482"/>
      <c r="AK1151" s="482"/>
      <c r="AL1151" s="482"/>
      <c r="AM1151" s="482"/>
      <c r="AN1151" s="482"/>
      <c r="AO1151" s="482"/>
      <c r="AP1151" s="482"/>
      <c r="AQ1151" s="482"/>
      <c r="AR1151" s="482"/>
      <c r="AS1151" s="482"/>
    </row>
    <row r="1152" spans="1:45" ht="15" customHeight="1" x14ac:dyDescent="0.3">
      <c r="A1152" s="479"/>
      <c r="B1152" s="480"/>
      <c r="C1152" s="481"/>
      <c r="D1152" s="482"/>
      <c r="E1152" s="339" t="s">
        <v>864</v>
      </c>
      <c r="F1152" s="840" t="str">
        <f>"NPV" &amp; F1147 * 100</f>
        <v>NPV10</v>
      </c>
      <c r="G1152" s="482"/>
      <c r="H1152" s="482"/>
      <c r="I1152" s="482"/>
      <c r="J1152" s="482"/>
      <c r="K1152" s="463"/>
      <c r="L1152" s="482"/>
      <c r="M1152" s="482"/>
      <c r="N1152" s="482"/>
      <c r="O1152" s="482"/>
      <c r="P1152" s="482"/>
      <c r="Q1152" s="482"/>
      <c r="R1152" s="482"/>
      <c r="S1152" s="482"/>
      <c r="T1152" s="482"/>
      <c r="U1152" s="482"/>
      <c r="V1152" s="482"/>
      <c r="W1152" s="482"/>
      <c r="X1152" s="482"/>
      <c r="Y1152" s="482"/>
      <c r="Z1152" s="482"/>
      <c r="AA1152" s="482"/>
      <c r="AB1152" s="482"/>
      <c r="AC1152" s="482"/>
      <c r="AD1152" s="482"/>
      <c r="AE1152" s="482"/>
      <c r="AF1152" s="482"/>
      <c r="AG1152" s="482"/>
      <c r="AH1152" s="482"/>
      <c r="AI1152" s="482"/>
      <c r="AJ1152" s="482"/>
      <c r="AK1152" s="482"/>
      <c r="AL1152" s="482"/>
      <c r="AM1152" s="482"/>
      <c r="AN1152" s="482"/>
      <c r="AO1152" s="482"/>
      <c r="AP1152" s="482"/>
      <c r="AQ1152" s="482"/>
      <c r="AR1152" s="482"/>
      <c r="AS1152" s="482"/>
    </row>
    <row r="1153" spans="1:45" ht="15" customHeight="1" x14ac:dyDescent="0.3">
      <c r="I1153" s="116"/>
      <c r="AO1153" s="88"/>
      <c r="AP1153" s="88"/>
      <c r="AQ1153" s="88"/>
      <c r="AR1153" s="88"/>
      <c r="AS1153" s="88"/>
    </row>
    <row r="1154" spans="1:45" ht="15" customHeight="1" x14ac:dyDescent="0.3">
      <c r="B1154" s="480" t="s">
        <v>865</v>
      </c>
      <c r="I1154" s="116"/>
      <c r="AO1154" s="88"/>
      <c r="AP1154" s="88"/>
      <c r="AQ1154" s="88"/>
      <c r="AR1154" s="88"/>
      <c r="AS1154" s="88"/>
    </row>
    <row r="1155" spans="1:45" ht="15" customHeight="1" x14ac:dyDescent="0.3">
      <c r="E1155" s="437" t="s">
        <v>682</v>
      </c>
      <c r="F1155" s="858"/>
      <c r="G1155" s="858"/>
      <c r="H1155" s="858"/>
      <c r="I1155" s="858"/>
      <c r="J1155" s="858"/>
      <c r="K1155" s="443" t="s">
        <v>866</v>
      </c>
      <c r="L1155" s="443" t="s">
        <v>866</v>
      </c>
      <c r="M1155" s="859"/>
      <c r="N1155" s="858"/>
      <c r="AO1155" s="88"/>
      <c r="AP1155" s="88"/>
      <c r="AQ1155" s="88"/>
      <c r="AR1155" s="88"/>
      <c r="AS1155" s="88"/>
    </row>
    <row r="1156" spans="1:45" ht="15" customHeight="1" x14ac:dyDescent="0.3">
      <c r="E1156" s="860" t="s">
        <v>867</v>
      </c>
      <c r="F1156" s="861"/>
      <c r="G1156" s="861"/>
      <c r="H1156" s="861">
        <f xml:space="preserve"> F1105</f>
        <v>0</v>
      </c>
      <c r="I1156" s="861"/>
      <c r="J1156" s="861"/>
      <c r="K1156" s="862" t="s">
        <v>868</v>
      </c>
      <c r="L1156" s="860">
        <f xml:space="preserve"> $F$1139</f>
        <v>2014</v>
      </c>
      <c r="M1156" s="860">
        <f xml:space="preserve"> $F$1140</f>
        <v>2017</v>
      </c>
      <c r="N1156" s="860">
        <f xml:space="preserve"> $F$1141</f>
        <v>2025</v>
      </c>
      <c r="AO1156" s="88"/>
      <c r="AP1156" s="88"/>
      <c r="AQ1156" s="88"/>
      <c r="AR1156" s="88"/>
      <c r="AS1156" s="88"/>
    </row>
    <row r="1157" spans="1:45" ht="15" customHeight="1" x14ac:dyDescent="0.3">
      <c r="A1157" s="394"/>
      <c r="B1157" s="394"/>
      <c r="C1157" s="395"/>
      <c r="D1157" s="34"/>
      <c r="E1157" s="34" t="str">
        <f>E1035</f>
        <v>Copper production incl Sens.</v>
      </c>
      <c r="F1157" s="34"/>
      <c r="G1157" s="34" t="str">
        <f>G1035</f>
        <v>KT Cu</v>
      </c>
      <c r="H1157" s="230"/>
      <c r="I1157" s="34"/>
      <c r="J1157" s="386"/>
      <c r="K1157" s="34">
        <f>SUM(P1035:AS1035)</f>
        <v>1750.6700000000008</v>
      </c>
      <c r="L1157" s="34" cm="1">
        <f t="array" ref="L1157" xml:space="preserve"> SUMPRODUCT(P1035:AS1035,--(P$1143:AS$1143 &gt; 0))</f>
        <v>1750.6700000000008</v>
      </c>
      <c r="M1157" s="34" cm="1">
        <f t="array" ref="M1157" xml:space="preserve"> SUMPRODUCT(P1035:AS1035,--(P$1144:AS$1144 &gt; 0))</f>
        <v>1750.6700000000008</v>
      </c>
      <c r="N1157" s="34" cm="1">
        <f t="array" ref="N1157" xml:space="preserve"> SUMPRODUCT(P1035:AS1035,--(P$1145:AS$1145 &gt; 0))</f>
        <v>770.03049999999996</v>
      </c>
      <c r="O1157" s="34"/>
      <c r="P1157" s="34"/>
      <c r="Q1157" s="34"/>
      <c r="R1157" s="34"/>
      <c r="S1157" s="34"/>
      <c r="T1157" s="34"/>
      <c r="U1157" s="34"/>
      <c r="V1157" s="34"/>
      <c r="W1157" s="34"/>
      <c r="X1157" s="34"/>
      <c r="Y1157" s="34"/>
      <c r="Z1157" s="34"/>
      <c r="AA1157" s="34"/>
      <c r="AB1157" s="34"/>
      <c r="AC1157" s="34"/>
      <c r="AD1157" s="34"/>
      <c r="AE1157" s="34"/>
      <c r="AF1157" s="34"/>
      <c r="AG1157" s="34"/>
      <c r="AH1157" s="34"/>
      <c r="AI1157" s="34"/>
      <c r="AJ1157" s="34"/>
      <c r="AK1157" s="34"/>
      <c r="AL1157" s="408"/>
      <c r="AM1157" s="408"/>
      <c r="AN1157" s="408"/>
      <c r="AO1157" s="408"/>
      <c r="AP1157" s="408"/>
      <c r="AQ1157" s="408"/>
      <c r="AR1157" s="408"/>
      <c r="AS1157" s="408"/>
    </row>
    <row r="1158" spans="1:45" ht="15" customHeight="1" x14ac:dyDescent="0.3">
      <c r="A1158" s="394"/>
      <c r="B1158" s="394"/>
      <c r="C1158" s="395"/>
      <c r="D1158" s="34"/>
      <c r="E1158" s="34" t="str">
        <f>E1036</f>
        <v>Cobalt production incl Sens.</v>
      </c>
      <c r="F1158" s="34"/>
      <c r="G1158" s="34" t="str">
        <f>G1036</f>
        <v>KT Co</v>
      </c>
      <c r="H1158" s="230"/>
      <c r="I1158" s="34"/>
      <c r="J1158" s="386"/>
      <c r="K1158" s="34">
        <f>SUM(P1036:AS1036)</f>
        <v>21.822532857142861</v>
      </c>
      <c r="L1158" s="34" cm="1">
        <f t="array" ref="L1158" xml:space="preserve"> SUMPRODUCT(P1036:AS1036,--(P$1143:AS$1143 &gt; 0))</f>
        <v>21.822532857142861</v>
      </c>
      <c r="M1158" s="34" cm="1">
        <f t="array" ref="M1158" xml:space="preserve"> SUMPRODUCT(P1036:AS1036,--(P$1144:AS$1144 &gt; 0))</f>
        <v>21.822532857142861</v>
      </c>
      <c r="N1158" s="34" cm="1">
        <f t="array" ref="N1158" xml:space="preserve"> SUMPRODUCT(P1036:AS1036,--(P$1145:AS$1145 &gt; 0))</f>
        <v>12.494162857142857</v>
      </c>
      <c r="O1158" s="34"/>
      <c r="P1158" s="34"/>
      <c r="Q1158" s="34"/>
      <c r="R1158" s="34"/>
      <c r="S1158" s="34"/>
      <c r="T1158" s="34"/>
      <c r="U1158" s="34"/>
      <c r="V1158" s="34"/>
      <c r="W1158" s="34"/>
      <c r="X1158" s="34"/>
      <c r="Y1158" s="34"/>
      <c r="Z1158" s="34"/>
      <c r="AA1158" s="34"/>
      <c r="AB1158" s="34"/>
      <c r="AC1158" s="34"/>
      <c r="AD1158" s="34"/>
      <c r="AE1158" s="34"/>
      <c r="AF1158" s="34"/>
      <c r="AG1158" s="34"/>
      <c r="AH1158" s="34"/>
      <c r="AI1158" s="34"/>
      <c r="AJ1158" s="34"/>
      <c r="AK1158" s="34"/>
      <c r="AL1158" s="408"/>
      <c r="AM1158" s="408"/>
      <c r="AN1158" s="408"/>
      <c r="AO1158" s="408"/>
      <c r="AP1158" s="408"/>
      <c r="AQ1158" s="408"/>
      <c r="AR1158" s="408"/>
      <c r="AS1158" s="408"/>
    </row>
    <row r="1159" spans="1:45" ht="15" customHeight="1" x14ac:dyDescent="0.3">
      <c r="A1159" s="394"/>
      <c r="B1159" s="394"/>
      <c r="C1159" s="395"/>
      <c r="D1159" s="34"/>
      <c r="E1159" s="487" t="s">
        <v>581</v>
      </c>
      <c r="F1159" s="34"/>
      <c r="G1159" s="34" t="s">
        <v>582</v>
      </c>
      <c r="H1159" s="230"/>
      <c r="I1159" s="34"/>
      <c r="J1159" s="386"/>
      <c r="K1159" s="176">
        <f xml:space="preserve"> K1158 / K1157</f>
        <v>1.2465246366901158E-2</v>
      </c>
      <c r="L1159" s="176">
        <f xml:space="preserve"> L1158 / L1157</f>
        <v>1.2465246366901158E-2</v>
      </c>
      <c r="M1159" s="176">
        <f xml:space="preserve"> M1158 / M1157</f>
        <v>1.2465246366901158E-2</v>
      </c>
      <c r="N1159" s="176">
        <f xml:space="preserve"> N1158 / N1157</f>
        <v>1.6225542828683874E-2</v>
      </c>
      <c r="O1159" s="34"/>
      <c r="P1159" s="34"/>
      <c r="Q1159" s="34"/>
      <c r="R1159" s="34"/>
      <c r="S1159" s="34"/>
      <c r="T1159" s="34"/>
      <c r="U1159" s="34"/>
      <c r="V1159" s="34"/>
      <c r="W1159" s="34"/>
      <c r="X1159" s="34"/>
      <c r="Y1159" s="34"/>
      <c r="Z1159" s="34"/>
      <c r="AA1159" s="34"/>
      <c r="AB1159" s="34"/>
      <c r="AC1159" s="34"/>
      <c r="AD1159" s="34"/>
      <c r="AE1159" s="34"/>
      <c r="AF1159" s="34"/>
      <c r="AG1159" s="34"/>
      <c r="AH1159" s="34"/>
      <c r="AI1159" s="34"/>
      <c r="AJ1159" s="34"/>
      <c r="AK1159" s="34"/>
      <c r="AL1159" s="408"/>
      <c r="AM1159" s="408"/>
      <c r="AN1159" s="408"/>
      <c r="AO1159" s="408"/>
      <c r="AP1159" s="408"/>
      <c r="AQ1159" s="408"/>
      <c r="AR1159" s="408"/>
      <c r="AS1159" s="408"/>
    </row>
    <row r="1160" spans="1:45" ht="5.25" customHeight="1" x14ac:dyDescent="0.3">
      <c r="E1160" s="482"/>
      <c r="K1160" s="857"/>
      <c r="L1160" s="857"/>
      <c r="M1160" s="857"/>
      <c r="N1160" s="857"/>
      <c r="AO1160" s="88"/>
      <c r="AP1160" s="88"/>
      <c r="AQ1160" s="88"/>
      <c r="AR1160" s="88"/>
      <c r="AS1160" s="88"/>
    </row>
    <row r="1161" spans="1:45" ht="15" customHeight="1" x14ac:dyDescent="0.3">
      <c r="A1161" s="394"/>
      <c r="B1161" s="394"/>
      <c r="C1161" s="395"/>
      <c r="D1161" s="34"/>
      <c r="E1161" s="34" t="str">
        <f>E1039</f>
        <v>Copper gross revenue</v>
      </c>
      <c r="F1161" s="34"/>
      <c r="G1161" s="34" t="str">
        <f>G1039</f>
        <v>$ mn</v>
      </c>
      <c r="H1161" s="230"/>
      <c r="I1161" s="34"/>
      <c r="J1161" s="386"/>
      <c r="K1161" s="34">
        <f>SUM(P1039:AS1039)</f>
        <v>11451.489506019687</v>
      </c>
      <c r="L1161" s="34" cm="1">
        <f t="array" ref="L1161" xml:space="preserve"> SUMPRODUCT(P1039:AS1039,--(P$1143:AS$1143 &gt; 0))</f>
        <v>11451.489506019687</v>
      </c>
      <c r="M1161" s="34" cm="1">
        <f t="array" ref="M1161" xml:space="preserve"> SUMPRODUCT(P1039:AS1039,--(P$1144:AS$1144 &gt; 0))</f>
        <v>11451.489506019687</v>
      </c>
      <c r="N1161" s="34" cm="1">
        <f t="array" ref="N1161" xml:space="preserve"> SUMPRODUCT(P1039:AS1039,--(P$1145:AS$1145 &gt; 0))</f>
        <v>6407.5023535756927</v>
      </c>
      <c r="O1161" s="34"/>
      <c r="P1161" s="34"/>
      <c r="Q1161" s="34"/>
      <c r="R1161" s="34"/>
      <c r="S1161" s="34"/>
      <c r="T1161" s="34"/>
      <c r="U1161" s="34"/>
      <c r="V1161" s="34"/>
      <c r="W1161" s="34"/>
      <c r="X1161" s="34"/>
      <c r="Y1161" s="34"/>
      <c r="Z1161" s="34"/>
      <c r="AA1161" s="34"/>
      <c r="AB1161" s="34"/>
      <c r="AC1161" s="34"/>
      <c r="AD1161" s="34"/>
      <c r="AE1161" s="34"/>
      <c r="AF1161" s="34"/>
      <c r="AG1161" s="34"/>
      <c r="AH1161" s="34"/>
      <c r="AI1161" s="34"/>
      <c r="AJ1161" s="34"/>
      <c r="AK1161" s="34"/>
      <c r="AL1161" s="408"/>
      <c r="AM1161" s="408"/>
      <c r="AN1161" s="408"/>
      <c r="AO1161" s="408"/>
      <c r="AP1161" s="408"/>
      <c r="AQ1161" s="408"/>
      <c r="AR1161" s="408"/>
      <c r="AS1161" s="408"/>
    </row>
    <row r="1162" spans="1:45" ht="15" customHeight="1" x14ac:dyDescent="0.3">
      <c r="A1162" s="394"/>
      <c r="B1162" s="394"/>
      <c r="C1162" s="395"/>
      <c r="D1162" s="34"/>
      <c r="E1162" s="34" t="str">
        <f>E1040</f>
        <v>Cobalt gross revenue</v>
      </c>
      <c r="F1162" s="34"/>
      <c r="G1162" s="34" t="str">
        <f>G1040</f>
        <v>$ mn</v>
      </c>
      <c r="H1162" s="230"/>
      <c r="I1162" s="34"/>
      <c r="J1162" s="386"/>
      <c r="K1162" s="34">
        <f>SUM(P1040:AS1040)</f>
        <v>605.73785207875858</v>
      </c>
      <c r="L1162" s="34" cm="1">
        <f t="array" ref="L1162" xml:space="preserve"> SUMPRODUCT(P1040:AS1040,--(P$1143:AS$1143 &gt; 0))</f>
        <v>605.73785207875858</v>
      </c>
      <c r="M1162" s="34" cm="1">
        <f t="array" ref="M1162" xml:space="preserve"> SUMPRODUCT(P1040:AS1040,--(P$1144:AS$1144 &gt; 0))</f>
        <v>605.73785207875858</v>
      </c>
      <c r="N1162" s="34" cm="1">
        <f t="array" ref="N1162" xml:space="preserve"> SUMPRODUCT(P1040:AS1040,--(P$1145:AS$1145 &gt; 0))</f>
        <v>327.94017984808022</v>
      </c>
      <c r="O1162" s="34"/>
      <c r="P1162" s="34"/>
      <c r="Q1162" s="34"/>
      <c r="R1162" s="34"/>
      <c r="S1162" s="34"/>
      <c r="T1162" s="34"/>
      <c r="U1162" s="34"/>
      <c r="V1162" s="34"/>
      <c r="W1162" s="34"/>
      <c r="X1162" s="34"/>
      <c r="Y1162" s="34"/>
      <c r="Z1162" s="34"/>
      <c r="AA1162" s="34"/>
      <c r="AB1162" s="34"/>
      <c r="AC1162" s="34"/>
      <c r="AD1162" s="34"/>
      <c r="AE1162" s="34"/>
      <c r="AF1162" s="34"/>
      <c r="AG1162" s="34"/>
      <c r="AH1162" s="34"/>
      <c r="AI1162" s="34"/>
      <c r="AJ1162" s="34"/>
      <c r="AK1162" s="34"/>
      <c r="AL1162" s="408"/>
      <c r="AM1162" s="408"/>
      <c r="AN1162" s="408"/>
      <c r="AO1162" s="408"/>
      <c r="AP1162" s="408"/>
      <c r="AQ1162" s="408"/>
      <c r="AR1162" s="408"/>
      <c r="AS1162" s="408"/>
    </row>
    <row r="1163" spans="1:45" ht="15" customHeight="1" x14ac:dyDescent="0.3">
      <c r="A1163" s="394"/>
      <c r="B1163" s="394"/>
      <c r="C1163" s="395"/>
      <c r="D1163" s="34"/>
      <c r="E1163" s="34" t="str">
        <f>E1041</f>
        <v>Total gross revenue</v>
      </c>
      <c r="F1163" s="34"/>
      <c r="G1163" s="34" t="str">
        <f>G1041</f>
        <v>$ mn</v>
      </c>
      <c r="H1163" s="230"/>
      <c r="I1163" s="34"/>
      <c r="J1163" s="386"/>
      <c r="K1163" s="34">
        <f>SUM(P1041:AS1041)</f>
        <v>12057.227358098444</v>
      </c>
      <c r="L1163" s="34" cm="1">
        <f t="array" ref="L1163" xml:space="preserve"> SUMPRODUCT(P1041:AS1041,--(P$1143:AS$1143 &gt; 0))</f>
        <v>12057.227358098444</v>
      </c>
      <c r="M1163" s="34" cm="1">
        <f t="array" ref="M1163" xml:space="preserve"> SUMPRODUCT(P1041:AS1041,--(P$1144:AS$1144 &gt; 0))</f>
        <v>12057.227358098444</v>
      </c>
      <c r="N1163" s="34" cm="1">
        <f t="array" ref="N1163" xml:space="preserve"> SUMPRODUCT(P1041:AS1041,--(P$1145:AS$1145 &gt; 0))</f>
        <v>6735.4425334237731</v>
      </c>
      <c r="O1163" s="34"/>
      <c r="P1163" s="34"/>
      <c r="Q1163" s="34"/>
      <c r="R1163" s="34"/>
      <c r="S1163" s="34"/>
      <c r="T1163" s="34"/>
      <c r="U1163" s="34"/>
      <c r="V1163" s="34"/>
      <c r="W1163" s="34"/>
      <c r="X1163" s="34"/>
      <c r="Y1163" s="34"/>
      <c r="Z1163" s="34"/>
      <c r="AA1163" s="34"/>
      <c r="AB1163" s="34"/>
      <c r="AC1163" s="34"/>
      <c r="AD1163" s="34"/>
      <c r="AE1163" s="34"/>
      <c r="AF1163" s="34"/>
      <c r="AG1163" s="34"/>
      <c r="AH1163" s="34"/>
      <c r="AI1163" s="34"/>
      <c r="AJ1163" s="34"/>
      <c r="AK1163" s="34"/>
      <c r="AL1163" s="408"/>
      <c r="AM1163" s="408"/>
      <c r="AN1163" s="408"/>
      <c r="AO1163" s="408"/>
      <c r="AP1163" s="408"/>
      <c r="AQ1163" s="408"/>
      <c r="AR1163" s="408"/>
      <c r="AS1163" s="408"/>
    </row>
    <row r="1164" spans="1:45" ht="5.25" customHeight="1" x14ac:dyDescent="0.3">
      <c r="AO1164" s="88"/>
      <c r="AP1164" s="88"/>
      <c r="AQ1164" s="88"/>
      <c r="AR1164" s="88"/>
      <c r="AS1164" s="88"/>
    </row>
    <row r="1165" spans="1:45" ht="15" customHeight="1" x14ac:dyDescent="0.3">
      <c r="E1165" s="42" t="str">
        <f>E1043</f>
        <v>Selling costs</v>
      </c>
      <c r="G1165" s="42" t="str">
        <f>G1043</f>
        <v>$ mn</v>
      </c>
      <c r="K1165" s="42">
        <f>SUM(P1043:AS1043)</f>
        <v>0</v>
      </c>
      <c r="L1165" s="42" cm="1">
        <f t="array" ref="L1165" xml:space="preserve"> SUMPRODUCT(P1043:AS1043,--(P$1143:AS$1143 &gt; 0))</f>
        <v>0</v>
      </c>
      <c r="M1165" s="42" cm="1">
        <f t="array" ref="M1165" xml:space="preserve"> SUMPRODUCT(P1043:AS1043,--(P$1144:AS$1144 &gt; 0))</f>
        <v>0</v>
      </c>
      <c r="N1165" s="42" cm="1">
        <f t="array" ref="N1165" xml:space="preserve"> SUMPRODUCT(P1043:AS1043,--(P$1145:AS$1145 &gt; 0))</f>
        <v>0</v>
      </c>
      <c r="AO1165" s="88"/>
      <c r="AP1165" s="88"/>
      <c r="AQ1165" s="88"/>
      <c r="AR1165" s="88"/>
      <c r="AS1165" s="88"/>
    </row>
    <row r="1166" spans="1:45" ht="5.25" customHeight="1" x14ac:dyDescent="0.3">
      <c r="AO1166" s="88"/>
      <c r="AP1166" s="88"/>
      <c r="AQ1166" s="88"/>
      <c r="AR1166" s="88"/>
      <c r="AS1166" s="88"/>
    </row>
    <row r="1167" spans="1:45" ht="15" customHeight="1" x14ac:dyDescent="0.3">
      <c r="A1167" s="394"/>
      <c r="B1167" s="394"/>
      <c r="C1167" s="395"/>
      <c r="D1167" s="34"/>
      <c r="E1167" s="34" t="str">
        <f>E1045</f>
        <v>Copper net revenue</v>
      </c>
      <c r="F1167" s="34"/>
      <c r="G1167" s="34" t="str">
        <f>G1045</f>
        <v>$ mn</v>
      </c>
      <c r="H1167" s="230"/>
      <c r="I1167" s="34"/>
      <c r="J1167" s="386"/>
      <c r="K1167" s="34">
        <f>SUM(P1045:AS1045)</f>
        <v>11451.489506019687</v>
      </c>
      <c r="L1167" s="34" cm="1">
        <f t="array" ref="L1167" xml:space="preserve"> SUMPRODUCT(P1045:AS1045,--(P$1143:AS$1143 &gt; 0))</f>
        <v>11451.489506019687</v>
      </c>
      <c r="M1167" s="34" cm="1">
        <f t="array" ref="M1167" xml:space="preserve"> SUMPRODUCT(P1045:AS1045,--(P$1144:AS$1144 &gt; 0))</f>
        <v>11451.489506019687</v>
      </c>
      <c r="N1167" s="34" cm="1">
        <f t="array" ref="N1167" xml:space="preserve"> SUMPRODUCT(P1045:AS1045,--(P$1145:AS$1145 &gt; 0))</f>
        <v>6407.5023535756927</v>
      </c>
      <c r="O1167" s="34"/>
      <c r="P1167" s="34"/>
      <c r="Q1167" s="34"/>
      <c r="R1167" s="34"/>
      <c r="S1167" s="34"/>
      <c r="T1167" s="34"/>
      <c r="U1167" s="34"/>
      <c r="V1167" s="34"/>
      <c r="W1167" s="34"/>
      <c r="X1167" s="34"/>
      <c r="Y1167" s="34"/>
      <c r="Z1167" s="34"/>
      <c r="AA1167" s="34"/>
      <c r="AB1167" s="34"/>
      <c r="AC1167" s="34"/>
      <c r="AD1167" s="34"/>
      <c r="AE1167" s="34"/>
      <c r="AF1167" s="34"/>
      <c r="AG1167" s="34"/>
      <c r="AH1167" s="34"/>
      <c r="AI1167" s="34"/>
      <c r="AJ1167" s="34"/>
      <c r="AK1167" s="34"/>
      <c r="AL1167" s="408"/>
      <c r="AM1167" s="408"/>
      <c r="AN1167" s="408"/>
      <c r="AO1167" s="408"/>
      <c r="AP1167" s="408"/>
      <c r="AQ1167" s="408"/>
      <c r="AR1167" s="408"/>
      <c r="AS1167" s="408"/>
    </row>
    <row r="1168" spans="1:45" ht="15" customHeight="1" x14ac:dyDescent="0.3">
      <c r="A1168" s="394"/>
      <c r="B1168" s="394"/>
      <c r="C1168" s="395"/>
      <c r="D1168" s="34"/>
      <c r="E1168" s="34" t="str">
        <f>E1046</f>
        <v>Cobalt net revenue</v>
      </c>
      <c r="F1168" s="34"/>
      <c r="G1168" s="34" t="str">
        <f>G1046</f>
        <v>$ mn</v>
      </c>
      <c r="H1168" s="230"/>
      <c r="I1168" s="34"/>
      <c r="J1168" s="386"/>
      <c r="K1168" s="34">
        <f>SUM(P1046:AS1046)</f>
        <v>605.73785207875858</v>
      </c>
      <c r="L1168" s="34" cm="1">
        <f t="array" ref="L1168" xml:space="preserve"> SUMPRODUCT(P1046:AS1046,--(P$1143:AS$1143 &gt; 0))</f>
        <v>605.73785207875858</v>
      </c>
      <c r="M1168" s="34" cm="1">
        <f t="array" ref="M1168" xml:space="preserve"> SUMPRODUCT(P1046:AS1046,--(P$1144:AS$1144 &gt; 0))</f>
        <v>605.73785207875858</v>
      </c>
      <c r="N1168" s="34" cm="1">
        <f t="array" ref="N1168" xml:space="preserve"> SUMPRODUCT(P1046:AS1046,--(P$1145:AS$1145 &gt; 0))</f>
        <v>327.94017984808022</v>
      </c>
      <c r="O1168" s="34"/>
      <c r="P1168" s="34"/>
      <c r="Q1168" s="34"/>
      <c r="R1168" s="34"/>
      <c r="S1168" s="34"/>
      <c r="T1168" s="34"/>
      <c r="U1168" s="34"/>
      <c r="V1168" s="34"/>
      <c r="W1168" s="34"/>
      <c r="X1168" s="34"/>
      <c r="Y1168" s="34"/>
      <c r="Z1168" s="34"/>
      <c r="AA1168" s="34"/>
      <c r="AB1168" s="34"/>
      <c r="AC1168" s="34"/>
      <c r="AD1168" s="34"/>
      <c r="AE1168" s="34"/>
      <c r="AF1168" s="34"/>
      <c r="AG1168" s="34"/>
      <c r="AH1168" s="34"/>
      <c r="AI1168" s="34"/>
      <c r="AJ1168" s="34"/>
      <c r="AK1168" s="34"/>
      <c r="AL1168" s="408"/>
      <c r="AM1168" s="408"/>
      <c r="AN1168" s="408"/>
      <c r="AO1168" s="408"/>
      <c r="AP1168" s="408"/>
      <c r="AQ1168" s="408"/>
      <c r="AR1168" s="408"/>
      <c r="AS1168" s="408"/>
    </row>
    <row r="1169" spans="1:45" ht="15" customHeight="1" x14ac:dyDescent="0.3">
      <c r="A1169" s="394"/>
      <c r="B1169" s="394"/>
      <c r="C1169" s="395"/>
      <c r="D1169" s="34"/>
      <c r="E1169" s="34" t="str">
        <f>E1047</f>
        <v>Total net revenue</v>
      </c>
      <c r="F1169" s="34"/>
      <c r="G1169" s="34" t="str">
        <f>G1047</f>
        <v>$ mn</v>
      </c>
      <c r="H1169" s="230"/>
      <c r="I1169" s="34"/>
      <c r="J1169" s="386"/>
      <c r="K1169" s="34">
        <f>SUM(P1047:AS1047)</f>
        <v>12057.227358098444</v>
      </c>
      <c r="L1169" s="34" cm="1">
        <f t="array" ref="L1169" xml:space="preserve"> SUMPRODUCT(P1047:AS1047,--(P$1143:AS$1143 &gt; 0))</f>
        <v>12057.227358098444</v>
      </c>
      <c r="M1169" s="34" cm="1">
        <f t="array" ref="M1169" xml:space="preserve"> SUMPRODUCT(P1047:AS1047,--(P$1144:AS$1144 &gt; 0))</f>
        <v>12057.227358098444</v>
      </c>
      <c r="N1169" s="34" cm="1">
        <f t="array" ref="N1169" xml:space="preserve"> SUMPRODUCT(P1047:AS1047,--(P$1145:AS$1145 &gt; 0))</f>
        <v>6735.4425334237731</v>
      </c>
      <c r="O1169" s="34"/>
      <c r="P1169" s="34"/>
      <c r="Q1169" s="34"/>
      <c r="R1169" s="34"/>
      <c r="S1169" s="34"/>
      <c r="T1169" s="34"/>
      <c r="U1169" s="34"/>
      <c r="V1169" s="34"/>
      <c r="W1169" s="34"/>
      <c r="X1169" s="34"/>
      <c r="Y1169" s="34"/>
      <c r="Z1169" s="34"/>
      <c r="AA1169" s="34"/>
      <c r="AB1169" s="34"/>
      <c r="AC1169" s="34"/>
      <c r="AD1169" s="34"/>
      <c r="AE1169" s="34"/>
      <c r="AF1169" s="34"/>
      <c r="AG1169" s="34"/>
      <c r="AH1169" s="34"/>
      <c r="AI1169" s="34"/>
      <c r="AJ1169" s="34"/>
      <c r="AK1169" s="34"/>
      <c r="AL1169" s="408"/>
      <c r="AM1169" s="408"/>
      <c r="AN1169" s="408"/>
      <c r="AO1169" s="408"/>
      <c r="AP1169" s="408"/>
      <c r="AQ1169" s="408"/>
      <c r="AR1169" s="408"/>
      <c r="AS1169" s="408"/>
    </row>
    <row r="1170" spans="1:45" ht="5.25" customHeight="1" x14ac:dyDescent="0.3">
      <c r="AO1170" s="88"/>
      <c r="AP1170" s="88"/>
      <c r="AQ1170" s="88"/>
      <c r="AR1170" s="88"/>
      <c r="AS1170" s="88"/>
    </row>
    <row r="1171" spans="1:45" ht="15" customHeight="1" x14ac:dyDescent="0.3">
      <c r="A1171" s="394"/>
      <c r="B1171" s="394"/>
      <c r="C1171" s="395"/>
      <c r="D1171" s="34"/>
      <c r="E1171" s="34" t="str">
        <f>E1050</f>
        <v>Operating costs, including Sens.</v>
      </c>
      <c r="F1171" s="34"/>
      <c r="G1171" s="34" t="str">
        <f>G1050</f>
        <v>$ mn</v>
      </c>
      <c r="H1171" s="230"/>
      <c r="I1171" s="34"/>
      <c r="J1171" s="386"/>
      <c r="K1171" s="34">
        <f>SUM(P1050:AS1050)</f>
        <v>6417.4732060838423</v>
      </c>
      <c r="L1171" s="34" cm="1">
        <f t="array" ref="L1171" xml:space="preserve"> SUMPRODUCT(P1050:AS1050,--(P$1143:AS$1143 &gt; 0))</f>
        <v>6417.4732060838423</v>
      </c>
      <c r="M1171" s="34" cm="1">
        <f t="array" ref="M1171" xml:space="preserve"> SUMPRODUCT(P1050:AS1050,--(P$1144:AS$1144 &gt; 0))</f>
        <v>6417.4732060838423</v>
      </c>
      <c r="N1171" s="34" cm="1">
        <f t="array" ref="N1171" xml:space="preserve"> SUMPRODUCT(P1050:AS1050,--(P$1145:AS$1145 &gt; 0))</f>
        <v>4000.4893766404239</v>
      </c>
      <c r="O1171" s="34"/>
      <c r="P1171" s="34"/>
      <c r="Q1171" s="34"/>
      <c r="R1171" s="34"/>
      <c r="S1171" s="34"/>
      <c r="T1171" s="34"/>
      <c r="U1171" s="34"/>
      <c r="V1171" s="34"/>
      <c r="W1171" s="34"/>
      <c r="X1171" s="34"/>
      <c r="Y1171" s="34"/>
      <c r="Z1171" s="34"/>
      <c r="AA1171" s="34"/>
      <c r="AB1171" s="34"/>
      <c r="AC1171" s="34"/>
      <c r="AD1171" s="34"/>
      <c r="AE1171" s="34"/>
      <c r="AF1171" s="34"/>
      <c r="AG1171" s="34"/>
      <c r="AH1171" s="34"/>
      <c r="AI1171" s="34"/>
      <c r="AJ1171" s="34"/>
      <c r="AK1171" s="34"/>
      <c r="AL1171" s="408"/>
      <c r="AM1171" s="408"/>
      <c r="AN1171" s="408"/>
      <c r="AO1171" s="408"/>
      <c r="AP1171" s="408"/>
      <c r="AQ1171" s="408"/>
      <c r="AR1171" s="408"/>
      <c r="AS1171" s="408"/>
    </row>
    <row r="1172" spans="1:45" ht="15" customHeight="1" x14ac:dyDescent="0.3">
      <c r="A1172" s="394"/>
      <c r="B1172" s="394"/>
      <c r="C1172" s="395"/>
      <c r="D1172" s="34"/>
      <c r="E1172" s="34" t="str">
        <f>E1051</f>
        <v>Capital costs, including Sens.</v>
      </c>
      <c r="F1172" s="34"/>
      <c r="G1172" s="34" t="str">
        <f>G1051</f>
        <v>$ mn</v>
      </c>
      <c r="H1172" s="230"/>
      <c r="I1172" s="34"/>
      <c r="J1172" s="386"/>
      <c r="K1172" s="34">
        <f>SUM(P1051:AS1051)</f>
        <v>831.24520052188814</v>
      </c>
      <c r="L1172" s="34" cm="1">
        <f t="array" ref="L1172" xml:space="preserve"> SUMPRODUCT(P1051:AS1051,--(P$1143:AS$1143 &gt; 0))</f>
        <v>831.24520052188814</v>
      </c>
      <c r="M1172" s="34" cm="1">
        <f t="array" ref="M1172" xml:space="preserve"> SUMPRODUCT(P1051:AS1051,--(P$1144:AS$1144 &gt; 0))</f>
        <v>831.24520052188814</v>
      </c>
      <c r="N1172" s="34" cm="1">
        <f t="array" ref="N1172" xml:space="preserve"> SUMPRODUCT(P1051:AS1051,--(P$1145:AS$1145 &gt; 0))</f>
        <v>0</v>
      </c>
      <c r="O1172" s="34"/>
      <c r="P1172" s="34"/>
      <c r="Q1172" s="34"/>
      <c r="R1172" s="34"/>
      <c r="S1172" s="34"/>
      <c r="T1172" s="34"/>
      <c r="U1172" s="34"/>
      <c r="V1172" s="34"/>
      <c r="W1172" s="34"/>
      <c r="X1172" s="34"/>
      <c r="Y1172" s="34"/>
      <c r="Z1172" s="34"/>
      <c r="AA1172" s="34"/>
      <c r="AB1172" s="34"/>
      <c r="AC1172" s="34"/>
      <c r="AD1172" s="34"/>
      <c r="AE1172" s="34"/>
      <c r="AF1172" s="34"/>
      <c r="AG1172" s="34"/>
      <c r="AH1172" s="34"/>
      <c r="AI1172" s="34"/>
      <c r="AJ1172" s="34"/>
      <c r="AK1172" s="34"/>
      <c r="AL1172" s="408"/>
      <c r="AM1172" s="408"/>
      <c r="AN1172" s="408"/>
      <c r="AO1172" s="408"/>
      <c r="AP1172" s="408"/>
      <c r="AQ1172" s="408"/>
      <c r="AR1172" s="408"/>
      <c r="AS1172" s="408"/>
    </row>
    <row r="1173" spans="1:45" ht="15" customHeight="1" x14ac:dyDescent="0.3">
      <c r="A1173" s="394"/>
      <c r="B1173" s="394"/>
      <c r="C1173" s="395"/>
      <c r="D1173" s="34"/>
      <c r="E1173" s="34" t="str">
        <f>E1052</f>
        <v>Project costs</v>
      </c>
      <c r="F1173" s="34"/>
      <c r="G1173" s="34" t="str">
        <f>G1052</f>
        <v>$ mn</v>
      </c>
      <c r="H1173" s="230"/>
      <c r="I1173" s="34"/>
      <c r="J1173" s="386"/>
      <c r="K1173" s="34">
        <f>SUM(P1052:AS1052)</f>
        <v>7248.7184066057316</v>
      </c>
      <c r="L1173" s="34" cm="1">
        <f t="array" ref="L1173" xml:space="preserve"> SUMPRODUCT(P1052:AS1052,--(P$1143:AS$1143 &gt; 0))</f>
        <v>7248.7184066057316</v>
      </c>
      <c r="M1173" s="34" cm="1">
        <f t="array" ref="M1173" xml:space="preserve"> SUMPRODUCT(P1052:AS1052,--(P$1144:AS$1144 &gt; 0))</f>
        <v>7248.7184066057316</v>
      </c>
      <c r="N1173" s="34" cm="1">
        <f t="array" ref="N1173" xml:space="preserve"> SUMPRODUCT(P1052:AS1052,--(P$1145:AS$1145 &gt; 0))</f>
        <v>4000.4893766404239</v>
      </c>
      <c r="O1173" s="34"/>
      <c r="P1173" s="34"/>
      <c r="Q1173" s="34"/>
      <c r="R1173" s="34"/>
      <c r="S1173" s="34"/>
      <c r="T1173" s="34"/>
      <c r="U1173" s="34"/>
      <c r="V1173" s="34"/>
      <c r="W1173" s="34"/>
      <c r="X1173" s="34"/>
      <c r="Y1173" s="34"/>
      <c r="Z1173" s="34"/>
      <c r="AA1173" s="34"/>
      <c r="AB1173" s="34"/>
      <c r="AC1173" s="34"/>
      <c r="AD1173" s="34"/>
      <c r="AE1173" s="34"/>
      <c r="AF1173" s="34"/>
      <c r="AG1173" s="34"/>
      <c r="AH1173" s="34"/>
      <c r="AI1173" s="34"/>
      <c r="AJ1173" s="34"/>
      <c r="AK1173" s="34"/>
      <c r="AL1173" s="408"/>
      <c r="AM1173" s="408"/>
      <c r="AN1173" s="408"/>
      <c r="AO1173" s="408"/>
      <c r="AP1173" s="408"/>
      <c r="AQ1173" s="408"/>
      <c r="AR1173" s="408"/>
      <c r="AS1173" s="408"/>
    </row>
    <row r="1174" spans="1:45" ht="5.25" customHeight="1" x14ac:dyDescent="0.3">
      <c r="AO1174" s="88"/>
      <c r="AP1174" s="88"/>
      <c r="AQ1174" s="88"/>
      <c r="AR1174" s="88"/>
      <c r="AS1174" s="88"/>
    </row>
    <row r="1175" spans="1:45" ht="15" customHeight="1" x14ac:dyDescent="0.3">
      <c r="A1175" s="394"/>
      <c r="B1175" s="394"/>
      <c r="C1175" s="395"/>
      <c r="D1175" s="34"/>
      <c r="E1175" s="34" t="str">
        <f>E1054</f>
        <v>Project cashflows before fiscal regime</v>
      </c>
      <c r="F1175" s="34"/>
      <c r="G1175" s="34" t="str">
        <f>G1054</f>
        <v>$ mn</v>
      </c>
      <c r="H1175" s="230"/>
      <c r="I1175" s="34"/>
      <c r="J1175" s="386"/>
      <c r="K1175" s="34">
        <f>SUM(P1054:AS1054)</f>
        <v>4808.508951492714</v>
      </c>
      <c r="L1175" s="34" cm="1">
        <f t="array" ref="L1175" xml:space="preserve"> SUMPRODUCT(P1054:AS1054,--(P$1143:AS$1143 &gt; 0))</f>
        <v>4808.508951492714</v>
      </c>
      <c r="M1175" s="34" cm="1">
        <f t="array" ref="M1175" xml:space="preserve"> SUMPRODUCT(P1054:AS1054,--(P$1144:AS$1144 &gt; 0))</f>
        <v>4808.508951492714</v>
      </c>
      <c r="N1175" s="34" cm="1">
        <f t="array" ref="N1175" xml:space="preserve"> SUMPRODUCT(P1054:AS1054,--(P$1145:AS$1145 &gt; 0))</f>
        <v>2734.9531567833492</v>
      </c>
      <c r="O1175" s="34"/>
      <c r="P1175" s="34"/>
      <c r="Q1175" s="34"/>
      <c r="R1175" s="34"/>
      <c r="S1175" s="34"/>
      <c r="T1175" s="34"/>
      <c r="U1175" s="34"/>
      <c r="V1175" s="34"/>
      <c r="W1175" s="34"/>
      <c r="X1175" s="34"/>
      <c r="Y1175" s="34"/>
      <c r="Z1175" s="34"/>
      <c r="AA1175" s="34"/>
      <c r="AB1175" s="34"/>
      <c r="AC1175" s="34"/>
      <c r="AD1175" s="34"/>
      <c r="AE1175" s="34"/>
      <c r="AF1175" s="34"/>
      <c r="AG1175" s="34"/>
      <c r="AH1175" s="34"/>
      <c r="AI1175" s="34"/>
      <c r="AJ1175" s="34"/>
      <c r="AK1175" s="34"/>
      <c r="AL1175" s="408"/>
      <c r="AM1175" s="408"/>
      <c r="AN1175" s="408"/>
      <c r="AO1175" s="408"/>
      <c r="AP1175" s="408"/>
      <c r="AQ1175" s="408"/>
      <c r="AR1175" s="408"/>
      <c r="AS1175" s="408"/>
    </row>
    <row r="1176" spans="1:45" ht="15" customHeight="1" x14ac:dyDescent="0.3">
      <c r="AO1176" s="88"/>
      <c r="AP1176" s="88"/>
      <c r="AQ1176" s="88"/>
      <c r="AR1176" s="88"/>
      <c r="AS1176" s="88"/>
    </row>
    <row r="1177" spans="1:45" ht="15" customHeight="1" x14ac:dyDescent="0.3">
      <c r="E1177" s="437" t="s">
        <v>683</v>
      </c>
      <c r="F1177" s="858"/>
      <c r="G1177" s="858"/>
      <c r="H1177" s="858"/>
      <c r="I1177" s="858"/>
      <c r="J1177" s="858"/>
      <c r="K1177" s="443" t="s">
        <v>866</v>
      </c>
      <c r="L1177" s="443" t="s">
        <v>866</v>
      </c>
      <c r="M1177" s="859"/>
      <c r="N1177" s="858"/>
      <c r="O1177"/>
      <c r="AO1177" s="88"/>
      <c r="AP1177" s="88"/>
      <c r="AQ1177" s="88"/>
      <c r="AR1177" s="88"/>
      <c r="AS1177" s="88"/>
    </row>
    <row r="1178" spans="1:45" ht="15" customHeight="1" x14ac:dyDescent="0.3">
      <c r="E1178" s="863" t="str">
        <f xml:space="preserve"> E$1156</f>
        <v>Time period (from)</v>
      </c>
      <c r="F1178" s="437"/>
      <c r="G1178" s="437"/>
      <c r="H1178" s="437"/>
      <c r="I1178" s="437"/>
      <c r="J1178" s="437"/>
      <c r="K1178" s="862" t="s">
        <v>868</v>
      </c>
      <c r="L1178" s="860">
        <f xml:space="preserve"> $F$1139</f>
        <v>2014</v>
      </c>
      <c r="M1178" s="860">
        <f xml:space="preserve"> $F$1140</f>
        <v>2017</v>
      </c>
      <c r="N1178" s="860">
        <f xml:space="preserve"> $F$1141</f>
        <v>2025</v>
      </c>
      <c r="O1178"/>
      <c r="AO1178" s="88"/>
      <c r="AP1178" s="88"/>
      <c r="AQ1178" s="88"/>
      <c r="AR1178" s="88"/>
      <c r="AS1178" s="88"/>
    </row>
    <row r="1179" spans="1:45" ht="15" customHeight="1" x14ac:dyDescent="0.3">
      <c r="A1179" s="394"/>
      <c r="B1179" s="394"/>
      <c r="C1179" s="395"/>
      <c r="D1179" s="34"/>
      <c r="E1179" s="738">
        <f>E1088</f>
        <v>0</v>
      </c>
      <c r="F1179" s="738" t="str">
        <f t="shared" ref="F1179:J1179" si="938">F1088</f>
        <v>top</v>
      </c>
      <c r="G1179" s="738">
        <f t="shared" si="938"/>
        <v>0</v>
      </c>
      <c r="H1179" s="738">
        <f t="shared" si="938"/>
        <v>0</v>
      </c>
      <c r="I1179" s="738">
        <f t="shared" si="938"/>
        <v>0</v>
      </c>
      <c r="J1179" s="738">
        <f t="shared" si="938"/>
        <v>0</v>
      </c>
      <c r="K1179" s="738">
        <f>P1088</f>
        <v>0</v>
      </c>
      <c r="L1179" s="738">
        <f>Q1088</f>
        <v>0</v>
      </c>
      <c r="M1179" s="738">
        <f>R1088</f>
        <v>0</v>
      </c>
      <c r="N1179" s="738">
        <f>S1088</f>
        <v>0</v>
      </c>
      <c r="O1179" s="70"/>
      <c r="P1179" s="34"/>
      <c r="Q1179" s="34"/>
      <c r="R1179" s="34"/>
      <c r="S1179" s="34"/>
      <c r="T1179" s="34"/>
      <c r="U1179" s="34"/>
      <c r="V1179" s="34"/>
      <c r="W1179" s="34"/>
      <c r="X1179" s="34"/>
      <c r="Y1179" s="34"/>
      <c r="Z1179" s="34"/>
      <c r="AA1179" s="34"/>
      <c r="AB1179" s="34"/>
      <c r="AC1179" s="34"/>
      <c r="AD1179" s="34"/>
      <c r="AE1179" s="34"/>
      <c r="AF1179" s="34"/>
      <c r="AG1179" s="34"/>
      <c r="AH1179" s="34"/>
      <c r="AI1179" s="34"/>
      <c r="AJ1179" s="34"/>
      <c r="AK1179" s="34"/>
      <c r="AL1179" s="408"/>
      <c r="AM1179" s="408"/>
      <c r="AN1179" s="408"/>
      <c r="AO1179" s="408"/>
      <c r="AP1179" s="408"/>
      <c r="AQ1179" s="408"/>
      <c r="AR1179" s="408"/>
      <c r="AS1179" s="408"/>
    </row>
    <row r="1180" spans="1:45" ht="15" customHeight="1" x14ac:dyDescent="0.3">
      <c r="A1180" s="394"/>
      <c r="B1180" s="394"/>
      <c r="C1180" s="395"/>
      <c r="D1180" s="34"/>
      <c r="E1180" s="773" t="str">
        <f>E1089</f>
        <v>Total royalty</v>
      </c>
      <c r="F1180" s="773"/>
      <c r="G1180" s="773" t="str">
        <f>G1089</f>
        <v>$ mn</v>
      </c>
      <c r="H1180" s="773"/>
      <c r="I1180" s="773"/>
      <c r="J1180" s="773"/>
      <c r="K1180" s="34">
        <f t="shared" ref="K1180:K1189" si="939">SUM(P1089:AS1089)</f>
        <v>457.74229303356492</v>
      </c>
      <c r="L1180" s="34" cm="1">
        <f t="array" ref="L1180" xml:space="preserve"> SUMPRODUCT(P1089:AS1089,--(P$1143:AS$1143 &gt; 0))</f>
        <v>457.74229303356492</v>
      </c>
      <c r="M1180" s="34" cm="1">
        <f t="array" ref="M1180" xml:space="preserve"> SUMPRODUCT(P1089:AS1089,--(P$1144:AS$1144 &gt; 0))</f>
        <v>457.74229303356492</v>
      </c>
      <c r="N1180" s="34" cm="1">
        <f t="array" ref="N1180" xml:space="preserve"> SUMPRODUCT(P1089:AS1089,--(P$1145:AS$1145 &gt; 0))</f>
        <v>257.05660035995732</v>
      </c>
      <c r="O1180" s="34"/>
      <c r="P1180" s="34"/>
      <c r="Q1180" s="34"/>
      <c r="R1180" s="34"/>
      <c r="S1180" s="34"/>
      <c r="T1180" s="34"/>
      <c r="U1180" s="34"/>
      <c r="V1180" s="34"/>
      <c r="W1180" s="34"/>
      <c r="X1180" s="34"/>
      <c r="Y1180" s="34"/>
      <c r="Z1180" s="34"/>
      <c r="AA1180" s="34"/>
      <c r="AB1180" s="34"/>
      <c r="AC1180" s="34"/>
      <c r="AD1180" s="34"/>
      <c r="AE1180" s="34"/>
      <c r="AF1180" s="34"/>
      <c r="AG1180" s="34"/>
      <c r="AH1180" s="34"/>
      <c r="AI1180" s="34"/>
      <c r="AJ1180" s="34"/>
      <c r="AK1180" s="34"/>
      <c r="AL1180" s="408"/>
      <c r="AM1180" s="408"/>
      <c r="AN1180" s="408"/>
      <c r="AO1180" s="408"/>
      <c r="AP1180" s="408"/>
      <c r="AQ1180" s="408"/>
      <c r="AR1180" s="408"/>
      <c r="AS1180" s="408"/>
    </row>
    <row r="1181" spans="1:45" ht="15" customHeight="1" x14ac:dyDescent="0.3">
      <c r="A1181" s="394"/>
      <c r="B1181" s="394"/>
      <c r="C1181" s="395"/>
      <c r="D1181" s="34"/>
      <c r="E1181" s="773" t="str">
        <f>E1090</f>
        <v>Turnover tax (Chiffre d'Affaires 0.3PC)</v>
      </c>
      <c r="F1181" s="773"/>
      <c r="G1181" s="773" t="str">
        <f>G1090</f>
        <v>$ mn</v>
      </c>
      <c r="H1181" s="773"/>
      <c r="I1181" s="773"/>
      <c r="J1181" s="773"/>
      <c r="K1181" s="34">
        <f t="shared" si="939"/>
        <v>36.17168207429534</v>
      </c>
      <c r="L1181" s="34" cm="1">
        <f t="array" ref="L1181" xml:space="preserve"> SUMPRODUCT(P1090:AS1090,--(P$1143:AS$1143 &gt; 0))</f>
        <v>36.17168207429534</v>
      </c>
      <c r="M1181" s="34" cm="1">
        <f t="array" ref="M1181" xml:space="preserve"> SUMPRODUCT(P1090:AS1090,--(P$1144:AS$1144 &gt; 0))</f>
        <v>36.17168207429534</v>
      </c>
      <c r="N1181" s="34" cm="1">
        <f t="array" ref="N1181" xml:space="preserve"> SUMPRODUCT(P1090:AS1090,--(P$1145:AS$1145 &gt; 0))</f>
        <v>20.206327600271319</v>
      </c>
      <c r="O1181" s="34"/>
      <c r="P1181" s="34"/>
      <c r="Q1181" s="34"/>
      <c r="R1181" s="34"/>
      <c r="S1181" s="34"/>
      <c r="T1181" s="34"/>
      <c r="U1181" s="34"/>
      <c r="V1181" s="34"/>
      <c r="W1181" s="34"/>
      <c r="X1181" s="34"/>
      <c r="Y1181" s="34"/>
      <c r="Z1181" s="34"/>
      <c r="AA1181" s="34"/>
      <c r="AB1181" s="34"/>
      <c r="AC1181" s="34"/>
      <c r="AD1181" s="34"/>
      <c r="AE1181" s="34"/>
      <c r="AF1181" s="34"/>
      <c r="AG1181" s="34"/>
      <c r="AH1181" s="34"/>
      <c r="AI1181" s="34"/>
      <c r="AJ1181" s="34"/>
      <c r="AK1181" s="34"/>
      <c r="AL1181" s="408"/>
      <c r="AM1181" s="408"/>
      <c r="AN1181" s="408"/>
      <c r="AO1181" s="408"/>
      <c r="AP1181" s="408"/>
      <c r="AQ1181" s="408"/>
      <c r="AR1181" s="408"/>
      <c r="AS1181" s="408"/>
    </row>
    <row r="1182" spans="1:45" ht="15" customHeight="1" x14ac:dyDescent="0.3">
      <c r="A1182" s="394"/>
      <c r="B1182" s="394"/>
      <c r="C1182" s="395"/>
      <c r="D1182" s="34"/>
      <c r="E1182" s="773" t="str">
        <f t="shared" ref="E1182:G1182" si="940">E1091</f>
        <v>CIT payable</v>
      </c>
      <c r="F1182" s="773"/>
      <c r="G1182" s="773" t="str">
        <f t="shared" si="940"/>
        <v>$ mn</v>
      </c>
      <c r="H1182" s="773"/>
      <c r="I1182" s="773"/>
      <c r="J1182" s="773"/>
      <c r="K1182" s="34">
        <f t="shared" si="939"/>
        <v>1297.2944426677445</v>
      </c>
      <c r="L1182" s="34" cm="1">
        <f t="array" ref="L1182" xml:space="preserve"> SUMPRODUCT(P1091:AS1091,--(P$1143:AS$1143 &gt; 0))</f>
        <v>1297.2944426677445</v>
      </c>
      <c r="M1182" s="34" cm="1">
        <f t="array" ref="M1182" xml:space="preserve"> SUMPRODUCT(P1091:AS1091,--(P$1144:AS$1144 &gt; 0))</f>
        <v>1297.2944426677445</v>
      </c>
      <c r="N1182" s="34" cm="1">
        <f t="array" ref="N1182" xml:space="preserve"> SUMPRODUCT(P1091:AS1091,--(P$1145:AS$1145 &gt; 0))</f>
        <v>676.91717098447634</v>
      </c>
      <c r="O1182" s="34"/>
      <c r="P1182" s="34"/>
      <c r="Q1182" s="34"/>
      <c r="R1182" s="34"/>
      <c r="S1182" s="34"/>
      <c r="T1182" s="34"/>
      <c r="U1182" s="34"/>
      <c r="V1182" s="34"/>
      <c r="W1182" s="34"/>
      <c r="X1182" s="34"/>
      <c r="Y1182" s="34"/>
      <c r="Z1182" s="34"/>
      <c r="AA1182" s="34"/>
      <c r="AB1182" s="34"/>
      <c r="AC1182" s="34"/>
      <c r="AD1182" s="34"/>
      <c r="AE1182" s="34"/>
      <c r="AF1182" s="34"/>
      <c r="AG1182" s="34"/>
      <c r="AH1182" s="34"/>
      <c r="AI1182" s="34"/>
      <c r="AJ1182" s="34"/>
      <c r="AK1182" s="34"/>
      <c r="AL1182" s="408"/>
      <c r="AM1182" s="408"/>
      <c r="AN1182" s="408"/>
      <c r="AO1182" s="408"/>
      <c r="AP1182" s="408"/>
      <c r="AQ1182" s="408"/>
      <c r="AR1182" s="408"/>
      <c r="AS1182" s="408"/>
    </row>
    <row r="1183" spans="1:45" ht="15" customHeight="1" x14ac:dyDescent="0.3">
      <c r="A1183" s="394"/>
      <c r="B1183" s="394"/>
      <c r="C1183" s="395"/>
      <c r="D1183" s="34"/>
      <c r="E1183" s="773" t="str">
        <f t="shared" ref="E1183:G1183" si="941">E1092</f>
        <v>Special Tax On Excess Profits</v>
      </c>
      <c r="F1183" s="773"/>
      <c r="G1183" s="773" t="str">
        <f t="shared" si="941"/>
        <v>$ mn</v>
      </c>
      <c r="H1183" s="773"/>
      <c r="I1183" s="773"/>
      <c r="J1183" s="773"/>
      <c r="K1183" s="34">
        <f t="shared" si="939"/>
        <v>0</v>
      </c>
      <c r="L1183" s="34" cm="1">
        <f t="array" ref="L1183" xml:space="preserve"> SUMPRODUCT(P1092:AS1092,--(P$1143:AS$1143 &gt; 0))</f>
        <v>0</v>
      </c>
      <c r="M1183" s="34" cm="1">
        <f t="array" ref="M1183" xml:space="preserve"> SUMPRODUCT(P1092:AS1092,--(P$1144:AS$1144 &gt; 0))</f>
        <v>0</v>
      </c>
      <c r="N1183" s="34" cm="1">
        <f t="array" ref="N1183" xml:space="preserve"> SUMPRODUCT(P1092:AS1092,--(P$1145:AS$1145 &gt; 0))</f>
        <v>0</v>
      </c>
      <c r="O1183" s="34"/>
      <c r="P1183" s="34"/>
      <c r="Q1183" s="34"/>
      <c r="R1183" s="34"/>
      <c r="S1183" s="34"/>
      <c r="T1183" s="34"/>
      <c r="U1183" s="34"/>
      <c r="V1183" s="34"/>
      <c r="W1183" s="34"/>
      <c r="X1183" s="34"/>
      <c r="Y1183" s="34"/>
      <c r="Z1183" s="34"/>
      <c r="AA1183" s="34"/>
      <c r="AB1183" s="34"/>
      <c r="AC1183" s="34"/>
      <c r="AD1183" s="34"/>
      <c r="AE1183" s="34"/>
      <c r="AF1183" s="34"/>
      <c r="AG1183" s="34"/>
      <c r="AH1183" s="34"/>
      <c r="AI1183" s="34"/>
      <c r="AJ1183" s="34"/>
      <c r="AK1183" s="34"/>
      <c r="AL1183" s="408"/>
      <c r="AM1183" s="408"/>
      <c r="AN1183" s="408"/>
      <c r="AO1183" s="408"/>
      <c r="AP1183" s="408"/>
      <c r="AQ1183" s="408"/>
      <c r="AR1183" s="408"/>
      <c r="AS1183" s="408"/>
    </row>
    <row r="1184" spans="1:45" ht="15" customHeight="1" x14ac:dyDescent="0.3">
      <c r="A1184" s="394"/>
      <c r="B1184" s="394"/>
      <c r="C1184" s="395"/>
      <c r="D1184" s="34"/>
      <c r="E1184" s="773" t="str">
        <f t="shared" ref="E1184:G1184" si="942">E1093</f>
        <v>Signature Bonus (EITI)</v>
      </c>
      <c r="F1184" s="773"/>
      <c r="G1184" s="773" t="str">
        <f t="shared" si="942"/>
        <v>$ mn</v>
      </c>
      <c r="H1184" s="773"/>
      <c r="I1184" s="773"/>
      <c r="J1184" s="773"/>
      <c r="K1184" s="34">
        <f t="shared" si="939"/>
        <v>42.679182000000004</v>
      </c>
      <c r="L1184" s="34" cm="1">
        <f t="array" ref="L1184" xml:space="preserve"> SUMPRODUCT(P1093:AS1093,--(P$1143:AS$1143 &gt; 0))</f>
        <v>42.679182000000004</v>
      </c>
      <c r="M1184" s="34" cm="1">
        <f t="array" ref="M1184" xml:space="preserve"> SUMPRODUCT(P1093:AS1093,--(P$1144:AS$1144 &gt; 0))</f>
        <v>42.679182000000004</v>
      </c>
      <c r="N1184" s="34" cm="1">
        <f t="array" ref="N1184" xml:space="preserve"> SUMPRODUCT(P1093:AS1093,--(P$1145:AS$1145 &gt; 0))</f>
        <v>0</v>
      </c>
      <c r="O1184" s="34"/>
      <c r="P1184" s="34"/>
      <c r="Q1184" s="34"/>
      <c r="R1184" s="34"/>
      <c r="S1184" s="34"/>
      <c r="T1184" s="34"/>
      <c r="U1184" s="34"/>
      <c r="V1184" s="34"/>
      <c r="W1184" s="34"/>
      <c r="X1184" s="34"/>
      <c r="Y1184" s="34"/>
      <c r="Z1184" s="34"/>
      <c r="AA1184" s="34"/>
      <c r="AB1184" s="34"/>
      <c r="AC1184" s="34"/>
      <c r="AD1184" s="34"/>
      <c r="AE1184" s="34"/>
      <c r="AF1184" s="34"/>
      <c r="AG1184" s="34"/>
      <c r="AH1184" s="34"/>
      <c r="AI1184" s="34"/>
      <c r="AJ1184" s="34"/>
      <c r="AK1184" s="34"/>
      <c r="AL1184" s="408"/>
      <c r="AM1184" s="408"/>
      <c r="AN1184" s="408"/>
      <c r="AO1184" s="408"/>
      <c r="AP1184" s="408"/>
      <c r="AQ1184" s="408"/>
      <c r="AR1184" s="408"/>
      <c r="AS1184" s="408"/>
    </row>
    <row r="1185" spans="1:45" ht="15" customHeight="1" x14ac:dyDescent="0.3">
      <c r="A1185" s="394"/>
      <c r="B1185" s="394"/>
      <c r="C1185" s="395"/>
      <c r="D1185" s="34"/>
      <c r="E1185" s="773" t="str">
        <f t="shared" ref="E1185:G1185" si="943">E1094</f>
        <v>Payroll taxes (included in costs)</v>
      </c>
      <c r="F1185" s="773"/>
      <c r="G1185" s="773" t="str">
        <f t="shared" si="943"/>
        <v>$ mn</v>
      </c>
      <c r="H1185" s="773"/>
      <c r="I1185" s="773"/>
      <c r="J1185" s="773"/>
      <c r="K1185" s="34">
        <f t="shared" si="939"/>
        <v>256.69892824335369</v>
      </c>
      <c r="L1185" s="34" cm="1">
        <f t="array" ref="L1185" xml:space="preserve"> SUMPRODUCT(P1094:AS1094,--(P$1143:AS$1143 &gt; 0))</f>
        <v>256.69892824335369</v>
      </c>
      <c r="M1185" s="34" cm="1">
        <f t="array" ref="M1185" xml:space="preserve"> SUMPRODUCT(P1094:AS1094,--(P$1144:AS$1144 &gt; 0))</f>
        <v>256.69892824335369</v>
      </c>
      <c r="N1185" s="34" cm="1">
        <f t="array" ref="N1185" xml:space="preserve"> SUMPRODUCT(P1094:AS1094,--(P$1145:AS$1145 &gt; 0))</f>
        <v>160.01957506561695</v>
      </c>
      <c r="O1185" s="34"/>
      <c r="P1185" s="34"/>
      <c r="Q1185" s="34"/>
      <c r="R1185" s="34"/>
      <c r="S1185" s="34"/>
      <c r="T1185" s="34"/>
      <c r="U1185" s="34"/>
      <c r="V1185" s="34"/>
      <c r="W1185" s="34"/>
      <c r="X1185" s="34"/>
      <c r="Y1185" s="34"/>
      <c r="Z1185" s="34"/>
      <c r="AA1185" s="34"/>
      <c r="AB1185" s="34"/>
      <c r="AC1185" s="34"/>
      <c r="AD1185" s="34"/>
      <c r="AE1185" s="34"/>
      <c r="AF1185" s="34"/>
      <c r="AG1185" s="34"/>
      <c r="AH1185" s="34"/>
      <c r="AI1185" s="34"/>
      <c r="AJ1185" s="34"/>
      <c r="AK1185" s="34"/>
      <c r="AL1185" s="408"/>
      <c r="AM1185" s="408"/>
      <c r="AN1185" s="408"/>
      <c r="AO1185" s="408"/>
      <c r="AP1185" s="408"/>
      <c r="AQ1185" s="408"/>
      <c r="AR1185" s="408"/>
      <c r="AS1185" s="408"/>
    </row>
    <row r="1186" spans="1:45" ht="15" customHeight="1" x14ac:dyDescent="0.3">
      <c r="A1186" s="394"/>
      <c r="B1186" s="394"/>
      <c r="C1186" s="395"/>
      <c r="D1186" s="34"/>
      <c r="E1186" s="773" t="str">
        <f t="shared" ref="E1186:G1186" si="944">E1095</f>
        <v>Import duties (included in costs)</v>
      </c>
      <c r="F1186" s="773"/>
      <c r="G1186" s="773" t="str">
        <f t="shared" si="944"/>
        <v>$ mn</v>
      </c>
      <c r="H1186" s="773"/>
      <c r="I1186" s="773"/>
      <c r="J1186" s="773"/>
      <c r="K1186" s="34">
        <f t="shared" si="939"/>
        <v>378.04054337098842</v>
      </c>
      <c r="L1186" s="34" cm="1">
        <f t="array" ref="L1186" xml:space="preserve"> SUMPRODUCT(P1095:AS1095,--(P$1143:AS$1143 &gt; 0))</f>
        <v>378.04054337098842</v>
      </c>
      <c r="M1186" s="34" cm="1">
        <f t="array" ref="M1186" xml:space="preserve"> SUMPRODUCT(P1095:AS1095,--(P$1144:AS$1144 &gt; 0))</f>
        <v>378.04054337098842</v>
      </c>
      <c r="N1186" s="34" cm="1">
        <f t="array" ref="N1186" xml:space="preserve"> SUMPRODUCT(P1095:AS1095,--(P$1145:AS$1145 &gt; 0))</f>
        <v>200.0244688320212</v>
      </c>
      <c r="O1186" s="34"/>
      <c r="P1186" s="34"/>
      <c r="Q1186" s="34"/>
      <c r="R1186" s="34"/>
      <c r="S1186" s="34"/>
      <c r="T1186" s="34"/>
      <c r="U1186" s="34"/>
      <c r="V1186" s="34"/>
      <c r="W1186" s="34"/>
      <c r="X1186" s="34"/>
      <c r="Y1186" s="34"/>
      <c r="Z1186" s="34"/>
      <c r="AA1186" s="34"/>
      <c r="AB1186" s="34"/>
      <c r="AC1186" s="34"/>
      <c r="AD1186" s="34"/>
      <c r="AE1186" s="34"/>
      <c r="AF1186" s="34"/>
      <c r="AG1186" s="34"/>
      <c r="AH1186" s="34"/>
      <c r="AI1186" s="34"/>
      <c r="AJ1186" s="34"/>
      <c r="AK1186" s="34"/>
      <c r="AL1186" s="408"/>
      <c r="AM1186" s="408"/>
      <c r="AN1186" s="408"/>
      <c r="AO1186" s="408"/>
      <c r="AP1186" s="408"/>
      <c r="AQ1186" s="408"/>
      <c r="AR1186" s="408"/>
      <c r="AS1186" s="408"/>
    </row>
    <row r="1187" spans="1:45" ht="15" customHeight="1" x14ac:dyDescent="0.3">
      <c r="A1187" s="394"/>
      <c r="B1187" s="394"/>
      <c r="C1187" s="395"/>
      <c r="D1187" s="34"/>
      <c r="E1187" s="773" t="str">
        <f t="shared" ref="E1187:G1187" si="945">E1096</f>
        <v>Interest withholding tax</v>
      </c>
      <c r="F1187" s="773"/>
      <c r="G1187" s="773" t="str">
        <f t="shared" si="945"/>
        <v>$ mn</v>
      </c>
      <c r="H1187" s="773"/>
      <c r="I1187" s="773"/>
      <c r="J1187" s="773"/>
      <c r="K1187" s="34">
        <f t="shared" si="939"/>
        <v>0</v>
      </c>
      <c r="L1187" s="34" cm="1">
        <f t="array" ref="L1187" xml:space="preserve"> SUMPRODUCT(P1096:AS1096,--(P$1143:AS$1143 &gt; 0))</f>
        <v>0</v>
      </c>
      <c r="M1187" s="34" cm="1">
        <f t="array" ref="M1187" xml:space="preserve"> SUMPRODUCT(P1096:AS1096,--(P$1144:AS$1144 &gt; 0))</f>
        <v>0</v>
      </c>
      <c r="N1187" s="34" cm="1">
        <f t="array" ref="N1187" xml:space="preserve"> SUMPRODUCT(P1096:AS1096,--(P$1145:AS$1145 &gt; 0))</f>
        <v>0</v>
      </c>
      <c r="O1187" s="34"/>
      <c r="P1187" s="34"/>
      <c r="Q1187" s="34"/>
      <c r="R1187" s="34"/>
      <c r="S1187" s="34"/>
      <c r="T1187" s="34"/>
      <c r="U1187" s="34"/>
      <c r="V1187" s="34"/>
      <c r="W1187" s="34"/>
      <c r="X1187" s="34"/>
      <c r="Y1187" s="34"/>
      <c r="Z1187" s="34"/>
      <c r="AA1187" s="34"/>
      <c r="AB1187" s="34"/>
      <c r="AC1187" s="34"/>
      <c r="AD1187" s="34"/>
      <c r="AE1187" s="34"/>
      <c r="AF1187" s="34"/>
      <c r="AG1187" s="34"/>
      <c r="AH1187" s="34"/>
      <c r="AI1187" s="34"/>
      <c r="AJ1187" s="34"/>
      <c r="AK1187" s="34"/>
      <c r="AL1187" s="408"/>
      <c r="AM1187" s="408"/>
      <c r="AN1187" s="408"/>
      <c r="AO1187" s="408"/>
      <c r="AP1187" s="408"/>
      <c r="AQ1187" s="408"/>
      <c r="AR1187" s="408"/>
      <c r="AS1187" s="408"/>
    </row>
    <row r="1188" spans="1:45" ht="15" customHeight="1" x14ac:dyDescent="0.3">
      <c r="A1188" s="394"/>
      <c r="B1188" s="394"/>
      <c r="C1188" s="395"/>
      <c r="D1188" s="34"/>
      <c r="E1188" s="773" t="str">
        <f t="shared" ref="E1188:G1189" si="946">E1097</f>
        <v>Dividend withholding tax</v>
      </c>
      <c r="F1188" s="773"/>
      <c r="G1188" s="773" t="str">
        <f t="shared" si="946"/>
        <v>$ mn</v>
      </c>
      <c r="H1188" s="773"/>
      <c r="I1188" s="773"/>
      <c r="J1188" s="773"/>
      <c r="K1188" s="34">
        <f t="shared" si="939"/>
        <v>224.61815895215742</v>
      </c>
      <c r="L1188" s="34" cm="1">
        <f t="array" ref="L1188" xml:space="preserve"> SUMPRODUCT(P1097:AS1097,--(P$1143:AS$1143 &gt; 0))</f>
        <v>224.61815895215742</v>
      </c>
      <c r="M1188" s="34" cm="1">
        <f t="array" ref="M1188" xml:space="preserve"> SUMPRODUCT(P1097:AS1097,--(P$1144:AS$1144 &gt; 0))</f>
        <v>224.61815895215742</v>
      </c>
      <c r="N1188" s="34" cm="1">
        <f t="array" ref="N1188" xml:space="preserve"> SUMPRODUCT(P1097:AS1097,--(P$1145:AS$1145 &gt; 0))</f>
        <v>117.18909417518921</v>
      </c>
      <c r="O1188" s="34"/>
      <c r="P1188" s="34"/>
      <c r="Q1188" s="34"/>
      <c r="R1188" s="34"/>
      <c r="S1188" s="34"/>
      <c r="T1188" s="34"/>
      <c r="U1188" s="34"/>
      <c r="V1188" s="34"/>
      <c r="W1188" s="34"/>
      <c r="X1188" s="34"/>
      <c r="Y1188" s="34"/>
      <c r="Z1188" s="34"/>
      <c r="AA1188" s="34"/>
      <c r="AB1188" s="34"/>
      <c r="AC1188" s="34"/>
      <c r="AD1188" s="34"/>
      <c r="AE1188" s="34"/>
      <c r="AF1188" s="34"/>
      <c r="AG1188" s="34"/>
      <c r="AH1188" s="34"/>
      <c r="AI1188" s="34"/>
      <c r="AJ1188" s="34"/>
      <c r="AK1188" s="34"/>
      <c r="AL1188" s="408"/>
      <c r="AM1188" s="408"/>
      <c r="AN1188" s="408"/>
      <c r="AO1188" s="408"/>
      <c r="AP1188" s="408"/>
      <c r="AQ1188" s="408"/>
      <c r="AR1188" s="408"/>
      <c r="AS1188" s="408"/>
    </row>
    <row r="1189" spans="1:45" ht="15" customHeight="1" x14ac:dyDescent="0.3">
      <c r="A1189" s="394"/>
      <c r="B1189" s="394"/>
      <c r="C1189" s="395"/>
      <c r="D1189" s="34"/>
      <c r="E1189" s="773" t="str">
        <f t="shared" si="946"/>
        <v>WHT on non-resident services</v>
      </c>
      <c r="F1189" s="773"/>
      <c r="G1189" s="773" t="str">
        <f t="shared" si="946"/>
        <v>$ mn</v>
      </c>
      <c r="H1189" s="773"/>
      <c r="I1189" s="773"/>
      <c r="J1189" s="773"/>
      <c r="K1189" s="34">
        <f t="shared" si="939"/>
        <v>72.445296483462641</v>
      </c>
      <c r="L1189" s="34" cm="1">
        <f t="array" ref="L1189" xml:space="preserve"> SUMPRODUCT(P1098:AS1098,--(P$1143:AS$1143 &gt; 0))</f>
        <v>72.445296483462641</v>
      </c>
      <c r="M1189" s="34" cm="1">
        <f t="array" ref="M1189" xml:space="preserve"> SUMPRODUCT(P1098:AS1098,--(P$1144:AS$1144 &gt; 0))</f>
        <v>72.445296483462641</v>
      </c>
      <c r="N1189" s="34" cm="1">
        <f t="array" ref="N1189" xml:space="preserve"> SUMPRODUCT(P1098:AS1098,--(P$1145:AS$1145 &gt; 0))</f>
        <v>35.004282045603716</v>
      </c>
      <c r="O1189" s="34"/>
      <c r="P1189" s="34"/>
      <c r="Q1189" s="34"/>
      <c r="R1189" s="34"/>
      <c r="S1189" s="34"/>
      <c r="T1189" s="34"/>
      <c r="U1189" s="34"/>
      <c r="V1189" s="34"/>
      <c r="W1189" s="34"/>
      <c r="X1189" s="34"/>
      <c r="Y1189" s="34"/>
      <c r="Z1189" s="34"/>
      <c r="AA1189" s="34"/>
      <c r="AB1189" s="34"/>
      <c r="AC1189" s="34"/>
      <c r="AD1189" s="34"/>
      <c r="AE1189" s="34"/>
      <c r="AF1189" s="34"/>
      <c r="AG1189" s="34"/>
      <c r="AH1189" s="34"/>
      <c r="AI1189" s="34"/>
      <c r="AJ1189" s="34"/>
      <c r="AK1189" s="34"/>
      <c r="AL1189" s="408"/>
      <c r="AM1189" s="408"/>
      <c r="AN1189" s="408"/>
      <c r="AO1189" s="408"/>
      <c r="AP1189" s="408"/>
      <c r="AQ1189" s="408"/>
      <c r="AR1189" s="408"/>
      <c r="AS1189" s="408"/>
    </row>
    <row r="1190" spans="1:45" ht="15" customHeight="1" x14ac:dyDescent="0.3">
      <c r="A1190" s="394"/>
      <c r="B1190" s="394"/>
      <c r="C1190" s="395"/>
      <c r="D1190" s="34"/>
      <c r="E1190" s="738">
        <f t="shared" ref="E1190:J1190" si="947">E1099</f>
        <v>0</v>
      </c>
      <c r="F1190" s="738" t="str">
        <f t="shared" si="947"/>
        <v>bottom</v>
      </c>
      <c r="G1190" s="738">
        <f t="shared" si="947"/>
        <v>0</v>
      </c>
      <c r="H1190" s="738">
        <f t="shared" si="947"/>
        <v>0</v>
      </c>
      <c r="I1190" s="738">
        <f t="shared" si="947"/>
        <v>0</v>
      </c>
      <c r="J1190" s="738">
        <f t="shared" si="947"/>
        <v>0</v>
      </c>
      <c r="K1190" s="738">
        <f>P1099</f>
        <v>0</v>
      </c>
      <c r="L1190" s="738">
        <f>Q1099</f>
        <v>0</v>
      </c>
      <c r="M1190" s="738">
        <f>R1099</f>
        <v>0</v>
      </c>
      <c r="N1190" s="738">
        <f>S1099</f>
        <v>0</v>
      </c>
      <c r="O1190" s="34"/>
      <c r="P1190" s="34"/>
      <c r="Q1190" s="34"/>
      <c r="R1190" s="34"/>
      <c r="S1190" s="34"/>
      <c r="T1190" s="34"/>
      <c r="U1190" s="34"/>
      <c r="V1190" s="34"/>
      <c r="W1190" s="34"/>
      <c r="X1190" s="34"/>
      <c r="Y1190" s="34"/>
      <c r="Z1190" s="34"/>
      <c r="AA1190" s="34"/>
      <c r="AB1190" s="34"/>
      <c r="AC1190" s="34"/>
      <c r="AD1190" s="34"/>
      <c r="AE1190" s="34"/>
      <c r="AF1190" s="34"/>
      <c r="AG1190" s="34"/>
      <c r="AH1190" s="34"/>
      <c r="AI1190" s="34"/>
      <c r="AJ1190" s="34"/>
      <c r="AK1190" s="34"/>
      <c r="AL1190" s="408"/>
      <c r="AM1190" s="408"/>
      <c r="AN1190" s="408"/>
      <c r="AO1190" s="408"/>
      <c r="AP1190" s="408"/>
      <c r="AQ1190" s="408"/>
      <c r="AR1190" s="408"/>
      <c r="AS1190" s="408"/>
    </row>
    <row r="1191" spans="1:45" ht="15" customHeight="1" x14ac:dyDescent="0.3">
      <c r="A1191" s="394"/>
      <c r="B1191" s="394"/>
      <c r="C1191" s="395"/>
      <c r="D1191" s="34"/>
      <c r="E1191" s="773" t="str">
        <f t="shared" ref="E1191:G1191" si="948">E1100</f>
        <v>Government revenues excl Gecamines participation</v>
      </c>
      <c r="F1191" s="773"/>
      <c r="G1191" s="773" t="str">
        <f t="shared" si="948"/>
        <v>$ mn</v>
      </c>
      <c r="H1191" s="230"/>
      <c r="I1191" s="34"/>
      <c r="J1191" s="386"/>
      <c r="K1191" s="34">
        <f>SUM(P1100:AS1100)</f>
        <v>2765.6905268255668</v>
      </c>
      <c r="L1191" s="34" cm="1">
        <f t="array" ref="L1191" xml:space="preserve"> SUMPRODUCT(P1100:AS1100,--(P$1143:AS$1143 &gt; 0))</f>
        <v>2765.6905268255668</v>
      </c>
      <c r="M1191" s="34" cm="1">
        <f t="array" ref="M1191" xml:space="preserve"> SUMPRODUCT(P1100:AS1100,--(P$1144:AS$1144 &gt; 0))</f>
        <v>2765.6905268255668</v>
      </c>
      <c r="N1191" s="34" cm="1">
        <f t="array" ref="N1191" xml:space="preserve"> SUMPRODUCT(P1100:AS1100,--(P$1145:AS$1145 &gt; 0))</f>
        <v>1466.4175190631361</v>
      </c>
      <c r="O1191" s="34"/>
      <c r="P1191" s="34"/>
      <c r="Q1191" s="34"/>
      <c r="R1191" s="34"/>
      <c r="S1191" s="34"/>
      <c r="T1191" s="34"/>
      <c r="U1191" s="34"/>
      <c r="V1191" s="34"/>
      <c r="W1191" s="34"/>
      <c r="X1191" s="34"/>
      <c r="Y1191" s="34"/>
      <c r="Z1191" s="34"/>
      <c r="AA1191" s="34"/>
      <c r="AB1191" s="34"/>
      <c r="AC1191" s="34"/>
      <c r="AD1191" s="34"/>
      <c r="AE1191" s="34"/>
      <c r="AF1191" s="34"/>
      <c r="AG1191" s="34"/>
      <c r="AH1191" s="34"/>
      <c r="AI1191" s="34"/>
      <c r="AJ1191" s="34"/>
      <c r="AK1191" s="34"/>
      <c r="AL1191" s="408"/>
      <c r="AM1191" s="408"/>
      <c r="AN1191" s="408"/>
      <c r="AO1191" s="408"/>
      <c r="AP1191" s="408"/>
      <c r="AQ1191" s="408"/>
      <c r="AR1191" s="408"/>
      <c r="AS1191" s="408"/>
    </row>
    <row r="1192" spans="1:45" ht="15" customHeight="1" x14ac:dyDescent="0.3">
      <c r="A1192" s="394"/>
      <c r="B1192" s="394"/>
      <c r="C1192" s="395"/>
      <c r="D1192" s="34"/>
      <c r="E1192" s="773" t="str">
        <f t="shared" ref="E1192:G1192" si="949">E1101</f>
        <v>Gecamines share of cashflows after repaying loan</v>
      </c>
      <c r="F1192" s="773"/>
      <c r="G1192" s="773" t="str">
        <f t="shared" si="949"/>
        <v>$ mn</v>
      </c>
      <c r="H1192" s="230"/>
      <c r="I1192" s="34"/>
      <c r="J1192" s="386"/>
      <c r="K1192" s="34">
        <f>SUM(P1101:AS1101)</f>
        <v>921.83851310159503</v>
      </c>
      <c r="L1192" s="34" cm="1">
        <f t="array" ref="L1192" xml:space="preserve"> SUMPRODUCT(P1101:AS1101,--(P$1143:AS$1143 &gt; 0))</f>
        <v>921.83851310159503</v>
      </c>
      <c r="M1192" s="34" cm="1">
        <f t="array" ref="M1192" xml:space="preserve"> SUMPRODUCT(P1101:AS1101,--(P$1144:AS$1144 &gt; 0))</f>
        <v>921.83851310159503</v>
      </c>
      <c r="N1192" s="34" cm="1">
        <f t="array" ref="N1192" xml:space="preserve"> SUMPRODUCT(P1101:AS1101,--(P$1145:AS$1145 &gt; 0))</f>
        <v>577.20001608675273</v>
      </c>
      <c r="O1192" s="34"/>
      <c r="P1192" s="34"/>
      <c r="Q1192" s="34"/>
      <c r="R1192" s="34"/>
      <c r="S1192" s="34"/>
      <c r="T1192" s="34"/>
      <c r="U1192" s="34"/>
      <c r="V1192" s="34"/>
      <c r="W1192" s="34"/>
      <c r="X1192" s="34"/>
      <c r="Y1192" s="34"/>
      <c r="Z1192" s="34"/>
      <c r="AA1192" s="34"/>
      <c r="AB1192" s="34"/>
      <c r="AC1192" s="34"/>
      <c r="AD1192" s="34"/>
      <c r="AE1192" s="34"/>
      <c r="AF1192" s="34"/>
      <c r="AG1192" s="34"/>
      <c r="AH1192" s="34"/>
      <c r="AI1192" s="34"/>
      <c r="AJ1192" s="34"/>
      <c r="AK1192" s="34"/>
      <c r="AL1192" s="408"/>
      <c r="AM1192" s="408"/>
      <c r="AN1192" s="408"/>
      <c r="AO1192" s="408"/>
      <c r="AP1192" s="408"/>
      <c r="AQ1192" s="408"/>
      <c r="AR1192" s="408"/>
      <c r="AS1192" s="408"/>
    </row>
    <row r="1193" spans="1:45" ht="15" customHeight="1" x14ac:dyDescent="0.3">
      <c r="A1193" s="394"/>
      <c r="B1193" s="394"/>
      <c r="C1193" s="395"/>
      <c r="D1193" s="34"/>
      <c r="E1193" s="773" t="str">
        <f t="shared" ref="E1193:G1193" si="950">E1102</f>
        <v>Government revenues incl Gecamines</v>
      </c>
      <c r="F1193" s="773"/>
      <c r="G1193" s="773" t="str">
        <f t="shared" si="950"/>
        <v>$ mn</v>
      </c>
      <c r="H1193" s="230"/>
      <c r="I1193" s="34"/>
      <c r="J1193" s="386"/>
      <c r="K1193" s="34">
        <f>SUM(P1102:AS1102)</f>
        <v>3687.5290399271621</v>
      </c>
      <c r="L1193" s="34" cm="1">
        <f t="array" ref="L1193" xml:space="preserve"> SUMPRODUCT(P1102:AS1102,--(P$1143:AS$1143 &gt; 0))</f>
        <v>3687.5290399271621</v>
      </c>
      <c r="M1193" s="34" cm="1">
        <f t="array" ref="M1193" xml:space="preserve"> SUMPRODUCT(P1102:AS1102,--(P$1144:AS$1144 &gt; 0))</f>
        <v>3687.5290399271621</v>
      </c>
      <c r="N1193" s="34" cm="1">
        <f t="array" ref="N1193" xml:space="preserve"> SUMPRODUCT(P1102:AS1102,--(P$1145:AS$1145 &gt; 0))</f>
        <v>2043.6175351498887</v>
      </c>
      <c r="O1193" s="34"/>
      <c r="P1193" s="34"/>
      <c r="Q1193" s="34"/>
      <c r="R1193" s="34"/>
      <c r="S1193" s="34"/>
      <c r="T1193" s="34"/>
      <c r="U1193" s="34"/>
      <c r="V1193" s="34"/>
      <c r="W1193" s="34"/>
      <c r="X1193" s="34"/>
      <c r="Y1193" s="34"/>
      <c r="Z1193" s="34"/>
      <c r="AA1193" s="34"/>
      <c r="AB1193" s="34"/>
      <c r="AC1193" s="34"/>
      <c r="AD1193" s="34"/>
      <c r="AE1193" s="34"/>
      <c r="AF1193" s="34"/>
      <c r="AG1193" s="34"/>
      <c r="AH1193" s="34"/>
      <c r="AI1193" s="34"/>
      <c r="AJ1193" s="34"/>
      <c r="AK1193" s="34"/>
      <c r="AL1193" s="408"/>
      <c r="AM1193" s="408"/>
      <c r="AN1193" s="408"/>
      <c r="AO1193" s="408"/>
      <c r="AP1193" s="408"/>
      <c r="AQ1193" s="408"/>
      <c r="AR1193" s="408"/>
      <c r="AS1193" s="408"/>
    </row>
    <row r="1194" spans="1:45" ht="15" customHeight="1" x14ac:dyDescent="0.3">
      <c r="AO1194" s="88"/>
      <c r="AP1194" s="88"/>
      <c r="AQ1194" s="88"/>
      <c r="AR1194" s="88"/>
      <c r="AS1194" s="88"/>
    </row>
    <row r="1195" spans="1:45" ht="15" customHeight="1" x14ac:dyDescent="0.3">
      <c r="A1195" s="479"/>
      <c r="B1195" s="480"/>
      <c r="C1195" s="481"/>
      <c r="D1195" s="482"/>
      <c r="E1195" s="482" t="s">
        <v>869</v>
      </c>
      <c r="F1195" s="442">
        <f xml:space="preserve"> SUM(L1195:N1195)</f>
        <v>0</v>
      </c>
      <c r="G1195" s="482" t="s">
        <v>509</v>
      </c>
      <c r="H1195" s="482"/>
      <c r="I1195" s="483"/>
      <c r="J1195" s="482"/>
      <c r="K1195" s="442">
        <f xml:space="preserve"> IF( ABS(K1193 - K1202) &gt; CHK_TOL, 1, 0)</f>
        <v>0</v>
      </c>
      <c r="L1195" s="442">
        <f xml:space="preserve"> IF( ABS(L1193 - L1202) &gt; CHK_TOL, 1, 0)</f>
        <v>0</v>
      </c>
      <c r="M1195" s="442">
        <f xml:space="preserve"> IF( ABS(M1193 - M1202) &gt; CHK_TOL, 1, 0)</f>
        <v>0</v>
      </c>
      <c r="N1195" s="442">
        <f xml:space="preserve"> IF( ABS(N1193 - N1202) &gt; CHK_TOL, 1, 0)</f>
        <v>0</v>
      </c>
      <c r="O1195" s="482"/>
      <c r="P1195" s="482"/>
      <c r="Q1195" s="482"/>
      <c r="R1195" s="482"/>
      <c r="S1195" s="482"/>
      <c r="T1195" s="482"/>
      <c r="U1195" s="482"/>
      <c r="V1195" s="482"/>
      <c r="W1195" s="482"/>
      <c r="X1195" s="482"/>
      <c r="Y1195" s="482"/>
      <c r="Z1195" s="482"/>
      <c r="AA1195" s="482"/>
      <c r="AB1195" s="482"/>
      <c r="AC1195" s="482"/>
      <c r="AD1195" s="482"/>
      <c r="AE1195" s="482"/>
      <c r="AF1195" s="482"/>
      <c r="AG1195" s="482"/>
      <c r="AH1195" s="482"/>
      <c r="AI1195" s="482"/>
      <c r="AJ1195" s="482"/>
      <c r="AK1195" s="482"/>
      <c r="AL1195" s="482"/>
      <c r="AM1195" s="482"/>
      <c r="AN1195" s="482"/>
      <c r="AO1195" s="482"/>
      <c r="AP1195" s="482"/>
      <c r="AQ1195" s="482"/>
      <c r="AR1195" s="482"/>
      <c r="AS1195" s="482"/>
    </row>
    <row r="1196" spans="1:45" ht="15" customHeight="1" x14ac:dyDescent="0.3">
      <c r="AO1196" s="88"/>
      <c r="AP1196" s="88"/>
      <c r="AQ1196" s="88"/>
      <c r="AR1196" s="88"/>
      <c r="AS1196" s="88"/>
    </row>
    <row r="1197" spans="1:45" ht="15" customHeight="1" x14ac:dyDescent="0.3">
      <c r="E1197" s="864" t="s">
        <v>870</v>
      </c>
      <c r="F1197" s="865"/>
      <c r="G1197" s="865"/>
      <c r="H1197" s="865"/>
      <c r="I1197" s="865"/>
      <c r="J1197" s="865"/>
      <c r="K1197" s="865" t="s">
        <v>866</v>
      </c>
      <c r="L1197" s="865"/>
      <c r="M1197" s="865"/>
      <c r="N1197" s="865"/>
      <c r="O1197"/>
      <c r="AO1197" s="88"/>
      <c r="AP1197" s="88"/>
      <c r="AQ1197" s="88"/>
      <c r="AR1197" s="88"/>
      <c r="AS1197" s="88"/>
    </row>
    <row r="1198" spans="1:45" ht="15" customHeight="1" x14ac:dyDescent="0.3">
      <c r="E1198" s="864" t="s">
        <v>867</v>
      </c>
      <c r="F1198" s="865"/>
      <c r="G1198" s="865"/>
      <c r="H1198" s="866">
        <f xml:space="preserve"> F1131</f>
        <v>0</v>
      </c>
      <c r="I1198" s="865"/>
      <c r="J1198" s="865"/>
      <c r="K1198" s="865" t="s">
        <v>868</v>
      </c>
      <c r="L1198" s="865">
        <f xml:space="preserve"> $F$1139</f>
        <v>2014</v>
      </c>
      <c r="M1198" s="865">
        <f xml:space="preserve"> $F$1140</f>
        <v>2017</v>
      </c>
      <c r="N1198" s="865">
        <f xml:space="preserve"> $F$1141</f>
        <v>2025</v>
      </c>
      <c r="O1198"/>
      <c r="AO1198" s="88"/>
      <c r="AP1198" s="88"/>
      <c r="AQ1198" s="88"/>
      <c r="AR1198" s="88"/>
      <c r="AS1198" s="88"/>
    </row>
    <row r="1199" spans="1:45" ht="15" customHeight="1" x14ac:dyDescent="0.3">
      <c r="A1199" s="394"/>
      <c r="B1199" s="394"/>
      <c r="C1199" s="395"/>
      <c r="D1199" s="34"/>
      <c r="E1199" s="34" t="str">
        <f t="shared" ref="E1199:E1205" si="951">E1129</f>
        <v>Project cashflow before tax</v>
      </c>
      <c r="F1199" s="34"/>
      <c r="G1199" s="34" t="str">
        <f t="shared" ref="G1199" si="952">G1129</f>
        <v>$ mn</v>
      </c>
      <c r="H1199" s="230"/>
      <c r="I1199" s="34"/>
      <c r="J1199" s="386"/>
      <c r="K1199" s="34">
        <f t="shared" ref="K1199:K1205" si="953">SUM(P1129:AS1129)</f>
        <v>4808.508951492714</v>
      </c>
      <c r="L1199" s="34" cm="1">
        <f t="array" ref="L1199" xml:space="preserve"> SUMPRODUCT(P1129:AS1129,--(P$1143:AS$1143 &gt; 0))</f>
        <v>4808.508951492714</v>
      </c>
      <c r="M1199" s="34" cm="1">
        <f t="array" ref="M1199" xml:space="preserve"> SUMPRODUCT(P1129:AS1129,--(P$1144:AS$1144 &gt; 0))</f>
        <v>4808.508951492714</v>
      </c>
      <c r="N1199" s="34" cm="1">
        <f t="array" ref="N1199" xml:space="preserve"> SUMPRODUCT(P1129:AS1129,--(P$1145:AS$1145 &gt; 0))</f>
        <v>2734.9531567833492</v>
      </c>
      <c r="O1199" s="34"/>
      <c r="P1199" s="34"/>
      <c r="Q1199" s="34"/>
      <c r="R1199" s="34"/>
      <c r="S1199" s="34"/>
      <c r="T1199" s="34"/>
      <c r="U1199" s="34"/>
      <c r="V1199" s="34"/>
      <c r="W1199" s="34"/>
      <c r="X1199" s="34"/>
      <c r="Y1199" s="34"/>
      <c r="Z1199" s="34"/>
      <c r="AA1199" s="34"/>
      <c r="AB1199" s="34"/>
      <c r="AC1199" s="34"/>
      <c r="AD1199" s="34"/>
      <c r="AE1199" s="34"/>
      <c r="AF1199" s="34"/>
      <c r="AG1199" s="34"/>
      <c r="AH1199" s="34"/>
      <c r="AI1199" s="34"/>
      <c r="AJ1199" s="34"/>
      <c r="AK1199" s="34"/>
      <c r="AL1199" s="408"/>
      <c r="AM1199" s="408"/>
      <c r="AN1199" s="408"/>
      <c r="AO1199" s="408"/>
      <c r="AP1199" s="408"/>
      <c r="AQ1199" s="408"/>
      <c r="AR1199" s="408"/>
      <c r="AS1199" s="408"/>
    </row>
    <row r="1200" spans="1:45" ht="15" customHeight="1" x14ac:dyDescent="0.3">
      <c r="A1200" s="394"/>
      <c r="B1200" s="394"/>
      <c r="C1200" s="395"/>
      <c r="D1200" s="34"/>
      <c r="E1200" s="34" t="str">
        <f t="shared" si="951"/>
        <v>Government revenues excl Gecamines participation</v>
      </c>
      <c r="F1200" s="34"/>
      <c r="G1200" s="34" t="str">
        <f t="shared" ref="G1200:G1205" si="954">G1130</f>
        <v>$ mn</v>
      </c>
      <c r="H1200" s="230"/>
      <c r="I1200" s="34"/>
      <c r="J1200" s="386"/>
      <c r="K1200" s="34">
        <f t="shared" si="953"/>
        <v>2765.6905268255668</v>
      </c>
      <c r="L1200" s="34" cm="1">
        <f t="array" ref="L1200" xml:space="preserve"> SUMPRODUCT(P1130:AS1130,--(P$1143:AS$1143 &gt; 0))</f>
        <v>2765.6905268255668</v>
      </c>
      <c r="M1200" s="34" cm="1">
        <f t="array" ref="M1200" xml:space="preserve"> SUMPRODUCT(P1130:AS1130,--(P$1144:AS$1144 &gt; 0))</f>
        <v>2765.6905268255668</v>
      </c>
      <c r="N1200" s="34" cm="1">
        <f t="array" ref="N1200" xml:space="preserve"> SUMPRODUCT(P1130:AS1130,--(P$1145:AS$1145 &gt; 0))</f>
        <v>1466.4175190631361</v>
      </c>
      <c r="O1200" s="34"/>
      <c r="P1200" s="34"/>
      <c r="Q1200" s="34"/>
      <c r="R1200" s="34"/>
      <c r="S1200" s="34"/>
      <c r="T1200" s="34"/>
      <c r="U1200" s="34"/>
      <c r="V1200" s="34"/>
      <c r="W1200" s="34"/>
      <c r="X1200" s="34"/>
      <c r="Y1200" s="34"/>
      <c r="Z1200" s="34"/>
      <c r="AA1200" s="34"/>
      <c r="AB1200" s="34"/>
      <c r="AC1200" s="34"/>
      <c r="AD1200" s="34"/>
      <c r="AE1200" s="34"/>
      <c r="AF1200" s="34"/>
      <c r="AG1200" s="34"/>
      <c r="AH1200" s="34"/>
      <c r="AI1200" s="34"/>
      <c r="AJ1200" s="34"/>
      <c r="AK1200" s="34"/>
      <c r="AL1200" s="408"/>
      <c r="AM1200" s="408"/>
      <c r="AN1200" s="408"/>
      <c r="AO1200" s="408"/>
      <c r="AP1200" s="408"/>
      <c r="AQ1200" s="408"/>
      <c r="AR1200" s="408"/>
      <c r="AS1200" s="408"/>
    </row>
    <row r="1201" spans="1:45" ht="15" customHeight="1" x14ac:dyDescent="0.3">
      <c r="A1201" s="394"/>
      <c r="B1201" s="394"/>
      <c r="C1201" s="395"/>
      <c r="D1201" s="34"/>
      <c r="E1201" s="34" t="str">
        <f t="shared" si="951"/>
        <v>Gecamines share of cashflows after repaying loan</v>
      </c>
      <c r="F1201" s="34"/>
      <c r="G1201" s="34" t="str">
        <f t="shared" si="954"/>
        <v>$ mn</v>
      </c>
      <c r="H1201" s="230"/>
      <c r="I1201" s="34"/>
      <c r="J1201" s="386"/>
      <c r="K1201" s="34">
        <f t="shared" si="953"/>
        <v>921.83851310159503</v>
      </c>
      <c r="L1201" s="34" cm="1">
        <f t="array" ref="L1201" xml:space="preserve"> SUMPRODUCT(P1131:AS1131,--(P$1143:AS$1143 &gt; 0))</f>
        <v>921.83851310159503</v>
      </c>
      <c r="M1201" s="34" cm="1">
        <f t="array" ref="M1201" xml:space="preserve"> SUMPRODUCT(P1131:AS1131,--(P$1144:AS$1144 &gt; 0))</f>
        <v>921.83851310159503</v>
      </c>
      <c r="N1201" s="34" cm="1">
        <f t="array" ref="N1201" xml:space="preserve"> SUMPRODUCT(P1131:AS1131,--(P$1145:AS$1145 &gt; 0))</f>
        <v>577.20001608675273</v>
      </c>
      <c r="O1201" s="34"/>
      <c r="P1201" s="34"/>
      <c r="Q1201" s="34"/>
      <c r="R1201" s="34"/>
      <c r="S1201" s="34"/>
      <c r="T1201" s="34"/>
      <c r="U1201" s="34"/>
      <c r="V1201" s="34"/>
      <c r="W1201" s="34"/>
      <c r="X1201" s="34"/>
      <c r="Y1201" s="34"/>
      <c r="Z1201" s="34"/>
      <c r="AA1201" s="34"/>
      <c r="AB1201" s="34"/>
      <c r="AC1201" s="34"/>
      <c r="AD1201" s="34"/>
      <c r="AE1201" s="34"/>
      <c r="AF1201" s="34"/>
      <c r="AG1201" s="34"/>
      <c r="AH1201" s="34"/>
      <c r="AI1201" s="34"/>
      <c r="AJ1201" s="34"/>
      <c r="AK1201" s="34"/>
      <c r="AL1201" s="408"/>
      <c r="AM1201" s="408"/>
      <c r="AN1201" s="408"/>
      <c r="AO1201" s="408"/>
      <c r="AP1201" s="408"/>
      <c r="AQ1201" s="408"/>
      <c r="AR1201" s="408"/>
      <c r="AS1201" s="408"/>
    </row>
    <row r="1202" spans="1:45" ht="15" customHeight="1" x14ac:dyDescent="0.3">
      <c r="A1202" s="394"/>
      <c r="B1202" s="394"/>
      <c r="C1202" s="395"/>
      <c r="D1202" s="34"/>
      <c r="E1202" s="34" t="str">
        <f t="shared" si="951"/>
        <v>Government revenues incl Gecamines</v>
      </c>
      <c r="F1202" s="34"/>
      <c r="G1202" s="34" t="str">
        <f t="shared" si="954"/>
        <v>$ mn</v>
      </c>
      <c r="H1202" s="230"/>
      <c r="I1202" s="34"/>
      <c r="J1202" s="386"/>
      <c r="K1202" s="34">
        <f t="shared" si="953"/>
        <v>3687.5290399271621</v>
      </c>
      <c r="L1202" s="34" cm="1">
        <f t="array" ref="L1202" xml:space="preserve"> SUMPRODUCT(P1132:AS1132,--(P$1143:AS$1143 &gt; 0))</f>
        <v>3687.5290399271621</v>
      </c>
      <c r="M1202" s="34" cm="1">
        <f t="array" ref="M1202" xml:space="preserve"> SUMPRODUCT(P1132:AS1132,--(P$1144:AS$1144 &gt; 0))</f>
        <v>3687.5290399271621</v>
      </c>
      <c r="N1202" s="34" cm="1">
        <f t="array" ref="N1202" xml:space="preserve"> SUMPRODUCT(P1132:AS1132,--(P$1145:AS$1145 &gt; 0))</f>
        <v>2043.6175351498887</v>
      </c>
      <c r="O1202" s="34"/>
      <c r="P1202" s="34"/>
      <c r="Q1202" s="34"/>
      <c r="R1202" s="34"/>
      <c r="S1202" s="34"/>
      <c r="T1202" s="34"/>
      <c r="U1202" s="34"/>
      <c r="V1202" s="34"/>
      <c r="W1202" s="34"/>
      <c r="X1202" s="34"/>
      <c r="Y1202" s="34"/>
      <c r="Z1202" s="34"/>
      <c r="AA1202" s="34"/>
      <c r="AB1202" s="34"/>
      <c r="AC1202" s="34"/>
      <c r="AD1202" s="34"/>
      <c r="AE1202" s="34"/>
      <c r="AF1202" s="34"/>
      <c r="AG1202" s="34"/>
      <c r="AH1202" s="34"/>
      <c r="AI1202" s="34"/>
      <c r="AJ1202" s="34"/>
      <c r="AK1202" s="34"/>
      <c r="AL1202" s="408"/>
      <c r="AM1202" s="408"/>
      <c r="AN1202" s="408"/>
      <c r="AO1202" s="408"/>
      <c r="AP1202" s="408"/>
      <c r="AQ1202" s="408"/>
      <c r="AR1202" s="408"/>
      <c r="AS1202" s="408"/>
    </row>
    <row r="1203" spans="1:45" ht="15" customHeight="1" x14ac:dyDescent="0.3">
      <c r="A1203" s="394"/>
      <c r="B1203" s="394"/>
      <c r="C1203" s="395"/>
      <c r="D1203" s="34"/>
      <c r="E1203" s="34" t="str">
        <f t="shared" si="951"/>
        <v>Zijin final cashflows</v>
      </c>
      <c r="F1203" s="34"/>
      <c r="G1203" s="34" t="str">
        <f t="shared" si="954"/>
        <v>$ mn</v>
      </c>
      <c r="H1203" s="230"/>
      <c r="I1203" s="34"/>
      <c r="J1203" s="386"/>
      <c r="K1203" s="34">
        <f t="shared" si="953"/>
        <v>1831.7319216633568</v>
      </c>
      <c r="L1203" s="34" cm="1">
        <f t="array" ref="L1203" xml:space="preserve"> SUMPRODUCT(P1133:AS1133,--(P$1143:AS$1143 &gt; 0))</f>
        <v>1831.7319216633568</v>
      </c>
      <c r="M1203" s="34" cm="1">
        <f t="array" ref="M1203" xml:space="preserve"> SUMPRODUCT(P1133:AS1133,--(P$1144:AS$1144 &gt; 0))</f>
        <v>1831.7319216633568</v>
      </c>
      <c r="N1203" s="34" cm="1">
        <f t="array" ref="N1203" xml:space="preserve"> SUMPRODUCT(P1133:AS1133,--(P$1145:AS$1145 &gt; 0))</f>
        <v>1054.7018475767027</v>
      </c>
      <c r="O1203" s="34"/>
      <c r="P1203" s="34"/>
      <c r="Q1203" s="34"/>
      <c r="R1203" s="34"/>
      <c r="S1203" s="34"/>
      <c r="T1203" s="34"/>
      <c r="U1203" s="34"/>
      <c r="V1203" s="34"/>
      <c r="W1203" s="34"/>
      <c r="X1203" s="34"/>
      <c r="Y1203" s="34"/>
      <c r="Z1203" s="34"/>
      <c r="AA1203" s="34"/>
      <c r="AB1203" s="34"/>
      <c r="AC1203" s="34"/>
      <c r="AD1203" s="34"/>
      <c r="AE1203" s="34"/>
      <c r="AF1203" s="34"/>
      <c r="AG1203" s="34"/>
      <c r="AH1203" s="34"/>
      <c r="AI1203" s="34"/>
      <c r="AJ1203" s="34"/>
      <c r="AK1203" s="34"/>
      <c r="AL1203" s="408"/>
      <c r="AM1203" s="408"/>
      <c r="AN1203" s="408"/>
      <c r="AO1203" s="408"/>
      <c r="AP1203" s="408"/>
      <c r="AQ1203" s="408"/>
      <c r="AR1203" s="408"/>
      <c r="AS1203" s="408"/>
    </row>
    <row r="1204" spans="1:45" ht="15" customHeight="1" x14ac:dyDescent="0.3">
      <c r="A1204" s="394"/>
      <c r="B1204" s="394"/>
      <c r="C1204" s="395"/>
      <c r="D1204" s="34"/>
      <c r="E1204" s="34" t="str">
        <f t="shared" si="951"/>
        <v>Net debt cashflows: 3rd party lenders</v>
      </c>
      <c r="F1204" s="34"/>
      <c r="G1204" s="34" t="str">
        <f t="shared" si="954"/>
        <v>$ mn</v>
      </c>
      <c r="H1204" s="230"/>
      <c r="I1204" s="34"/>
      <c r="J1204" s="386"/>
      <c r="K1204" s="34">
        <f t="shared" si="953"/>
        <v>39.11193999999999</v>
      </c>
      <c r="L1204" s="34" cm="1">
        <f t="array" ref="L1204" xml:space="preserve"> SUMPRODUCT(P1134:AS1134,--(P$1143:AS$1143 &gt; 0))</f>
        <v>39.11193999999999</v>
      </c>
      <c r="M1204" s="34" cm="1">
        <f t="array" ref="M1204" xml:space="preserve"> SUMPRODUCT(P1134:AS1134,--(P$1144:AS$1144 &gt; 0))</f>
        <v>39.11193999999999</v>
      </c>
      <c r="N1204" s="34" cm="1">
        <f t="array" ref="N1204" xml:space="preserve"> SUMPRODUCT(P1134:AS1134,--(P$1145:AS$1145 &gt; 0))</f>
        <v>31.682100000000002</v>
      </c>
      <c r="O1204" s="34"/>
      <c r="P1204" s="34"/>
      <c r="Q1204" s="34"/>
      <c r="R1204" s="34"/>
      <c r="S1204" s="34"/>
      <c r="T1204" s="34"/>
      <c r="U1204" s="34"/>
      <c r="V1204" s="34"/>
      <c r="W1204" s="34"/>
      <c r="X1204" s="34"/>
      <c r="Y1204" s="34"/>
      <c r="Z1204" s="34"/>
      <c r="AA1204" s="34"/>
      <c r="AB1204" s="34"/>
      <c r="AC1204" s="34"/>
      <c r="AD1204" s="34"/>
      <c r="AE1204" s="34"/>
      <c r="AF1204" s="34"/>
      <c r="AG1204" s="34"/>
      <c r="AH1204" s="34"/>
      <c r="AI1204" s="34"/>
      <c r="AJ1204" s="34"/>
      <c r="AK1204" s="34"/>
      <c r="AL1204" s="408"/>
      <c r="AM1204" s="408"/>
      <c r="AN1204" s="408"/>
      <c r="AO1204" s="408"/>
      <c r="AP1204" s="408"/>
      <c r="AQ1204" s="408"/>
      <c r="AR1204" s="408"/>
      <c r="AS1204" s="408"/>
    </row>
    <row r="1205" spans="1:45" ht="15" customHeight="1" x14ac:dyDescent="0.3">
      <c r="A1205" s="394"/>
      <c r="B1205" s="394"/>
      <c r="C1205" s="395"/>
      <c r="D1205" s="34"/>
      <c r="E1205" s="34" t="str">
        <f t="shared" si="951"/>
        <v>Additional govt revenues incl. in project costs</v>
      </c>
      <c r="F1205" s="34"/>
      <c r="G1205" s="34" t="str">
        <f t="shared" si="954"/>
        <v>$ mn</v>
      </c>
      <c r="H1205" s="230"/>
      <c r="I1205" s="34"/>
      <c r="J1205" s="386"/>
      <c r="K1205" s="34">
        <f t="shared" si="953"/>
        <v>749.86395009780472</v>
      </c>
      <c r="L1205" s="34" cm="1">
        <f t="array" ref="L1205" xml:space="preserve"> SUMPRODUCT(P1135:AS1135,--(P$1143:AS$1143 &gt; 0))</f>
        <v>749.86395009780472</v>
      </c>
      <c r="M1205" s="34" cm="1">
        <f t="array" ref="M1205" xml:space="preserve"> SUMPRODUCT(P1135:AS1135,--(P$1144:AS$1144 &gt; 0))</f>
        <v>749.86395009780472</v>
      </c>
      <c r="N1205" s="34" cm="1">
        <f t="array" ref="N1205" xml:space="preserve"> SUMPRODUCT(P1135:AS1135,--(P$1145:AS$1145 &gt; 0))</f>
        <v>395.04832594324182</v>
      </c>
      <c r="O1205" s="70"/>
      <c r="P1205" s="34"/>
      <c r="Q1205" s="34"/>
      <c r="R1205" s="34"/>
      <c r="S1205" s="34"/>
      <c r="T1205" s="34"/>
      <c r="U1205" s="34"/>
      <c r="V1205" s="34"/>
      <c r="W1205" s="34"/>
      <c r="X1205" s="34"/>
      <c r="Y1205" s="34"/>
      <c r="Z1205" s="34"/>
      <c r="AA1205" s="34"/>
      <c r="AB1205" s="34"/>
      <c r="AC1205" s="34"/>
      <c r="AD1205" s="34"/>
      <c r="AE1205" s="34"/>
      <c r="AF1205" s="34"/>
      <c r="AG1205" s="34"/>
      <c r="AH1205" s="34"/>
      <c r="AI1205" s="34"/>
      <c r="AJ1205" s="34"/>
      <c r="AK1205" s="34"/>
      <c r="AL1205" s="408"/>
      <c r="AM1205" s="408"/>
      <c r="AN1205" s="408"/>
      <c r="AO1205" s="408"/>
      <c r="AP1205" s="408"/>
      <c r="AQ1205" s="408"/>
      <c r="AR1205" s="408"/>
      <c r="AS1205" s="408"/>
    </row>
    <row r="1206" spans="1:45" ht="15" customHeight="1" x14ac:dyDescent="0.3">
      <c r="A1206" s="394"/>
      <c r="B1206" s="394"/>
      <c r="C1206" s="395"/>
      <c r="D1206" s="34"/>
      <c r="E1206" s="408" t="s">
        <v>871</v>
      </c>
      <c r="F1206" s="853">
        <f xml:space="preserve"> SUM(L1206:O1206)</f>
        <v>0</v>
      </c>
      <c r="G1206" s="487" t="s">
        <v>509</v>
      </c>
      <c r="H1206" s="487"/>
      <c r="I1206" s="487"/>
      <c r="J1206" s="487"/>
      <c r="K1206" s="853">
        <f xml:space="preserve"> IF( ABS(K1199 - K1200 - K1201 - K1203 - K1204 + K1205) &gt; CHK_TOL, 1, 0)</f>
        <v>0</v>
      </c>
      <c r="L1206" s="853">
        <f xml:space="preserve"> IF( ABS(L1199 - L1200 - L1201 - L1203 - L1204 + L1205) &gt; CHK_TOL, 1, 0)</f>
        <v>0</v>
      </c>
      <c r="M1206" s="853">
        <f xml:space="preserve"> IF( ABS(M1199 - M1200 - M1201 - M1203 - M1204 + M1205) &gt; CHK_TOL, 1, 0)</f>
        <v>0</v>
      </c>
      <c r="N1206" s="853">
        <f xml:space="preserve"> IF( ABS(N1199 - N1200 - N1201 - N1203 - N1204 + N1205) &gt; CHK_TOL, 1, 0)</f>
        <v>0</v>
      </c>
      <c r="O1206" s="70"/>
      <c r="P1206" s="34"/>
      <c r="Q1206" s="34"/>
      <c r="R1206" s="34"/>
      <c r="S1206" s="34"/>
      <c r="T1206" s="34"/>
      <c r="U1206" s="34"/>
      <c r="V1206" s="34"/>
      <c r="W1206" s="34"/>
      <c r="X1206" s="34"/>
      <c r="Y1206" s="34"/>
      <c r="Z1206" s="34"/>
      <c r="AA1206" s="34"/>
      <c r="AB1206" s="34"/>
      <c r="AC1206" s="34"/>
      <c r="AD1206" s="34"/>
      <c r="AE1206" s="34"/>
      <c r="AF1206" s="34"/>
      <c r="AG1206" s="34"/>
      <c r="AH1206" s="34"/>
      <c r="AI1206" s="34"/>
      <c r="AJ1206" s="34"/>
      <c r="AK1206" s="34"/>
      <c r="AL1206" s="408"/>
      <c r="AM1206" s="408"/>
      <c r="AN1206" s="408"/>
      <c r="AO1206" s="408"/>
      <c r="AP1206" s="408"/>
      <c r="AQ1206" s="408"/>
      <c r="AR1206" s="408"/>
      <c r="AS1206" s="408"/>
    </row>
    <row r="1207" spans="1:45" ht="4.5" customHeight="1" x14ac:dyDescent="0.3">
      <c r="A1207"/>
      <c r="B1207"/>
      <c r="C1207"/>
      <c r="D1207"/>
      <c r="E1207"/>
      <c r="F1207"/>
      <c r="G1207"/>
      <c r="H1207"/>
      <c r="I1207"/>
      <c r="J1207"/>
      <c r="K1207"/>
      <c r="L1207"/>
      <c r="M1207"/>
      <c r="N1207"/>
      <c r="O1207"/>
      <c r="P1207"/>
      <c r="Q1207"/>
      <c r="R1207"/>
      <c r="S1207"/>
      <c r="T1207"/>
      <c r="U1207"/>
      <c r="V1207"/>
      <c r="W1207"/>
      <c r="X1207"/>
      <c r="Y1207"/>
      <c r="Z1207"/>
      <c r="AA1207"/>
      <c r="AB1207"/>
      <c r="AC1207"/>
      <c r="AD1207"/>
      <c r="AE1207"/>
      <c r="AF1207"/>
      <c r="AG1207"/>
      <c r="AH1207"/>
      <c r="AI1207"/>
      <c r="AJ1207"/>
      <c r="AK1207"/>
      <c r="AL1207"/>
      <c r="AM1207"/>
      <c r="AN1207"/>
    </row>
    <row r="1208" spans="1:45" ht="15" customHeight="1" x14ac:dyDescent="0.3">
      <c r="A1208" s="70"/>
      <c r="B1208" s="70"/>
      <c r="C1208" s="70"/>
      <c r="D1208" s="70"/>
      <c r="E1208" s="408" t="s">
        <v>1038</v>
      </c>
      <c r="F1208" s="70"/>
      <c r="G1208" s="487" t="s">
        <v>1039</v>
      </c>
      <c r="H1208" s="70"/>
      <c r="I1208" s="70"/>
      <c r="J1208" s="70"/>
      <c r="K1208" s="70"/>
      <c r="L1208" s="1095">
        <f t="shared" ref="L1208:M1208" si="955">(L1191 - L1185 - L1186 - L1189) / L1199</f>
        <v>0.42809648052932009</v>
      </c>
      <c r="M1208" s="1095">
        <f t="shared" si="955"/>
        <v>0.42809648052932009</v>
      </c>
      <c r="N1208" s="1095">
        <f>(N1191 - N1185 - N1186 - N1189) / N1199</f>
        <v>0.39173219126720249</v>
      </c>
      <c r="O1208" s="70"/>
      <c r="P1208" s="70"/>
      <c r="Q1208" s="70"/>
      <c r="R1208" s="70"/>
      <c r="S1208" s="70"/>
      <c r="T1208" s="70"/>
      <c r="U1208" s="70"/>
      <c r="V1208" s="70"/>
      <c r="W1208" s="70"/>
      <c r="X1208" s="70"/>
      <c r="Y1208" s="70"/>
      <c r="Z1208" s="70"/>
      <c r="AA1208" s="70"/>
      <c r="AB1208" s="70"/>
      <c r="AC1208" s="70"/>
      <c r="AD1208" s="70"/>
      <c r="AE1208" s="70"/>
      <c r="AF1208" s="70"/>
      <c r="AG1208" s="70"/>
      <c r="AH1208" s="70"/>
      <c r="AI1208" s="70"/>
      <c r="AJ1208" s="70"/>
      <c r="AK1208" s="70"/>
      <c r="AL1208" s="70"/>
      <c r="AM1208" s="70"/>
      <c r="AN1208" s="70"/>
      <c r="AO1208" s="70"/>
      <c r="AP1208" s="70"/>
      <c r="AQ1208" s="70"/>
      <c r="AR1208" s="70"/>
      <c r="AS1208" s="70"/>
    </row>
    <row r="1209" spans="1:45" ht="15" customHeight="1" x14ac:dyDescent="0.3">
      <c r="A1209" s="394"/>
      <c r="B1209" s="394"/>
      <c r="C1209" s="395"/>
      <c r="D1209" s="34"/>
      <c r="E1209" s="408" t="s">
        <v>585</v>
      </c>
      <c r="F1209" s="34"/>
      <c r="G1209" s="487" t="s">
        <v>1039</v>
      </c>
      <c r="H1209" s="230"/>
      <c r="I1209" s="34"/>
      <c r="J1209" s="386"/>
      <c r="K1209" s="869">
        <f xml:space="preserve"> K1200 / K1199</f>
        <v>0.57516593079586731</v>
      </c>
      <c r="L1209" s="869">
        <f t="shared" ref="L1209:N1209" si="956" xml:space="preserve"> L1200 / L1199</f>
        <v>0.57516593079586731</v>
      </c>
      <c r="M1209" s="869">
        <f t="shared" si="956"/>
        <v>0.57516593079586731</v>
      </c>
      <c r="N1209" s="869">
        <f t="shared" si="956"/>
        <v>0.53617646628647508</v>
      </c>
      <c r="O1209" s="34"/>
      <c r="P1209" s="34"/>
      <c r="Q1209" s="34"/>
      <c r="R1209" s="34"/>
      <c r="S1209" s="34"/>
      <c r="T1209" s="34"/>
      <c r="U1209" s="34"/>
      <c r="V1209" s="34"/>
      <c r="W1209" s="34"/>
      <c r="X1209" s="34"/>
      <c r="Y1209" s="34"/>
      <c r="Z1209" s="34"/>
      <c r="AA1209" s="34"/>
      <c r="AB1209" s="34"/>
      <c r="AC1209" s="34"/>
      <c r="AD1209" s="34"/>
      <c r="AE1209" s="34"/>
      <c r="AF1209" s="34"/>
      <c r="AG1209" s="34"/>
      <c r="AH1209" s="34"/>
      <c r="AI1209" s="34"/>
      <c r="AJ1209" s="34"/>
      <c r="AK1209" s="34"/>
      <c r="AL1209" s="408"/>
      <c r="AM1209" s="408"/>
      <c r="AN1209" s="408"/>
      <c r="AO1209" s="408"/>
      <c r="AP1209" s="408"/>
      <c r="AQ1209" s="408"/>
      <c r="AR1209" s="408"/>
      <c r="AS1209" s="408"/>
    </row>
    <row r="1210" spans="1:45" ht="15" customHeight="1" x14ac:dyDescent="0.3">
      <c r="A1210" s="394"/>
      <c r="B1210" s="394"/>
      <c r="C1210" s="395"/>
      <c r="D1210" s="34"/>
      <c r="E1210" s="408" t="s">
        <v>586</v>
      </c>
      <c r="F1210" s="34"/>
      <c r="G1210" s="487" t="s">
        <v>1039</v>
      </c>
      <c r="H1210" s="230"/>
      <c r="I1210" s="34"/>
      <c r="J1210" s="386"/>
      <c r="K1210" s="869">
        <f>(K1200 + K1201) /K1199</f>
        <v>0.76687577732020973</v>
      </c>
      <c r="L1210" s="869">
        <f>(L1200 + L1201) /L1199</f>
        <v>0.76687577732020973</v>
      </c>
      <c r="M1210" s="869">
        <f t="shared" ref="M1210:N1210" si="957">(M1200 + M1201) /M1199</f>
        <v>0.76687577732020973</v>
      </c>
      <c r="N1210" s="869">
        <f t="shared" si="957"/>
        <v>0.74722213434669627</v>
      </c>
      <c r="O1210" s="34"/>
      <c r="P1210" s="34"/>
      <c r="Q1210" s="34"/>
      <c r="R1210" s="34"/>
      <c r="S1210" s="34"/>
      <c r="T1210" s="34"/>
      <c r="U1210" s="34"/>
      <c r="V1210" s="34"/>
      <c r="W1210" s="34"/>
      <c r="X1210" s="34"/>
      <c r="Y1210" s="34"/>
      <c r="Z1210" s="34"/>
      <c r="AA1210" s="34"/>
      <c r="AB1210" s="34"/>
      <c r="AC1210" s="34"/>
      <c r="AD1210" s="34"/>
      <c r="AE1210" s="34"/>
      <c r="AF1210" s="34"/>
      <c r="AG1210" s="34"/>
      <c r="AH1210" s="34"/>
      <c r="AI1210" s="34"/>
      <c r="AJ1210" s="34"/>
      <c r="AK1210" s="34"/>
      <c r="AL1210" s="408"/>
      <c r="AM1210" s="408"/>
      <c r="AN1210" s="408"/>
      <c r="AO1210" s="408"/>
      <c r="AP1210" s="408"/>
      <c r="AQ1210" s="408"/>
      <c r="AR1210" s="408"/>
      <c r="AS1210" s="408"/>
    </row>
    <row r="1211" spans="1:45" ht="5.25" customHeight="1" x14ac:dyDescent="0.3">
      <c r="A1211"/>
      <c r="B1211"/>
      <c r="C1211"/>
      <c r="D1211"/>
      <c r="E1211"/>
      <c r="F1211"/>
      <c r="G1211"/>
      <c r="H1211"/>
      <c r="I1211"/>
      <c r="J1211"/>
      <c r="K1211"/>
      <c r="L1211"/>
      <c r="M1211"/>
      <c r="N1211"/>
      <c r="O1211"/>
      <c r="P1211"/>
      <c r="Q1211"/>
      <c r="R1211"/>
      <c r="S1211"/>
      <c r="T1211"/>
      <c r="U1211"/>
      <c r="V1211"/>
      <c r="W1211"/>
      <c r="X1211"/>
      <c r="Y1211"/>
      <c r="Z1211"/>
      <c r="AA1211"/>
      <c r="AB1211"/>
      <c r="AC1211"/>
      <c r="AD1211"/>
      <c r="AE1211"/>
      <c r="AF1211"/>
      <c r="AG1211"/>
      <c r="AH1211"/>
      <c r="AI1211"/>
      <c r="AJ1211"/>
      <c r="AK1211"/>
      <c r="AL1211"/>
      <c r="AM1211"/>
      <c r="AN1211"/>
    </row>
    <row r="1212" spans="1:45" ht="15" customHeight="1" x14ac:dyDescent="0.3">
      <c r="A1212" s="394"/>
      <c r="B1212" s="394"/>
      <c r="C1212" s="395"/>
      <c r="D1212" s="34"/>
      <c r="E1212" s="34" t="str">
        <f t="shared" ref="E1212:E1218" si="958">E1129</f>
        <v>Project cashflow before tax</v>
      </c>
      <c r="F1212" s="34"/>
      <c r="G1212" s="34" t="str">
        <f t="shared" ref="G1212:G1218" si="959">$F$1151</f>
        <v>$ mn NPV10</v>
      </c>
      <c r="H1212" s="230"/>
      <c r="I1212" s="34"/>
      <c r="J1212" s="386"/>
      <c r="K1212" s="605"/>
      <c r="L1212" s="34">
        <f t="shared" ref="L1212:L1218" si="960" xml:space="preserve"> SUMPRODUCT(P1129:AS1129, P$1148:AS$1148)</f>
        <v>1638.8912487388011</v>
      </c>
      <c r="M1212" s="34">
        <f t="shared" ref="M1212:M1218" si="961" xml:space="preserve"> SUMPRODUCT(P1129:AS1129, P$1149:AS$1149)</f>
        <v>2181.3642520713447</v>
      </c>
      <c r="N1212" s="34">
        <f t="shared" ref="N1212:N1218" si="962" xml:space="preserve"> SUMPRODUCT(P1129:AS1129, P$1150:AS$1150)</f>
        <v>2041.8331640161687</v>
      </c>
      <c r="O1212" s="34"/>
      <c r="P1212" s="34"/>
      <c r="Q1212" s="34"/>
      <c r="R1212" s="34"/>
      <c r="S1212" s="34"/>
      <c r="T1212" s="34"/>
      <c r="U1212" s="34"/>
      <c r="V1212" s="34"/>
      <c r="W1212" s="34"/>
      <c r="X1212" s="34"/>
      <c r="Y1212" s="34"/>
      <c r="Z1212" s="34"/>
      <c r="AA1212" s="34"/>
      <c r="AB1212" s="34"/>
      <c r="AC1212" s="34"/>
      <c r="AD1212" s="34"/>
      <c r="AE1212" s="34"/>
      <c r="AF1212" s="34"/>
      <c r="AG1212" s="34"/>
      <c r="AH1212" s="34"/>
      <c r="AI1212" s="34"/>
      <c r="AJ1212" s="34"/>
      <c r="AK1212" s="34"/>
      <c r="AL1212" s="408"/>
      <c r="AM1212" s="408"/>
      <c r="AN1212" s="408"/>
      <c r="AO1212" s="408"/>
      <c r="AP1212" s="408"/>
      <c r="AQ1212" s="408"/>
      <c r="AR1212" s="408"/>
      <c r="AS1212" s="408"/>
    </row>
    <row r="1213" spans="1:45" ht="15" customHeight="1" x14ac:dyDescent="0.3">
      <c r="A1213" s="394"/>
      <c r="B1213" s="394"/>
      <c r="C1213" s="395"/>
      <c r="D1213" s="34"/>
      <c r="E1213" s="34" t="str">
        <f t="shared" si="958"/>
        <v>Government revenues excl Gecamines participation</v>
      </c>
      <c r="F1213" s="34"/>
      <c r="G1213" s="34" t="str">
        <f t="shared" si="959"/>
        <v>$ mn NPV10</v>
      </c>
      <c r="H1213" s="230"/>
      <c r="I1213" s="34"/>
      <c r="J1213" s="386"/>
      <c r="K1213" s="605"/>
      <c r="L1213" s="34">
        <f t="shared" si="960"/>
        <v>1001.1930173426289</v>
      </c>
      <c r="M1213" s="34">
        <f t="shared" si="961"/>
        <v>1332.5879060830393</v>
      </c>
      <c r="N1213" s="34">
        <f t="shared" si="962"/>
        <v>1069.6506774714783</v>
      </c>
      <c r="O1213" s="34"/>
      <c r="P1213" s="34"/>
      <c r="Q1213" s="34"/>
      <c r="R1213" s="34"/>
      <c r="S1213" s="34"/>
      <c r="T1213" s="34"/>
      <c r="U1213" s="34"/>
      <c r="V1213" s="34"/>
      <c r="W1213" s="34"/>
      <c r="X1213" s="34"/>
      <c r="Y1213" s="34"/>
      <c r="Z1213" s="34"/>
      <c r="AA1213" s="34"/>
      <c r="AB1213" s="34"/>
      <c r="AC1213" s="34"/>
      <c r="AD1213" s="34"/>
      <c r="AE1213" s="34"/>
      <c r="AF1213" s="34"/>
      <c r="AG1213" s="34"/>
      <c r="AH1213" s="34"/>
      <c r="AI1213" s="34"/>
      <c r="AJ1213" s="34"/>
      <c r="AK1213" s="34"/>
      <c r="AL1213" s="408"/>
      <c r="AM1213" s="408"/>
      <c r="AN1213" s="408"/>
      <c r="AO1213" s="408"/>
      <c r="AP1213" s="408"/>
      <c r="AQ1213" s="408"/>
      <c r="AR1213" s="408"/>
      <c r="AS1213" s="408"/>
    </row>
    <row r="1214" spans="1:45" ht="15" customHeight="1" x14ac:dyDescent="0.3">
      <c r="A1214" s="394"/>
      <c r="B1214" s="394"/>
      <c r="C1214" s="395"/>
      <c r="D1214" s="34"/>
      <c r="E1214" s="34" t="str">
        <f t="shared" si="958"/>
        <v>Gecamines share of cashflows after repaying loan</v>
      </c>
      <c r="F1214" s="34"/>
      <c r="G1214" s="34" t="str">
        <f t="shared" si="959"/>
        <v>$ mn NPV10</v>
      </c>
      <c r="H1214" s="230"/>
      <c r="I1214" s="34"/>
      <c r="J1214" s="386"/>
      <c r="K1214" s="605"/>
      <c r="L1214" s="34">
        <f t="shared" si="960"/>
        <v>318.61298940037295</v>
      </c>
      <c r="M1214" s="34">
        <f t="shared" si="961"/>
        <v>424.07388889189644</v>
      </c>
      <c r="N1214" s="34">
        <f t="shared" si="962"/>
        <v>432.53988238025715</v>
      </c>
      <c r="O1214" s="34"/>
      <c r="P1214" s="34"/>
      <c r="Q1214" s="34"/>
      <c r="R1214" s="34"/>
      <c r="S1214" s="34"/>
      <c r="T1214" s="34"/>
      <c r="U1214" s="34"/>
      <c r="V1214" s="34"/>
      <c r="W1214" s="34"/>
      <c r="X1214" s="34"/>
      <c r="Y1214" s="34"/>
      <c r="Z1214" s="34"/>
      <c r="AA1214" s="34"/>
      <c r="AB1214" s="34"/>
      <c r="AC1214" s="34"/>
      <c r="AD1214" s="34"/>
      <c r="AE1214" s="34"/>
      <c r="AF1214" s="34"/>
      <c r="AG1214" s="34"/>
      <c r="AH1214" s="34"/>
      <c r="AI1214" s="34"/>
      <c r="AJ1214" s="34"/>
      <c r="AK1214" s="34"/>
      <c r="AL1214" s="408"/>
      <c r="AM1214" s="408"/>
      <c r="AN1214" s="408"/>
      <c r="AO1214" s="408"/>
      <c r="AP1214" s="408"/>
      <c r="AQ1214" s="408"/>
      <c r="AR1214" s="408"/>
      <c r="AS1214" s="408"/>
    </row>
    <row r="1215" spans="1:45" ht="15" customHeight="1" x14ac:dyDescent="0.3">
      <c r="A1215" s="394"/>
      <c r="B1215" s="394"/>
      <c r="C1215" s="395"/>
      <c r="D1215" s="34"/>
      <c r="E1215" s="34" t="str">
        <f t="shared" si="958"/>
        <v>Government revenues incl Gecamines</v>
      </c>
      <c r="F1215" s="34"/>
      <c r="G1215" s="34" t="str">
        <f t="shared" si="959"/>
        <v>$ mn NPV10</v>
      </c>
      <c r="H1215" s="230"/>
      <c r="I1215" s="34"/>
      <c r="J1215" s="386"/>
      <c r="K1215" s="605"/>
      <c r="L1215" s="34">
        <f t="shared" si="960"/>
        <v>1319.8060067430019</v>
      </c>
      <c r="M1215" s="34">
        <f t="shared" si="961"/>
        <v>1756.6617949749361</v>
      </c>
      <c r="N1215" s="34">
        <f t="shared" si="962"/>
        <v>1502.1905598517353</v>
      </c>
      <c r="O1215" s="34"/>
      <c r="P1215" s="34"/>
      <c r="Q1215" s="34"/>
      <c r="R1215" s="34"/>
      <c r="S1215" s="34"/>
      <c r="T1215" s="34"/>
      <c r="U1215" s="34"/>
      <c r="V1215" s="34"/>
      <c r="W1215" s="34"/>
      <c r="X1215" s="34"/>
      <c r="Y1215" s="34"/>
      <c r="Z1215" s="34"/>
      <c r="AA1215" s="34"/>
      <c r="AB1215" s="34"/>
      <c r="AC1215" s="34"/>
      <c r="AD1215" s="34"/>
      <c r="AE1215" s="34"/>
      <c r="AF1215" s="34"/>
      <c r="AG1215" s="34"/>
      <c r="AH1215" s="34"/>
      <c r="AI1215" s="34"/>
      <c r="AJ1215" s="34"/>
      <c r="AK1215" s="34"/>
      <c r="AL1215" s="408"/>
      <c r="AM1215" s="408"/>
      <c r="AN1215" s="408"/>
      <c r="AO1215" s="408"/>
      <c r="AP1215" s="408"/>
      <c r="AQ1215" s="408"/>
      <c r="AR1215" s="408"/>
      <c r="AS1215" s="408"/>
    </row>
    <row r="1216" spans="1:45" ht="15" customHeight="1" x14ac:dyDescent="0.3">
      <c r="A1216" s="394"/>
      <c r="B1216" s="394"/>
      <c r="C1216" s="395"/>
      <c r="D1216" s="34"/>
      <c r="E1216" s="34" t="str">
        <f t="shared" si="958"/>
        <v>Zijin final cashflows</v>
      </c>
      <c r="F1216" s="34"/>
      <c r="G1216" s="34" t="str">
        <f t="shared" si="959"/>
        <v>$ mn NPV10</v>
      </c>
      <c r="H1216" s="230"/>
      <c r="I1216" s="34"/>
      <c r="J1216" s="386"/>
      <c r="K1216" s="605"/>
      <c r="L1216" s="34">
        <f t="shared" si="960"/>
        <v>641.64750977709946</v>
      </c>
      <c r="M1216" s="34">
        <f t="shared" si="961"/>
        <v>854.03283551331958</v>
      </c>
      <c r="N1216" s="34">
        <f t="shared" si="962"/>
        <v>790.3683305311971</v>
      </c>
      <c r="O1216" s="34"/>
      <c r="P1216" s="34"/>
      <c r="Q1216" s="34"/>
      <c r="R1216" s="34"/>
      <c r="S1216" s="34"/>
      <c r="T1216" s="34"/>
      <c r="U1216" s="34"/>
      <c r="V1216" s="34"/>
      <c r="W1216" s="34"/>
      <c r="X1216" s="34"/>
      <c r="Y1216" s="34"/>
      <c r="Z1216" s="34"/>
      <c r="AA1216" s="34"/>
      <c r="AB1216" s="34"/>
      <c r="AC1216" s="34"/>
      <c r="AD1216" s="34"/>
      <c r="AE1216" s="34"/>
      <c r="AF1216" s="34"/>
      <c r="AG1216" s="34"/>
      <c r="AH1216" s="34"/>
      <c r="AI1216" s="34"/>
      <c r="AJ1216" s="34"/>
      <c r="AK1216" s="34"/>
      <c r="AL1216" s="408"/>
      <c r="AM1216" s="408"/>
      <c r="AN1216" s="408"/>
      <c r="AO1216" s="408"/>
      <c r="AP1216" s="408"/>
      <c r="AQ1216" s="408"/>
      <c r="AR1216" s="408"/>
      <c r="AS1216" s="408"/>
    </row>
    <row r="1217" spans="1:45" ht="15" customHeight="1" x14ac:dyDescent="0.3">
      <c r="A1217" s="394"/>
      <c r="B1217" s="394"/>
      <c r="C1217" s="395"/>
      <c r="D1217" s="34"/>
      <c r="E1217" s="34" t="str">
        <f t="shared" si="958"/>
        <v>Net debt cashflows: 3rd party lenders</v>
      </c>
      <c r="F1217" s="34"/>
      <c r="G1217" s="34" t="str">
        <f t="shared" si="959"/>
        <v>$ mn NPV10</v>
      </c>
      <c r="H1217" s="230"/>
      <c r="I1217" s="34"/>
      <c r="J1217" s="386"/>
      <c r="K1217" s="605"/>
      <c r="L1217" s="34">
        <f t="shared" si="960"/>
        <v>-49.591219295146573</v>
      </c>
      <c r="M1217" s="34">
        <f t="shared" si="961"/>
        <v>-66.005912881840075</v>
      </c>
      <c r="N1217" s="34">
        <f t="shared" si="962"/>
        <v>28.858920252149243</v>
      </c>
      <c r="O1217" s="34"/>
      <c r="P1217" s="34"/>
      <c r="Q1217" s="34"/>
      <c r="R1217" s="34"/>
      <c r="S1217" s="34"/>
      <c r="T1217" s="34"/>
      <c r="U1217" s="34"/>
      <c r="V1217" s="34"/>
      <c r="W1217" s="34"/>
      <c r="X1217" s="34"/>
      <c r="Y1217" s="34"/>
      <c r="Z1217" s="34"/>
      <c r="AA1217" s="34"/>
      <c r="AB1217" s="34"/>
      <c r="AC1217" s="34"/>
      <c r="AD1217" s="34"/>
      <c r="AE1217" s="34"/>
      <c r="AF1217" s="34"/>
      <c r="AG1217" s="34"/>
      <c r="AH1217" s="34"/>
      <c r="AI1217" s="34"/>
      <c r="AJ1217" s="34"/>
      <c r="AK1217" s="34"/>
      <c r="AL1217" s="408"/>
      <c r="AM1217" s="408"/>
      <c r="AN1217" s="408"/>
      <c r="AO1217" s="408"/>
      <c r="AP1217" s="408"/>
      <c r="AQ1217" s="408"/>
      <c r="AR1217" s="408"/>
      <c r="AS1217" s="408"/>
    </row>
    <row r="1218" spans="1:45" ht="15" customHeight="1" x14ac:dyDescent="0.3">
      <c r="A1218" s="394"/>
      <c r="B1218" s="394"/>
      <c r="C1218" s="395"/>
      <c r="D1218" s="34"/>
      <c r="E1218" s="34" t="str">
        <f t="shared" si="958"/>
        <v>Additional govt revenues incl. in project costs</v>
      </c>
      <c r="F1218" s="34"/>
      <c r="G1218" s="34" t="str">
        <f t="shared" si="959"/>
        <v>$ mn NPV10</v>
      </c>
      <c r="H1218" s="230"/>
      <c r="I1218" s="34"/>
      <c r="J1218" s="386"/>
      <c r="K1218" s="605"/>
      <c r="L1218" s="34">
        <f t="shared" si="960"/>
        <v>272.9710484861539</v>
      </c>
      <c r="M1218" s="34">
        <f t="shared" si="961"/>
        <v>363.32446553507094</v>
      </c>
      <c r="N1218" s="34">
        <f t="shared" si="962"/>
        <v>279.58464661891321</v>
      </c>
      <c r="O1218" s="34"/>
      <c r="P1218" s="34"/>
      <c r="Q1218" s="34"/>
      <c r="R1218" s="34"/>
      <c r="S1218" s="34"/>
      <c r="T1218" s="34"/>
      <c r="U1218" s="34"/>
      <c r="V1218" s="34"/>
      <c r="W1218" s="34"/>
      <c r="X1218" s="34"/>
      <c r="Y1218" s="34"/>
      <c r="Z1218" s="34"/>
      <c r="AA1218" s="34"/>
      <c r="AB1218" s="34"/>
      <c r="AC1218" s="34"/>
      <c r="AD1218" s="34"/>
      <c r="AE1218" s="34"/>
      <c r="AF1218" s="34"/>
      <c r="AG1218" s="34"/>
      <c r="AH1218" s="34"/>
      <c r="AI1218" s="34"/>
      <c r="AJ1218" s="34"/>
      <c r="AK1218" s="34"/>
      <c r="AL1218" s="408"/>
      <c r="AM1218" s="408"/>
      <c r="AN1218" s="408"/>
      <c r="AO1218" s="408"/>
      <c r="AP1218" s="408"/>
      <c r="AQ1218" s="408"/>
      <c r="AR1218" s="408"/>
      <c r="AS1218" s="408"/>
    </row>
    <row r="1219" spans="1:45" ht="15" customHeight="1" x14ac:dyDescent="0.3">
      <c r="E1219" s="339" t="s">
        <v>872</v>
      </c>
      <c r="F1219" s="442">
        <f xml:space="preserve"> SUM(L1219:O1219)</f>
        <v>0</v>
      </c>
      <c r="G1219" s="482" t="s">
        <v>509</v>
      </c>
      <c r="H1219" s="482"/>
      <c r="I1219" s="482"/>
      <c r="J1219" s="482"/>
      <c r="K1219" s="484"/>
      <c r="L1219" s="442">
        <f xml:space="preserve"> IF( ABS(L1212 - L1213 - L1214 - L1216 - L1217 + L1218) &gt; CHK_TOL, 1, 0)</f>
        <v>0</v>
      </c>
      <c r="M1219" s="442">
        <f xml:space="preserve"> IF( ABS(M1212 - M1213 - M1214 - M1216 - M1217 + M1218) &gt; CHK_TOL, 1, 0)</f>
        <v>0</v>
      </c>
      <c r="N1219" s="442">
        <f xml:space="preserve"> IF( ABS(N1212 - N1213 - N1214 - N1216 - N1217 + N1218) &gt; CHK_TOL, 1, 0)</f>
        <v>0</v>
      </c>
      <c r="O1219"/>
      <c r="AO1219" s="88"/>
      <c r="AP1219" s="88"/>
      <c r="AQ1219" s="88"/>
      <c r="AR1219" s="88"/>
      <c r="AS1219" s="88"/>
    </row>
    <row r="1220" spans="1:45" ht="7.5" customHeight="1" x14ac:dyDescent="0.3">
      <c r="K1220"/>
      <c r="AO1220" s="88"/>
      <c r="AP1220" s="88"/>
      <c r="AQ1220" s="88"/>
      <c r="AR1220" s="88"/>
      <c r="AS1220" s="88"/>
    </row>
    <row r="1221" spans="1:45" ht="15" customHeight="1" x14ac:dyDescent="0.3">
      <c r="A1221" s="394"/>
      <c r="B1221" s="394"/>
      <c r="C1221" s="395"/>
      <c r="D1221" s="34"/>
      <c r="E1221" s="408" t="s">
        <v>585</v>
      </c>
      <c r="F1221" s="487"/>
      <c r="G1221" s="487" t="s">
        <v>873</v>
      </c>
      <c r="H1221" s="230"/>
      <c r="I1221" s="34"/>
      <c r="J1221" s="386"/>
      <c r="K1221" s="605"/>
      <c r="L1221" s="869">
        <f xml:space="preserve"> L1213 / L1212</f>
        <v>0.61089655467566317</v>
      </c>
      <c r="M1221" s="869">
        <f t="shared" ref="M1221:N1221" si="963" xml:space="preserve"> M1213 / M1212</f>
        <v>0.61089655467566317</v>
      </c>
      <c r="N1221" s="869">
        <f t="shared" si="963"/>
        <v>0.52386781462964227</v>
      </c>
      <c r="O1221" s="34"/>
      <c r="P1221" s="34"/>
      <c r="Q1221" s="34"/>
      <c r="R1221" s="34"/>
      <c r="S1221" s="34"/>
      <c r="T1221" s="34"/>
      <c r="U1221" s="34"/>
      <c r="V1221" s="34"/>
      <c r="W1221" s="34"/>
      <c r="X1221" s="34"/>
      <c r="Y1221" s="34"/>
      <c r="Z1221" s="34"/>
      <c r="AA1221" s="34"/>
      <c r="AB1221" s="34"/>
      <c r="AC1221" s="34"/>
      <c r="AD1221" s="34"/>
      <c r="AE1221" s="34"/>
      <c r="AF1221" s="34"/>
      <c r="AG1221" s="34"/>
      <c r="AH1221" s="34"/>
      <c r="AI1221" s="34"/>
      <c r="AJ1221" s="34"/>
      <c r="AK1221" s="34"/>
      <c r="AL1221" s="408"/>
      <c r="AM1221" s="408"/>
      <c r="AN1221" s="408"/>
      <c r="AO1221" s="408"/>
      <c r="AP1221" s="408"/>
      <c r="AQ1221" s="408"/>
      <c r="AR1221" s="408"/>
      <c r="AS1221" s="408"/>
    </row>
    <row r="1222" spans="1:45" ht="15" customHeight="1" x14ac:dyDescent="0.3">
      <c r="A1222" s="394"/>
      <c r="B1222" s="394"/>
      <c r="C1222" s="395"/>
      <c r="D1222" s="34"/>
      <c r="E1222" s="408" t="s">
        <v>586</v>
      </c>
      <c r="F1222" s="487"/>
      <c r="G1222" s="487" t="s">
        <v>873</v>
      </c>
      <c r="H1222" s="230"/>
      <c r="I1222" s="34"/>
      <c r="J1222" s="386"/>
      <c r="K1222" s="605"/>
      <c r="L1222" s="869">
        <f>(L1213 + L1214) /L1212</f>
        <v>0.80530420048227769</v>
      </c>
      <c r="M1222" s="869">
        <f t="shared" ref="M1222:N1222" si="964">(M1213 + M1214) /M1212</f>
        <v>0.80530420048227758</v>
      </c>
      <c r="N1222" s="869">
        <f t="shared" si="964"/>
        <v>0.73570680813951173</v>
      </c>
      <c r="O1222" s="869"/>
      <c r="P1222" s="34"/>
      <c r="Q1222" s="34"/>
      <c r="R1222" s="34"/>
      <c r="S1222" s="34"/>
      <c r="T1222" s="34"/>
      <c r="U1222" s="34"/>
      <c r="V1222" s="34"/>
      <c r="W1222" s="34"/>
      <c r="X1222" s="34"/>
      <c r="Y1222" s="34"/>
      <c r="Z1222" s="34"/>
      <c r="AA1222" s="34"/>
      <c r="AB1222" s="34"/>
      <c r="AC1222" s="34"/>
      <c r="AD1222" s="34"/>
      <c r="AE1222" s="34"/>
      <c r="AF1222" s="34"/>
      <c r="AG1222" s="34"/>
      <c r="AH1222" s="34"/>
      <c r="AI1222" s="34"/>
      <c r="AJ1222" s="34"/>
      <c r="AK1222" s="34"/>
      <c r="AL1222" s="408"/>
      <c r="AM1222" s="408"/>
      <c r="AN1222" s="408"/>
      <c r="AO1222" s="408"/>
      <c r="AP1222" s="408"/>
      <c r="AQ1222" s="408"/>
      <c r="AR1222" s="408"/>
      <c r="AS1222" s="408"/>
    </row>
    <row r="1223" spans="1:45" ht="15" customHeight="1" x14ac:dyDescent="0.3">
      <c r="K1223"/>
      <c r="AO1223" s="88"/>
      <c r="AP1223" s="88"/>
      <c r="AQ1223" s="88"/>
      <c r="AR1223" s="88"/>
      <c r="AS1223" s="88"/>
    </row>
    <row r="1224" spans="1:45" ht="15" customHeight="1" collapsed="1" x14ac:dyDescent="0.3">
      <c r="A1224" s="474" t="s">
        <v>524</v>
      </c>
      <c r="B1224" s="119"/>
      <c r="C1224" s="120"/>
      <c r="D1224" s="121"/>
      <c r="E1224" s="119"/>
      <c r="F1224" s="119"/>
      <c r="G1224" s="119"/>
      <c r="H1224" s="119"/>
      <c r="I1224" s="119"/>
      <c r="J1224" s="16"/>
      <c r="K1224" s="16"/>
      <c r="L1224" s="16"/>
      <c r="M1224" s="16"/>
      <c r="N1224" s="16"/>
      <c r="O1224" s="16"/>
      <c r="P1224" s="16"/>
      <c r="Q1224" s="16"/>
      <c r="R1224" s="16"/>
      <c r="S1224" s="16"/>
      <c r="T1224" s="16"/>
      <c r="U1224" s="16"/>
      <c r="V1224" s="16"/>
      <c r="W1224" s="16"/>
      <c r="X1224" s="16"/>
      <c r="Y1224" s="16"/>
      <c r="Z1224" s="16"/>
      <c r="AA1224" s="16"/>
      <c r="AB1224" s="16"/>
      <c r="AC1224" s="16"/>
      <c r="AD1224" s="16"/>
      <c r="AE1224" s="16"/>
      <c r="AF1224" s="16"/>
      <c r="AG1224" s="16"/>
      <c r="AH1224" s="16"/>
      <c r="AI1224" s="16"/>
      <c r="AJ1224" s="16"/>
      <c r="AK1224" s="16"/>
      <c r="AL1224" s="16"/>
      <c r="AM1224" s="16"/>
      <c r="AN1224" s="16"/>
      <c r="AO1224" s="16"/>
      <c r="AP1224" s="16"/>
      <c r="AQ1224" s="16"/>
      <c r="AR1224" s="16"/>
      <c r="AS1224" s="16"/>
    </row>
    <row r="1226" spans="1:45" ht="15" customHeight="1" x14ac:dyDescent="0.3">
      <c r="E1226" s="484"/>
      <c r="F1226" s="484"/>
      <c r="G1226" s="484"/>
      <c r="H1226" s="484"/>
      <c r="I1226" s="710"/>
    </row>
    <row r="1227" spans="1:45" ht="15" customHeight="1" x14ac:dyDescent="0.3">
      <c r="E1227" s="40" t="str">
        <f xml:space="preserve"> E$648</f>
        <v>Check: Depreciation calculation</v>
      </c>
      <c r="F1227" s="442">
        <f xml:space="preserve"> F$648</f>
        <v>0</v>
      </c>
      <c r="G1227" s="40" t="str">
        <f xml:space="preserve"> G$648</f>
        <v>check</v>
      </c>
    </row>
    <row r="1228" spans="1:45" ht="15" customHeight="1" x14ac:dyDescent="0.3">
      <c r="E1228" s="339" t="str">
        <f xml:space="preserve"> E$770</f>
        <v>Check: net revenue</v>
      </c>
      <c r="F1228" s="442">
        <f xml:space="preserve"> F$770</f>
        <v>0</v>
      </c>
      <c r="G1228" s="482" t="str">
        <f xml:space="preserve"> G$770</f>
        <v>check</v>
      </c>
    </row>
    <row r="1229" spans="1:45" ht="15" customHeight="1" x14ac:dyDescent="0.3">
      <c r="E1229" s="339" t="str">
        <f xml:space="preserve"> E$1028</f>
        <v>Check: Net participant cashflows reconciliation</v>
      </c>
      <c r="F1229" s="442">
        <f xml:space="preserve"> F$1028</f>
        <v>0</v>
      </c>
      <c r="G1229" s="482" t="str">
        <f xml:space="preserve"> G$1028</f>
        <v>check</v>
      </c>
    </row>
    <row r="1230" spans="1:45" ht="15" customHeight="1" x14ac:dyDescent="0.3">
      <c r="E1230" s="339" t="str">
        <f xml:space="preserve"> E$1057</f>
        <v>Check: project cashflows to participant cashflows</v>
      </c>
      <c r="F1230" s="442">
        <f xml:space="preserve"> F$1057</f>
        <v>0</v>
      </c>
      <c r="G1230" s="482" t="str">
        <f xml:space="preserve"> G$1057</f>
        <v>check</v>
      </c>
    </row>
    <row r="1231" spans="1:45" ht="15" customHeight="1" x14ac:dyDescent="0.3">
      <c r="E1231" s="339" t="str">
        <f xml:space="preserve"> E$1104</f>
        <v>Check: government revenues to participant cashflows</v>
      </c>
      <c r="F1231" s="442">
        <f xml:space="preserve"> F$1104</f>
        <v>0</v>
      </c>
      <c r="G1231" s="482" t="str">
        <f xml:space="preserve"> G$1104</f>
        <v>check</v>
      </c>
    </row>
    <row r="1232" spans="1:45" ht="15" customHeight="1" x14ac:dyDescent="0.3">
      <c r="E1232" s="339" t="str">
        <f xml:space="preserve"> E$1136</f>
        <v>Check: participant cashflows for NPV</v>
      </c>
      <c r="F1232" s="442">
        <f xml:space="preserve"> F$1136</f>
        <v>0</v>
      </c>
      <c r="G1232" s="482" t="str">
        <f xml:space="preserve"> G$1136</f>
        <v>check</v>
      </c>
    </row>
    <row r="1233" spans="1:45" ht="15" customHeight="1" x14ac:dyDescent="0.3">
      <c r="E1233" s="339" t="str">
        <f xml:space="preserve"> E$1195</f>
        <v>Check: government revenues by time period</v>
      </c>
      <c r="F1233" s="442">
        <f xml:space="preserve"> F$1195</f>
        <v>0</v>
      </c>
      <c r="G1233" s="482" t="str">
        <f xml:space="preserve"> G$1195</f>
        <v>check</v>
      </c>
    </row>
    <row r="1234" spans="1:45" ht="15" customHeight="1" x14ac:dyDescent="0.3">
      <c r="E1234" s="339" t="str">
        <f xml:space="preserve"> E$1206</f>
        <v>Check: project cashflows by time period</v>
      </c>
      <c r="F1234" s="442">
        <f xml:space="preserve"> F$1206</f>
        <v>0</v>
      </c>
      <c r="G1234" s="482" t="str">
        <f xml:space="preserve"> G$1206</f>
        <v>check</v>
      </c>
    </row>
    <row r="1235" spans="1:45" ht="15" customHeight="1" x14ac:dyDescent="0.3">
      <c r="E1235" s="339" t="str">
        <f xml:space="preserve"> E$1219</f>
        <v>Check: NPV cashflows by time period</v>
      </c>
      <c r="F1235" s="442">
        <f xml:space="preserve"> F$1219</f>
        <v>0</v>
      </c>
      <c r="G1235" s="482" t="str">
        <f xml:space="preserve"> G$1219</f>
        <v>check</v>
      </c>
    </row>
    <row r="1236" spans="1:45" ht="15" customHeight="1" x14ac:dyDescent="0.3">
      <c r="E1236" s="484"/>
      <c r="F1236" s="484"/>
      <c r="G1236" s="484"/>
      <c r="H1236" s="605"/>
      <c r="I1236" s="867"/>
    </row>
    <row r="1237" spans="1:45" ht="15" customHeight="1" x14ac:dyDescent="0.3">
      <c r="A1237" s="394"/>
      <c r="B1237" s="394"/>
      <c r="C1237" s="395"/>
      <c r="D1237" s="34"/>
      <c r="E1237" s="487" t="str">
        <f ca="1">"SheetChecks: " &amp; A1</f>
        <v>SheetChecks: COMMUS_Model</v>
      </c>
      <c r="F1237" s="853">
        <f xml:space="preserve"> SUM(F1226:F1236)</f>
        <v>0</v>
      </c>
      <c r="G1237" s="487" t="s">
        <v>525</v>
      </c>
      <c r="H1237" s="230"/>
      <c r="I1237" s="34"/>
      <c r="J1237" s="386"/>
      <c r="K1237" s="34"/>
      <c r="L1237" s="34"/>
      <c r="M1237" s="34"/>
      <c r="N1237" s="34"/>
      <c r="O1237" s="34"/>
      <c r="P1237" s="34"/>
      <c r="Q1237" s="34"/>
      <c r="R1237" s="34"/>
      <c r="S1237" s="34"/>
      <c r="T1237" s="34"/>
      <c r="U1237" s="34"/>
      <c r="V1237" s="34"/>
      <c r="W1237" s="34"/>
      <c r="X1237" s="34"/>
      <c r="Y1237" s="34"/>
      <c r="Z1237" s="34"/>
      <c r="AA1237" s="34"/>
      <c r="AB1237" s="34"/>
      <c r="AC1237" s="34"/>
      <c r="AD1237" s="34"/>
      <c r="AE1237" s="34"/>
      <c r="AF1237" s="34"/>
      <c r="AG1237" s="34"/>
      <c r="AH1237" s="34"/>
      <c r="AI1237" s="34"/>
      <c r="AJ1237" s="34"/>
      <c r="AK1237" s="34"/>
      <c r="AL1237" s="408"/>
      <c r="AM1237" s="408"/>
      <c r="AN1237" s="408"/>
      <c r="AO1237" s="70"/>
      <c r="AP1237" s="70"/>
      <c r="AQ1237" s="70"/>
      <c r="AR1237" s="70"/>
      <c r="AS1237" s="70"/>
    </row>
  </sheetData>
  <conditionalFormatting sqref="F2 K770:AS770 K1028:AS1028 K1057:AS1057 K1104:AS1104 K1136:AS1136">
    <cfRule type="cellIs" dxfId="108" priority="49" stopIfTrue="1" operator="notEqual">
      <formula>0</formula>
    </cfRule>
    <cfRule type="cellIs" dxfId="107" priority="50" stopIfTrue="1" operator="equal">
      <formula>""</formula>
    </cfRule>
  </conditionalFormatting>
  <conditionalFormatting sqref="F3">
    <cfRule type="cellIs" dxfId="106" priority="51" stopIfTrue="1" operator="notEqual">
      <formula>0</formula>
    </cfRule>
    <cfRule type="cellIs" dxfId="105" priority="52" stopIfTrue="1" operator="equal">
      <formula>""</formula>
    </cfRule>
  </conditionalFormatting>
  <conditionalFormatting sqref="F648">
    <cfRule type="cellIs" dxfId="104" priority="2" stopIfTrue="1" operator="notEqual">
      <formula>0</formula>
    </cfRule>
    <cfRule type="cellIs" dxfId="103" priority="3" stopIfTrue="1" operator="equal">
      <formula>""</formula>
    </cfRule>
  </conditionalFormatting>
  <conditionalFormatting sqref="F770">
    <cfRule type="cellIs" dxfId="102" priority="32" stopIfTrue="1" operator="notEqual">
      <formula>0</formula>
    </cfRule>
    <cfRule type="cellIs" dxfId="101" priority="33" stopIfTrue="1" operator="equal">
      <formula>""</formula>
    </cfRule>
  </conditionalFormatting>
  <conditionalFormatting sqref="F1028">
    <cfRule type="cellIs" dxfId="100" priority="37" stopIfTrue="1" operator="notEqual">
      <formula>0</formula>
    </cfRule>
    <cfRule type="cellIs" dxfId="99" priority="38" stopIfTrue="1" operator="equal">
      <formula>""</formula>
    </cfRule>
  </conditionalFormatting>
  <conditionalFormatting sqref="F1057">
    <cfRule type="cellIs" dxfId="98" priority="41" stopIfTrue="1" operator="notEqual">
      <formula>0</formula>
    </cfRule>
    <cfRule type="cellIs" dxfId="97" priority="42" stopIfTrue="1" operator="equal">
      <formula>""</formula>
    </cfRule>
  </conditionalFormatting>
  <conditionalFormatting sqref="F1104">
    <cfRule type="cellIs" dxfId="96" priority="28" stopIfTrue="1" operator="notEqual">
      <formula>0</formula>
    </cfRule>
    <cfRule type="cellIs" dxfId="95" priority="29" stopIfTrue="1" operator="equal">
      <formula>""</formula>
    </cfRule>
  </conditionalFormatting>
  <conditionalFormatting sqref="F1136">
    <cfRule type="cellIs" dxfId="94" priority="20" stopIfTrue="1" operator="notEqual">
      <formula>0</formula>
    </cfRule>
    <cfRule type="cellIs" dxfId="93" priority="21" stopIfTrue="1" operator="equal">
      <formula>""</formula>
    </cfRule>
  </conditionalFormatting>
  <conditionalFormatting sqref="F1195">
    <cfRule type="cellIs" dxfId="92" priority="16" stopIfTrue="1" operator="notEqual">
      <formula>0</formula>
    </cfRule>
    <cfRule type="cellIs" dxfId="91" priority="17" stopIfTrue="1" operator="equal">
      <formula>""</formula>
    </cfRule>
  </conditionalFormatting>
  <conditionalFormatting sqref="F1206">
    <cfRule type="cellIs" dxfId="90" priority="12" stopIfTrue="1" operator="notEqual">
      <formula>0</formula>
    </cfRule>
    <cfRule type="cellIs" dxfId="89" priority="13" stopIfTrue="1" operator="equal">
      <formula>""</formula>
    </cfRule>
  </conditionalFormatting>
  <conditionalFormatting sqref="F1219">
    <cfRule type="cellIs" dxfId="88" priority="8" stopIfTrue="1" operator="notEqual">
      <formula>0</formula>
    </cfRule>
    <cfRule type="cellIs" dxfId="87" priority="9" stopIfTrue="1" operator="equal">
      <formula>""</formula>
    </cfRule>
  </conditionalFormatting>
  <conditionalFormatting sqref="F1227:F1235">
    <cfRule type="cellIs" dxfId="86" priority="6" stopIfTrue="1" operator="notEqual">
      <formula>0</formula>
    </cfRule>
    <cfRule type="cellIs" dxfId="85" priority="7" stopIfTrue="1" operator="equal">
      <formula>""</formula>
    </cfRule>
  </conditionalFormatting>
  <conditionalFormatting sqref="F1237">
    <cfRule type="cellIs" dxfId="84" priority="4" stopIfTrue="1" operator="notEqual">
      <formula>0</formula>
    </cfRule>
    <cfRule type="cellIs" dxfId="83" priority="5" stopIfTrue="1" operator="equal">
      <formula>""</formula>
    </cfRule>
  </conditionalFormatting>
  <conditionalFormatting sqref="K1195:N1195">
    <cfRule type="cellIs" dxfId="82" priority="18" stopIfTrue="1" operator="notEqual">
      <formula>0</formula>
    </cfRule>
    <cfRule type="cellIs" dxfId="81" priority="19" stopIfTrue="1" operator="equal">
      <formula>""</formula>
    </cfRule>
  </conditionalFormatting>
  <conditionalFormatting sqref="K1206:N1206">
    <cfRule type="cellIs" dxfId="80" priority="14" stopIfTrue="1" operator="notEqual">
      <formula>0</formula>
    </cfRule>
    <cfRule type="cellIs" dxfId="79" priority="15" stopIfTrue="1" operator="equal">
      <formula>""</formula>
    </cfRule>
  </conditionalFormatting>
  <conditionalFormatting sqref="K3:AS3">
    <cfRule type="cellIs" dxfId="78" priority="60" operator="equal">
      <formula>#REF!</formula>
    </cfRule>
    <cfRule type="cellIs" dxfId="77" priority="57" stopIfTrue="1" operator="equal">
      <formula>#REF!</formula>
    </cfRule>
    <cfRule type="cellIs" dxfId="76" priority="58" stopIfTrue="1" operator="equal">
      <formula>#REF!</formula>
    </cfRule>
    <cfRule type="cellIs" dxfId="75" priority="59" operator="equal">
      <formula>#REF!</formula>
    </cfRule>
  </conditionalFormatting>
  <conditionalFormatting sqref="K162:AS162">
    <cfRule type="colorScale" priority="1">
      <colorScale>
        <cfvo type="min"/>
        <cfvo type="max"/>
        <color rgb="FFFFEF9C"/>
        <color rgb="FF63BE7B"/>
      </colorScale>
    </cfRule>
  </conditionalFormatting>
  <conditionalFormatting sqref="K269:AS269">
    <cfRule type="colorScale" priority="96">
      <colorScale>
        <cfvo type="min"/>
        <cfvo type="max"/>
        <color rgb="FFFFEF9C"/>
        <color rgb="FF63BE7B"/>
      </colorScale>
    </cfRule>
  </conditionalFormatting>
  <conditionalFormatting sqref="K276:AS276">
    <cfRule type="colorScale" priority="98">
      <colorScale>
        <cfvo type="min"/>
        <cfvo type="max"/>
        <color rgb="FFFFEF9C"/>
        <color rgb="FF63BE7B"/>
      </colorScale>
    </cfRule>
  </conditionalFormatting>
  <conditionalFormatting sqref="K298:AS298">
    <cfRule type="colorScale" priority="100">
      <colorScale>
        <cfvo type="min"/>
        <cfvo type="max"/>
        <color rgb="FFFFEF9C"/>
        <color rgb="FF63BE7B"/>
      </colorScale>
    </cfRule>
  </conditionalFormatting>
  <conditionalFormatting sqref="K726:AS730 K733:AS733">
    <cfRule type="cellIs" dxfId="74" priority="36" operator="greaterThan">
      <formula>$F$595</formula>
    </cfRule>
  </conditionalFormatting>
  <conditionalFormatting sqref="L1219:N1219">
    <cfRule type="cellIs" dxfId="73" priority="10" stopIfTrue="1" operator="notEqual">
      <formula>0</formula>
    </cfRule>
    <cfRule type="cellIs" dxfId="72" priority="11" stopIfTrue="1" operator="equal">
      <formula>""</formula>
    </cfRule>
  </conditionalFormatting>
  <conditionalFormatting sqref="L3:AS3">
    <cfRule type="cellIs" dxfId="71" priority="61" stopIfTrue="1" operator="equal">
      <formula>#REF!</formula>
    </cfRule>
    <cfRule type="cellIs" dxfId="70" priority="62" stopIfTrue="1" operator="equal">
      <formula>#REF!</formula>
    </cfRule>
  </conditionalFormatting>
  <dataValidations disablePrompts="1" count="1">
    <dataValidation type="list" allowBlank="1" showInputMessage="1" showErrorMessage="1" sqref="F902" xr:uid="{4879AF62-3F0D-46AA-B1E4-C0AB890DEB72}">
      <formula1>$F$903:$F$904</formula1>
    </dataValidation>
  </dataValidations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042E77-BCAB-4E05-B865-63834AF207C3}">
  <sheetPr codeName="Sheet9"/>
  <dimension ref="A1:XFD116"/>
  <sheetViews>
    <sheetView zoomScale="90" zoomScaleNormal="90" workbookViewId="0">
      <pane xSplit="10" ySplit="4" topLeftCell="K54" activePane="bottomRight" state="frozen"/>
      <selection pane="topRight" activeCell="K1" sqref="K1"/>
      <selection pane="bottomLeft" activeCell="A5" sqref="A5"/>
      <selection pane="bottomRight" activeCell="F75" sqref="F75"/>
    </sheetView>
  </sheetViews>
  <sheetFormatPr defaultColWidth="0" defaultRowHeight="15" customHeight="1" x14ac:dyDescent="0.3"/>
  <cols>
    <col min="1" max="2" width="1.33203125" style="446" customWidth="1"/>
    <col min="3" max="3" width="1.33203125" style="447" customWidth="1"/>
    <col min="4" max="4" width="1.33203125" style="448" customWidth="1"/>
    <col min="5" max="5" width="50.6640625" style="448" customWidth="1"/>
    <col min="6" max="6" width="12.6640625" style="448" customWidth="1"/>
    <col min="7" max="7" width="20.6640625" style="448" customWidth="1"/>
    <col min="8" max="8" width="55" style="5" customWidth="1"/>
    <col min="9" max="9" width="12.6640625" style="448" customWidth="1" collapsed="1"/>
    <col min="10" max="10" width="1.6640625" style="450" customWidth="1"/>
    <col min="11" max="24" width="10.6640625" style="448" customWidth="1"/>
    <col min="25" max="25" width="13" style="448" customWidth="1"/>
    <col min="26" max="26" width="10.6640625" style="448" customWidth="1"/>
    <col min="27" max="27" width="13.109375" style="448" customWidth="1"/>
    <col min="28" max="37" width="10.6640625" style="448" customWidth="1"/>
    <col min="38" max="45" width="10.6640625" customWidth="1"/>
    <col min="46" max="47" width="10.6640625" hidden="1" customWidth="1"/>
    <col min="48" max="56" width="11.6640625" hidden="1" customWidth="1"/>
    <col min="57" max="16384" width="14.44140625" hidden="1"/>
  </cols>
  <sheetData>
    <row r="1" spans="1:45" ht="26.25" customHeight="1" x14ac:dyDescent="0.3">
      <c r="A1" s="445" t="str">
        <f ca="1" xml:space="preserve"> RIGHT(CELL("filename", $A$3), LEN(CELL("filename", $A$3)) - SEARCH("]", CELL("filename", $A$3)))</f>
        <v>EITI_Rev</v>
      </c>
      <c r="F1" s="449"/>
      <c r="AL1" s="448"/>
      <c r="AM1" s="448"/>
      <c r="AN1" s="448"/>
    </row>
    <row r="2" spans="1:45" ht="15" customHeight="1" x14ac:dyDescent="0.3">
      <c r="F2" s="883">
        <f xml:space="preserve"> Track!F$80</f>
        <v>0</v>
      </c>
      <c r="G2" s="7" t="s">
        <v>0</v>
      </c>
      <c r="K2" s="47">
        <f>'T&amp;E'!K$9</f>
        <v>2006</v>
      </c>
      <c r="L2" s="47">
        <f>'T&amp;E'!L$9</f>
        <v>2007</v>
      </c>
      <c r="M2" s="47">
        <f>'T&amp;E'!M$9</f>
        <v>2008</v>
      </c>
      <c r="N2" s="47">
        <f>'T&amp;E'!N$9</f>
        <v>2009</v>
      </c>
      <c r="O2" s="47">
        <f>'T&amp;E'!O$9</f>
        <v>2010</v>
      </c>
      <c r="P2" s="47">
        <f>'T&amp;E'!P$9</f>
        <v>2011</v>
      </c>
      <c r="Q2" s="47">
        <f>'T&amp;E'!Q$9</f>
        <v>2012</v>
      </c>
      <c r="R2" s="47">
        <f>'T&amp;E'!R$9</f>
        <v>2013</v>
      </c>
      <c r="S2" s="47">
        <f>'T&amp;E'!S$9</f>
        <v>2014</v>
      </c>
      <c r="T2" s="47">
        <f>'T&amp;E'!T$9</f>
        <v>2015</v>
      </c>
      <c r="U2" s="47">
        <f>'T&amp;E'!U$9</f>
        <v>2016</v>
      </c>
      <c r="V2" s="47">
        <f>'T&amp;E'!V$9</f>
        <v>2017</v>
      </c>
      <c r="W2" s="47">
        <f>'T&amp;E'!W$9</f>
        <v>2018</v>
      </c>
      <c r="X2" s="47">
        <f>'T&amp;E'!X$9</f>
        <v>2019</v>
      </c>
      <c r="Y2" s="47">
        <f>'T&amp;E'!Y$9</f>
        <v>2020</v>
      </c>
      <c r="Z2" s="47">
        <f>'T&amp;E'!Z$9</f>
        <v>2021</v>
      </c>
      <c r="AA2" s="47">
        <f>'T&amp;E'!AA$9</f>
        <v>2022</v>
      </c>
      <c r="AB2" s="47">
        <f>'T&amp;E'!AB$9</f>
        <v>2023</v>
      </c>
      <c r="AC2" s="47">
        <f>'T&amp;E'!AC$9</f>
        <v>2024</v>
      </c>
      <c r="AD2" s="47">
        <f>'T&amp;E'!AD$9</f>
        <v>2025</v>
      </c>
      <c r="AE2" s="47">
        <f>'T&amp;E'!AE$9</f>
        <v>2026</v>
      </c>
      <c r="AF2" s="47">
        <f>'T&amp;E'!AF$9</f>
        <v>2027</v>
      </c>
      <c r="AG2" s="47">
        <f>'T&amp;E'!AG$9</f>
        <v>2028</v>
      </c>
      <c r="AH2" s="47">
        <f>'T&amp;E'!AH$9</f>
        <v>2029</v>
      </c>
      <c r="AI2" s="47">
        <f>'T&amp;E'!AI$9</f>
        <v>2030</v>
      </c>
      <c r="AJ2" s="47">
        <f>'T&amp;E'!AJ$9</f>
        <v>2031</v>
      </c>
      <c r="AK2" s="47">
        <f>'T&amp;E'!AK$9</f>
        <v>2032</v>
      </c>
      <c r="AL2" s="47">
        <f>'T&amp;E'!AL$9</f>
        <v>2033</v>
      </c>
      <c r="AM2" s="47">
        <f>'T&amp;E'!AM$9</f>
        <v>2034</v>
      </c>
      <c r="AN2" s="47">
        <f>'T&amp;E'!AN$9</f>
        <v>2035</v>
      </c>
      <c r="AO2" s="47">
        <f>'T&amp;E'!AO$9</f>
        <v>2036</v>
      </c>
      <c r="AP2" s="47">
        <f>'T&amp;E'!AP$9</f>
        <v>2037</v>
      </c>
      <c r="AQ2" s="47">
        <f>'T&amp;E'!AQ$9</f>
        <v>2038</v>
      </c>
      <c r="AR2" s="47">
        <f>'T&amp;E'!AR$9</f>
        <v>2039</v>
      </c>
      <c r="AS2" s="47">
        <f>'T&amp;E'!AS$9</f>
        <v>2040</v>
      </c>
    </row>
    <row r="3" spans="1:45" ht="15" customHeight="1" x14ac:dyDescent="0.3">
      <c r="F3" s="881">
        <f xml:space="preserve"> Track!F$3</f>
        <v>0</v>
      </c>
      <c r="G3" s="9" t="s">
        <v>1</v>
      </c>
      <c r="K3" s="49" t="s">
        <v>2</v>
      </c>
      <c r="L3" s="49" t="s">
        <v>2</v>
      </c>
      <c r="M3" s="49" t="s">
        <v>2</v>
      </c>
      <c r="N3" s="49" t="s">
        <v>2</v>
      </c>
      <c r="O3" s="49" t="s">
        <v>2</v>
      </c>
      <c r="P3" s="49" t="s">
        <v>2</v>
      </c>
      <c r="Q3" s="49" t="s">
        <v>2</v>
      </c>
      <c r="R3" s="49" t="s">
        <v>2</v>
      </c>
      <c r="S3" s="49" t="s">
        <v>2</v>
      </c>
      <c r="T3" s="49" t="s">
        <v>2</v>
      </c>
      <c r="U3" s="49" t="s">
        <v>2</v>
      </c>
      <c r="V3" s="49" t="s">
        <v>2</v>
      </c>
      <c r="W3" s="49" t="s">
        <v>2</v>
      </c>
      <c r="X3" s="49" t="s">
        <v>2</v>
      </c>
      <c r="Y3" s="49" t="s">
        <v>2</v>
      </c>
      <c r="Z3" s="49" t="s">
        <v>2</v>
      </c>
      <c r="AA3" s="49" t="s">
        <v>2</v>
      </c>
      <c r="AB3" s="49" t="s">
        <v>2</v>
      </c>
      <c r="AC3" s="49" t="s">
        <v>2</v>
      </c>
      <c r="AD3" s="49" t="s">
        <v>2</v>
      </c>
      <c r="AE3" s="49" t="s">
        <v>2</v>
      </c>
      <c r="AF3" s="49" t="s">
        <v>2</v>
      </c>
      <c r="AG3" s="49" t="s">
        <v>2</v>
      </c>
      <c r="AH3" s="49" t="s">
        <v>2</v>
      </c>
      <c r="AI3" s="49" t="s">
        <v>2</v>
      </c>
      <c r="AJ3" s="49" t="s">
        <v>2</v>
      </c>
      <c r="AK3" s="49" t="s">
        <v>2</v>
      </c>
      <c r="AL3" s="49" t="s">
        <v>2</v>
      </c>
      <c r="AM3" s="49" t="s">
        <v>2</v>
      </c>
      <c r="AN3" s="49" t="s">
        <v>2</v>
      </c>
      <c r="AO3" s="49" t="s">
        <v>2</v>
      </c>
      <c r="AP3" s="49" t="s">
        <v>2</v>
      </c>
      <c r="AQ3" s="49" t="s">
        <v>2</v>
      </c>
      <c r="AR3" s="49" t="s">
        <v>2</v>
      </c>
      <c r="AS3" s="49" t="s">
        <v>2</v>
      </c>
    </row>
    <row r="4" spans="1:45" ht="15" customHeight="1" x14ac:dyDescent="0.3">
      <c r="F4" s="451" t="s">
        <v>4</v>
      </c>
      <c r="G4" s="446" t="s">
        <v>5</v>
      </c>
      <c r="H4" s="452" t="s">
        <v>6</v>
      </c>
      <c r="I4" s="13"/>
      <c r="K4" s="45">
        <f>'T&amp;E'!K$11</f>
        <v>1</v>
      </c>
      <c r="L4" s="45">
        <f>'T&amp;E'!L$11</f>
        <v>2</v>
      </c>
      <c r="M4" s="45">
        <f>'T&amp;E'!M$11</f>
        <v>3</v>
      </c>
      <c r="N4" s="45">
        <f>'T&amp;E'!N$11</f>
        <v>4</v>
      </c>
      <c r="O4" s="45">
        <f>'T&amp;E'!O$11</f>
        <v>5</v>
      </c>
      <c r="P4" s="45">
        <f>'T&amp;E'!P$11</f>
        <v>6</v>
      </c>
      <c r="Q4" s="45">
        <f>'T&amp;E'!Q$11</f>
        <v>7</v>
      </c>
      <c r="R4" s="45">
        <f>'T&amp;E'!R$11</f>
        <v>8</v>
      </c>
      <c r="S4" s="45">
        <f>'T&amp;E'!S$11</f>
        <v>9</v>
      </c>
      <c r="T4" s="45">
        <f>'T&amp;E'!T$11</f>
        <v>10</v>
      </c>
      <c r="U4" s="45">
        <f>'T&amp;E'!U$11</f>
        <v>11</v>
      </c>
      <c r="V4" s="45">
        <f>'T&amp;E'!V$11</f>
        <v>12</v>
      </c>
      <c r="W4" s="45">
        <f>'T&amp;E'!W$11</f>
        <v>13</v>
      </c>
      <c r="X4" s="45">
        <f>'T&amp;E'!X$11</f>
        <v>14</v>
      </c>
      <c r="Y4" s="45">
        <f>'T&amp;E'!Y$11</f>
        <v>15</v>
      </c>
      <c r="Z4" s="45">
        <f>'T&amp;E'!Z$11</f>
        <v>16</v>
      </c>
      <c r="AA4" s="45">
        <f>'T&amp;E'!AA$11</f>
        <v>17</v>
      </c>
      <c r="AB4" s="45">
        <f>'T&amp;E'!AB$11</f>
        <v>18</v>
      </c>
      <c r="AC4" s="45">
        <f>'T&amp;E'!AC$11</f>
        <v>19</v>
      </c>
      <c r="AD4" s="45">
        <f>'T&amp;E'!AD$11</f>
        <v>20</v>
      </c>
      <c r="AE4" s="45">
        <f>'T&amp;E'!AE$11</f>
        <v>21</v>
      </c>
      <c r="AF4" s="45">
        <f>'T&amp;E'!AF$11</f>
        <v>22</v>
      </c>
      <c r="AG4" s="45">
        <f>'T&amp;E'!AG$11</f>
        <v>23</v>
      </c>
      <c r="AH4" s="45">
        <f>'T&amp;E'!AH$11</f>
        <v>24</v>
      </c>
      <c r="AI4" s="45">
        <f>'T&amp;E'!AI$11</f>
        <v>25</v>
      </c>
      <c r="AJ4" s="45">
        <f>'T&amp;E'!AJ$11</f>
        <v>26</v>
      </c>
      <c r="AK4" s="45">
        <f>'T&amp;E'!AK$11</f>
        <v>27</v>
      </c>
      <c r="AL4" s="45">
        <f>'T&amp;E'!AL$11</f>
        <v>28</v>
      </c>
      <c r="AM4" s="45">
        <f>'T&amp;E'!AM$11</f>
        <v>29</v>
      </c>
      <c r="AN4" s="45">
        <f>'T&amp;E'!AN$11</f>
        <v>30</v>
      </c>
      <c r="AO4" s="45">
        <f>'T&amp;E'!AO$11</f>
        <v>31</v>
      </c>
      <c r="AP4" s="45">
        <f>'T&amp;E'!AP$11</f>
        <v>32</v>
      </c>
      <c r="AQ4" s="45">
        <f>'T&amp;E'!AQ$11</f>
        <v>33</v>
      </c>
      <c r="AR4" s="45">
        <f>'T&amp;E'!AR$11</f>
        <v>34</v>
      </c>
      <c r="AS4" s="45">
        <f>'T&amp;E'!AS$11</f>
        <v>35</v>
      </c>
    </row>
    <row r="5" spans="1:45" ht="15" customHeight="1" x14ac:dyDescent="0.3">
      <c r="F5" s="451"/>
      <c r="G5" s="446"/>
      <c r="H5" s="452"/>
      <c r="I5" s="13"/>
      <c r="J5" s="453"/>
    </row>
    <row r="6" spans="1:45" ht="15" customHeight="1" collapsed="1" x14ac:dyDescent="0.3">
      <c r="A6" s="454" t="s">
        <v>688</v>
      </c>
      <c r="B6" s="455"/>
      <c r="C6" s="456"/>
      <c r="D6" s="457"/>
      <c r="E6" s="455"/>
      <c r="F6" s="455"/>
      <c r="G6" s="455"/>
      <c r="H6" s="455"/>
      <c r="I6" s="455"/>
      <c r="J6" s="458"/>
      <c r="K6" s="455"/>
      <c r="L6" s="455"/>
      <c r="M6" s="455"/>
      <c r="N6" s="455"/>
      <c r="O6" s="455"/>
      <c r="P6" s="455"/>
      <c r="Q6" s="455"/>
      <c r="R6" s="455"/>
      <c r="S6" s="455"/>
      <c r="T6" s="455"/>
      <c r="U6" s="455"/>
      <c r="V6" s="455"/>
      <c r="W6" s="455"/>
      <c r="X6" s="455"/>
      <c r="Y6" s="455"/>
      <c r="Z6" s="455"/>
      <c r="AA6" s="455"/>
      <c r="AB6" s="455"/>
      <c r="AC6" s="455"/>
      <c r="AD6" s="455"/>
      <c r="AE6" s="455"/>
      <c r="AF6" s="455"/>
      <c r="AG6" s="455"/>
      <c r="AH6" s="455"/>
      <c r="AI6" s="455"/>
      <c r="AJ6" s="455"/>
      <c r="AK6" s="455"/>
      <c r="AL6" s="455"/>
      <c r="AM6" s="455"/>
      <c r="AN6" s="455"/>
      <c r="AO6" s="455"/>
      <c r="AP6" s="455"/>
      <c r="AQ6" s="455"/>
      <c r="AR6" s="455"/>
      <c r="AS6" s="455"/>
    </row>
    <row r="7" spans="1:45" ht="15" customHeight="1" x14ac:dyDescent="0.3">
      <c r="D7" s="460"/>
      <c r="F7" s="789" t="s">
        <v>734</v>
      </c>
      <c r="H7" s="448"/>
      <c r="J7" s="453"/>
      <c r="AL7" s="448"/>
      <c r="AM7" s="448"/>
      <c r="AN7" s="448"/>
      <c r="AO7" s="448"/>
      <c r="AP7" s="448"/>
      <c r="AQ7" s="448"/>
      <c r="AR7" s="448"/>
      <c r="AS7" s="448"/>
    </row>
    <row r="8" spans="1:45" ht="15" customHeight="1" x14ac:dyDescent="0.3">
      <c r="E8" s="745" t="s">
        <v>690</v>
      </c>
      <c r="F8" s="790" t="s">
        <v>735</v>
      </c>
      <c r="G8" s="448" t="s">
        <v>346</v>
      </c>
      <c r="I8" s="448">
        <f>SUM(K8:AA8)</f>
        <v>13.51283608</v>
      </c>
      <c r="K8" s="252">
        <v>1.05E-4</v>
      </c>
      <c r="L8" s="252">
        <v>1.05E-4</v>
      </c>
      <c r="M8" s="252">
        <v>1.05E-4</v>
      </c>
      <c r="N8" s="252">
        <v>1.05E-4</v>
      </c>
      <c r="O8" s="252">
        <v>1.05E-4</v>
      </c>
      <c r="P8" s="252">
        <v>1.05E-4</v>
      </c>
      <c r="Q8" s="252">
        <v>0</v>
      </c>
      <c r="R8" s="252">
        <v>0</v>
      </c>
      <c r="S8" s="252">
        <v>0</v>
      </c>
      <c r="T8" s="252">
        <v>0</v>
      </c>
      <c r="U8" s="252">
        <v>0</v>
      </c>
      <c r="V8" s="272">
        <v>9.2910800000000002E-3</v>
      </c>
      <c r="W8" s="577"/>
      <c r="X8" s="577">
        <v>0.49222700000000003</v>
      </c>
      <c r="Y8" s="577">
        <v>0.14588400000000001</v>
      </c>
      <c r="Z8" s="577">
        <v>4.5097459999999998</v>
      </c>
      <c r="AA8" s="744">
        <v>8.3550579999999997</v>
      </c>
      <c r="AB8" s="577"/>
      <c r="AC8" s="577"/>
      <c r="AD8" s="577"/>
      <c r="AE8" s="577"/>
      <c r="AF8" s="577"/>
      <c r="AG8" s="577"/>
      <c r="AH8" s="577"/>
      <c r="AI8" s="577"/>
      <c r="AJ8" s="577"/>
      <c r="AK8" s="577"/>
      <c r="AL8" s="577"/>
      <c r="AM8" s="577"/>
      <c r="AN8" s="577"/>
      <c r="AO8" s="577"/>
      <c r="AP8" s="577"/>
      <c r="AQ8" s="577"/>
      <c r="AR8" s="577"/>
      <c r="AS8" s="577"/>
    </row>
    <row r="9" spans="1:45" ht="15" customHeight="1" x14ac:dyDescent="0.3">
      <c r="E9" s="745" t="s">
        <v>691</v>
      </c>
      <c r="F9" s="790" t="s">
        <v>735</v>
      </c>
      <c r="G9" s="448" t="s">
        <v>346</v>
      </c>
      <c r="I9" s="448">
        <f t="shared" ref="I9:I27" si="0">SUM(K9:AA9)</f>
        <v>0.37848983000000003</v>
      </c>
      <c r="K9" s="252">
        <v>1.4899999999999999E-4</v>
      </c>
      <c r="L9" s="252">
        <v>1.4899999999999999E-4</v>
      </c>
      <c r="M9" s="252">
        <v>1.4899999999999999E-4</v>
      </c>
      <c r="N9" s="252">
        <v>1.4899999999999999E-4</v>
      </c>
      <c r="O9" s="252">
        <v>1.4899999999999999E-4</v>
      </c>
      <c r="P9" s="252">
        <v>1.4899999999999999E-4</v>
      </c>
      <c r="Q9" s="252">
        <v>0</v>
      </c>
      <c r="R9" s="252">
        <v>0</v>
      </c>
      <c r="S9" s="252">
        <v>0</v>
      </c>
      <c r="T9" s="252">
        <v>0</v>
      </c>
      <c r="U9" s="252">
        <v>0</v>
      </c>
      <c r="V9" s="272">
        <v>2.6688300000000001E-3</v>
      </c>
      <c r="W9" s="577"/>
      <c r="X9" s="577">
        <v>0.12754699999999999</v>
      </c>
      <c r="Y9" s="577"/>
      <c r="Z9" s="577">
        <v>0.15923300000000001</v>
      </c>
      <c r="AA9" s="744">
        <v>8.8147000000000003E-2</v>
      </c>
      <c r="AB9" s="577"/>
      <c r="AC9" s="577"/>
      <c r="AD9" s="577"/>
      <c r="AE9" s="577"/>
      <c r="AF9" s="577"/>
      <c r="AG9" s="577"/>
      <c r="AH9" s="577"/>
      <c r="AI9" s="577"/>
      <c r="AJ9" s="577"/>
      <c r="AK9" s="577"/>
      <c r="AL9" s="577"/>
      <c r="AM9" s="577"/>
      <c r="AN9" s="577"/>
      <c r="AO9" s="577"/>
      <c r="AP9" s="577"/>
      <c r="AQ9" s="577"/>
      <c r="AR9" s="577"/>
      <c r="AS9" s="577"/>
    </row>
    <row r="10" spans="1:45" ht="15" customHeight="1" x14ac:dyDescent="0.3">
      <c r="E10" s="745" t="s">
        <v>1117</v>
      </c>
      <c r="F10" s="654"/>
      <c r="G10" s="448" t="s">
        <v>346</v>
      </c>
      <c r="I10" s="448">
        <f xml:space="preserve"> SUM(K10:AS10)</f>
        <v>0</v>
      </c>
      <c r="J10" s="450">
        <f xml:space="preserve"> SUM(L10:AS10)</f>
        <v>0</v>
      </c>
      <c r="K10" s="252">
        <v>0</v>
      </c>
      <c r="L10" s="252">
        <v>0</v>
      </c>
      <c r="M10" s="252">
        <v>0</v>
      </c>
      <c r="N10" s="252">
        <v>0</v>
      </c>
      <c r="O10" s="252">
        <v>0</v>
      </c>
      <c r="P10" s="252">
        <v>0</v>
      </c>
      <c r="Q10" s="252">
        <v>0</v>
      </c>
      <c r="R10" s="252">
        <v>0</v>
      </c>
      <c r="S10" s="252">
        <v>0</v>
      </c>
      <c r="T10" s="252">
        <v>0</v>
      </c>
      <c r="U10" s="252">
        <v>0</v>
      </c>
      <c r="V10" s="252">
        <v>0</v>
      </c>
      <c r="W10" s="252">
        <v>0</v>
      </c>
      <c r="X10" s="252">
        <v>0</v>
      </c>
      <c r="Y10" s="252">
        <v>0</v>
      </c>
      <c r="Z10" s="252">
        <v>0</v>
      </c>
      <c r="AA10" s="252">
        <v>0</v>
      </c>
      <c r="AB10" s="252"/>
      <c r="AC10" s="252"/>
      <c r="AD10" s="252"/>
      <c r="AE10" s="252"/>
      <c r="AF10" s="252"/>
      <c r="AG10" s="252"/>
      <c r="AH10" s="252"/>
      <c r="AI10" s="252"/>
      <c r="AJ10" s="252"/>
      <c r="AK10" s="252"/>
      <c r="AL10" s="252"/>
      <c r="AM10" s="252"/>
      <c r="AN10" s="252"/>
      <c r="AO10" s="252"/>
      <c r="AP10" s="252"/>
      <c r="AQ10" s="252"/>
      <c r="AR10" s="252"/>
      <c r="AS10" s="252"/>
    </row>
    <row r="11" spans="1:45" ht="15" customHeight="1" x14ac:dyDescent="0.3">
      <c r="E11" s="745" t="s">
        <v>692</v>
      </c>
      <c r="F11" s="790" t="s">
        <v>735</v>
      </c>
      <c r="G11" s="448" t="s">
        <v>346</v>
      </c>
      <c r="I11" s="448">
        <f t="shared" si="0"/>
        <v>119.576379</v>
      </c>
      <c r="K11" s="252">
        <v>0</v>
      </c>
      <c r="L11" s="252">
        <v>0</v>
      </c>
      <c r="M11" s="252">
        <v>0</v>
      </c>
      <c r="N11" s="252">
        <v>0</v>
      </c>
      <c r="O11" s="252">
        <v>0</v>
      </c>
      <c r="P11" s="252">
        <v>0</v>
      </c>
      <c r="Q11" s="252">
        <v>0</v>
      </c>
      <c r="R11" s="252">
        <v>0</v>
      </c>
      <c r="S11" s="252">
        <v>0</v>
      </c>
      <c r="T11" s="252">
        <v>0</v>
      </c>
      <c r="U11" s="252">
        <v>0</v>
      </c>
      <c r="V11" s="272">
        <v>0.31061100000000003</v>
      </c>
      <c r="W11" s="577">
        <v>5.1169770000000003</v>
      </c>
      <c r="X11" s="577">
        <v>12.851286</v>
      </c>
      <c r="Y11" s="577">
        <v>1.7122949999999999</v>
      </c>
      <c r="Z11" s="577">
        <v>7.3715529999999996</v>
      </c>
      <c r="AA11" s="744">
        <v>92.213656999999998</v>
      </c>
      <c r="AB11" s="577"/>
      <c r="AC11" s="577"/>
      <c r="AD11" s="577"/>
      <c r="AE11" s="577"/>
      <c r="AF11" s="577"/>
      <c r="AG11" s="577"/>
      <c r="AH11" s="577"/>
      <c r="AI11" s="577"/>
      <c r="AJ11" s="577"/>
      <c r="AK11" s="577"/>
      <c r="AL11" s="577"/>
      <c r="AM11" s="577"/>
      <c r="AN11" s="577"/>
      <c r="AO11" s="577"/>
      <c r="AP11" s="577"/>
      <c r="AQ11" s="577"/>
      <c r="AR11" s="577"/>
      <c r="AS11" s="577"/>
    </row>
    <row r="12" spans="1:45" ht="15" customHeight="1" x14ac:dyDescent="0.3">
      <c r="E12" s="745" t="s">
        <v>693</v>
      </c>
      <c r="F12" s="790" t="s">
        <v>735</v>
      </c>
      <c r="G12" s="448" t="s">
        <v>346</v>
      </c>
      <c r="I12" s="448">
        <f t="shared" si="0"/>
        <v>391.31411250000002</v>
      </c>
      <c r="K12" s="252">
        <v>0</v>
      </c>
      <c r="L12" s="252">
        <v>0</v>
      </c>
      <c r="M12" s="252">
        <v>0</v>
      </c>
      <c r="N12" s="252">
        <v>0</v>
      </c>
      <c r="O12" s="252">
        <v>0</v>
      </c>
      <c r="P12" s="252">
        <v>0</v>
      </c>
      <c r="Q12" s="252">
        <v>0</v>
      </c>
      <c r="R12" s="252">
        <v>5.8089999999999999E-3</v>
      </c>
      <c r="S12" s="252">
        <v>0</v>
      </c>
      <c r="T12" s="252">
        <v>0</v>
      </c>
      <c r="U12" s="252">
        <v>4.0274999999999998E-3</v>
      </c>
      <c r="V12" s="272">
        <v>0</v>
      </c>
      <c r="W12" s="577">
        <v>13.112269</v>
      </c>
      <c r="X12" s="577">
        <v>51.783644000000002</v>
      </c>
      <c r="Y12" s="577">
        <v>25.079264999999999</v>
      </c>
      <c r="Z12" s="577">
        <v>88.828175000000002</v>
      </c>
      <c r="AA12" s="744">
        <v>212.500923</v>
      </c>
      <c r="AB12" s="577"/>
      <c r="AC12" s="577"/>
      <c r="AD12" s="577"/>
      <c r="AE12" s="577"/>
      <c r="AF12" s="577"/>
      <c r="AG12" s="577"/>
      <c r="AH12" s="577"/>
      <c r="AI12" s="577"/>
      <c r="AJ12" s="577"/>
      <c r="AK12" s="577"/>
      <c r="AL12" s="577"/>
      <c r="AM12" s="577"/>
      <c r="AN12" s="577"/>
      <c r="AO12" s="577"/>
      <c r="AP12" s="577"/>
      <c r="AQ12" s="577"/>
      <c r="AR12" s="577"/>
      <c r="AS12" s="577"/>
    </row>
    <row r="13" spans="1:45" ht="15" customHeight="1" x14ac:dyDescent="0.3">
      <c r="E13" s="745" t="s">
        <v>694</v>
      </c>
      <c r="G13" s="448" t="s">
        <v>346</v>
      </c>
      <c r="I13" s="448">
        <f t="shared" si="0"/>
        <v>4.5446310000000008</v>
      </c>
      <c r="K13" s="252"/>
      <c r="L13" s="252"/>
      <c r="M13" s="252"/>
      <c r="N13" s="252"/>
      <c r="O13" s="252"/>
      <c r="P13" s="252"/>
      <c r="Q13" s="252"/>
      <c r="R13" s="252"/>
      <c r="S13" s="252"/>
      <c r="T13" s="252"/>
      <c r="U13" s="252"/>
      <c r="V13" s="272"/>
      <c r="W13" s="577">
        <v>1.1697660000000001</v>
      </c>
      <c r="X13" s="577">
        <v>0.393015</v>
      </c>
      <c r="Y13" s="577">
        <v>0.65901399999999999</v>
      </c>
      <c r="Z13" s="577">
        <v>1.1788670000000001</v>
      </c>
      <c r="AA13" s="744">
        <v>1.143969</v>
      </c>
      <c r="AB13" s="577"/>
      <c r="AC13" s="577"/>
      <c r="AD13" s="577"/>
      <c r="AE13" s="577"/>
      <c r="AF13" s="577"/>
      <c r="AG13" s="577"/>
      <c r="AH13" s="577"/>
      <c r="AI13" s="577"/>
      <c r="AJ13" s="577"/>
      <c r="AK13" s="577"/>
      <c r="AL13" s="577"/>
      <c r="AM13" s="577"/>
      <c r="AN13" s="577"/>
      <c r="AO13" s="577"/>
      <c r="AP13" s="577"/>
      <c r="AQ13" s="577"/>
      <c r="AR13" s="577"/>
      <c r="AS13" s="577"/>
    </row>
    <row r="14" spans="1:45" ht="15" customHeight="1" x14ac:dyDescent="0.3">
      <c r="E14" s="745" t="s">
        <v>695</v>
      </c>
      <c r="G14" s="448" t="s">
        <v>346</v>
      </c>
      <c r="I14" s="448">
        <f t="shared" si="0"/>
        <v>0.47733300000000001</v>
      </c>
      <c r="K14" s="252">
        <v>5.851E-2</v>
      </c>
      <c r="L14" s="252">
        <v>5.851E-2</v>
      </c>
      <c r="M14" s="252">
        <v>5.851E-2</v>
      </c>
      <c r="N14" s="252">
        <v>5.851E-2</v>
      </c>
      <c r="O14" s="252">
        <v>5.851E-2</v>
      </c>
      <c r="P14" s="252">
        <v>5.851E-2</v>
      </c>
      <c r="Q14" s="252">
        <v>0.126273</v>
      </c>
      <c r="R14" s="252">
        <v>0</v>
      </c>
      <c r="S14" s="252">
        <v>0</v>
      </c>
      <c r="T14" s="252">
        <v>0</v>
      </c>
      <c r="U14" s="252">
        <v>0</v>
      </c>
      <c r="V14" s="272">
        <v>0</v>
      </c>
      <c r="W14" s="577"/>
      <c r="X14" s="577"/>
      <c r="Y14" s="577"/>
      <c r="Z14" s="577"/>
      <c r="AA14" s="744"/>
      <c r="AB14" s="577"/>
      <c r="AC14" s="577"/>
      <c r="AD14" s="577"/>
      <c r="AE14" s="577"/>
      <c r="AF14" s="577"/>
      <c r="AG14" s="577"/>
      <c r="AH14" s="577"/>
      <c r="AI14" s="577"/>
      <c r="AJ14" s="577"/>
      <c r="AK14" s="577"/>
      <c r="AL14" s="577"/>
      <c r="AM14" s="577"/>
      <c r="AN14" s="577"/>
      <c r="AO14" s="577"/>
      <c r="AP14" s="577"/>
      <c r="AQ14" s="577"/>
      <c r="AR14" s="577"/>
      <c r="AS14" s="577"/>
    </row>
    <row r="15" spans="1:45" ht="15" customHeight="1" x14ac:dyDescent="0.3">
      <c r="E15" s="745" t="s">
        <v>696</v>
      </c>
      <c r="F15" s="790" t="s">
        <v>735</v>
      </c>
      <c r="G15" s="448" t="s">
        <v>346</v>
      </c>
      <c r="I15" s="448">
        <f t="shared" si="0"/>
        <v>34.098045999999997</v>
      </c>
      <c r="K15" s="252"/>
      <c r="L15" s="252"/>
      <c r="M15" s="252"/>
      <c r="N15" s="252"/>
      <c r="O15" s="252"/>
      <c r="P15" s="252"/>
      <c r="Q15" s="252"/>
      <c r="R15" s="252"/>
      <c r="S15" s="252"/>
      <c r="T15" s="252"/>
      <c r="U15" s="252"/>
      <c r="V15" s="272"/>
      <c r="W15" s="577">
        <v>0.21199200000000001</v>
      </c>
      <c r="X15" s="577">
        <v>1.6162069999999999</v>
      </c>
      <c r="Y15" s="577">
        <v>2.5616819999999998</v>
      </c>
      <c r="Z15" s="577">
        <v>1.7397689999999999</v>
      </c>
      <c r="AA15" s="744">
        <v>27.968395999999998</v>
      </c>
      <c r="AB15" s="577"/>
      <c r="AC15" s="577"/>
      <c r="AD15" s="577"/>
      <c r="AE15" s="577"/>
      <c r="AF15" s="577"/>
      <c r="AG15" s="577"/>
      <c r="AH15" s="577"/>
      <c r="AI15" s="577"/>
      <c r="AJ15" s="577"/>
      <c r="AK15" s="577"/>
      <c r="AL15" s="577"/>
      <c r="AM15" s="577"/>
      <c r="AN15" s="577"/>
      <c r="AO15" s="577"/>
      <c r="AP15" s="577"/>
      <c r="AQ15" s="577"/>
      <c r="AR15" s="577"/>
      <c r="AS15" s="577"/>
    </row>
    <row r="16" spans="1:45" ht="15" customHeight="1" x14ac:dyDescent="0.3">
      <c r="E16" s="745" t="s">
        <v>697</v>
      </c>
      <c r="F16" s="654"/>
      <c r="G16" s="448" t="s">
        <v>346</v>
      </c>
      <c r="I16" s="448">
        <f t="shared" si="0"/>
        <v>59.949204000000002</v>
      </c>
      <c r="K16" s="252"/>
      <c r="L16" s="252"/>
      <c r="M16" s="252"/>
      <c r="N16" s="252"/>
      <c r="O16" s="252"/>
      <c r="P16" s="252"/>
      <c r="Q16" s="252"/>
      <c r="R16" s="252"/>
      <c r="S16" s="252"/>
      <c r="T16" s="252"/>
      <c r="U16" s="252"/>
      <c r="V16" s="272"/>
      <c r="W16" s="577">
        <v>0.33068900000000001</v>
      </c>
      <c r="X16" s="577">
        <v>0.33284599999999998</v>
      </c>
      <c r="Y16" s="577"/>
      <c r="Z16" s="577"/>
      <c r="AA16" s="744">
        <v>59.285668999999999</v>
      </c>
      <c r="AB16" s="577"/>
      <c r="AC16" s="577"/>
      <c r="AD16" s="577"/>
      <c r="AE16" s="577"/>
      <c r="AF16" s="577"/>
      <c r="AG16" s="577"/>
      <c r="AH16" s="577"/>
      <c r="AI16" s="577"/>
      <c r="AJ16" s="577"/>
      <c r="AK16" s="577"/>
      <c r="AL16" s="577"/>
      <c r="AM16" s="577"/>
      <c r="AN16" s="577"/>
      <c r="AO16" s="577"/>
      <c r="AP16" s="577"/>
      <c r="AQ16" s="577"/>
      <c r="AR16" s="577"/>
      <c r="AS16" s="577"/>
    </row>
    <row r="17" spans="1:48 16376:16384" ht="15" customHeight="1" x14ac:dyDescent="0.3">
      <c r="E17" s="745" t="s">
        <v>698</v>
      </c>
      <c r="F17" s="790" t="s">
        <v>735</v>
      </c>
      <c r="G17" s="448" t="s">
        <v>346</v>
      </c>
      <c r="I17" s="448">
        <f t="shared" si="0"/>
        <v>16.798678090000003</v>
      </c>
      <c r="K17" s="252">
        <v>0</v>
      </c>
      <c r="L17" s="252">
        <v>0</v>
      </c>
      <c r="M17" s="252">
        <v>0</v>
      </c>
      <c r="N17" s="252">
        <v>0</v>
      </c>
      <c r="O17" s="252">
        <v>0</v>
      </c>
      <c r="P17" s="252">
        <v>0</v>
      </c>
      <c r="Q17" s="252">
        <v>7.7244999999999994E-2</v>
      </c>
      <c r="R17" s="252">
        <v>5.4310000000000001E-3</v>
      </c>
      <c r="S17" s="252">
        <v>2.8563999999999999E-2</v>
      </c>
      <c r="T17" s="252">
        <v>7.8185000000000004E-2</v>
      </c>
      <c r="U17" s="252">
        <v>0.20886592000000001</v>
      </c>
      <c r="V17" s="272">
        <v>0.58512717000000003</v>
      </c>
      <c r="W17" s="577">
        <v>1.1656899999999999</v>
      </c>
      <c r="X17" s="577">
        <v>2.2463299999999999</v>
      </c>
      <c r="Y17" s="577">
        <v>3.377011</v>
      </c>
      <c r="Z17" s="577">
        <v>4.9324320000000004</v>
      </c>
      <c r="AA17" s="744">
        <v>4.0937970000000004</v>
      </c>
      <c r="AB17" s="577"/>
      <c r="AC17" s="577"/>
      <c r="AD17" s="577"/>
      <c r="AE17" s="577"/>
      <c r="AF17" s="577"/>
      <c r="AG17" s="577"/>
      <c r="AH17" s="577"/>
      <c r="AI17" s="577"/>
      <c r="AJ17" s="577"/>
      <c r="AK17" s="577"/>
      <c r="AL17" s="577"/>
      <c r="AM17" s="577"/>
      <c r="AN17" s="577"/>
      <c r="AO17" s="577"/>
      <c r="AP17" s="577"/>
      <c r="AQ17" s="577"/>
      <c r="AR17" s="577"/>
      <c r="AS17" s="577"/>
    </row>
    <row r="18" spans="1:48 16376:16384" s="448" customFormat="1" ht="15" customHeight="1" x14ac:dyDescent="0.3">
      <c r="A18" s="446"/>
      <c r="B18" s="446"/>
      <c r="C18" s="447"/>
      <c r="E18" s="745" t="s">
        <v>699</v>
      </c>
      <c r="G18" s="448" t="s">
        <v>346</v>
      </c>
      <c r="H18" s="5"/>
      <c r="I18" s="448">
        <f t="shared" si="0"/>
        <v>32.951613000000002</v>
      </c>
      <c r="J18" s="450"/>
      <c r="K18" s="252">
        <v>0</v>
      </c>
      <c r="L18" s="252">
        <v>0</v>
      </c>
      <c r="M18" s="252">
        <v>0</v>
      </c>
      <c r="N18" s="252">
        <v>0</v>
      </c>
      <c r="O18" s="252">
        <v>0</v>
      </c>
      <c r="P18" s="252">
        <v>0</v>
      </c>
      <c r="Q18" s="252">
        <v>2.0439999999999998E-3</v>
      </c>
      <c r="R18" s="252">
        <v>4.5376E-2</v>
      </c>
      <c r="S18" s="252">
        <v>2.2420000000000001E-3</v>
      </c>
      <c r="T18" s="252">
        <v>6.3530000000000001E-3</v>
      </c>
      <c r="U18" s="252">
        <v>1.2520999999999999E-2</v>
      </c>
      <c r="V18" s="272">
        <v>0.63481200000000004</v>
      </c>
      <c r="W18" s="577">
        <v>13.569426999999999</v>
      </c>
      <c r="X18" s="577">
        <v>2.7582429999999998</v>
      </c>
      <c r="Y18" s="577">
        <v>4.7066650000000001</v>
      </c>
      <c r="Z18" s="577">
        <v>1.392255</v>
      </c>
      <c r="AA18" s="744">
        <v>9.8216750000000008</v>
      </c>
      <c r="AB18" s="577"/>
      <c r="AC18" s="577"/>
      <c r="AD18" s="577"/>
      <c r="AE18" s="577"/>
      <c r="AF18" s="577"/>
      <c r="AG18" s="577"/>
      <c r="AH18" s="577"/>
      <c r="AI18" s="577"/>
      <c r="AJ18" s="577"/>
      <c r="AK18" s="577"/>
      <c r="AL18" s="577"/>
      <c r="AM18" s="577"/>
      <c r="AN18" s="577"/>
      <c r="AO18" s="577"/>
      <c r="AP18" s="577"/>
      <c r="AQ18" s="577"/>
      <c r="AR18" s="577"/>
      <c r="AS18" s="577"/>
      <c r="AT18"/>
      <c r="AU18"/>
      <c r="AV18"/>
      <c r="XEV18"/>
      <c r="XEW18"/>
      <c r="XEX18"/>
      <c r="XEY18"/>
      <c r="XEZ18"/>
      <c r="XFA18"/>
      <c r="XFB18"/>
      <c r="XFC18"/>
      <c r="XFD18"/>
    </row>
    <row r="19" spans="1:48 16376:16384" s="448" customFormat="1" ht="15" customHeight="1" x14ac:dyDescent="0.3">
      <c r="A19" s="446"/>
      <c r="B19" s="446"/>
      <c r="C19" s="447"/>
      <c r="E19" s="423" t="s">
        <v>1070</v>
      </c>
      <c r="F19" s="790" t="s">
        <v>735</v>
      </c>
      <c r="G19" s="448" t="s">
        <v>346</v>
      </c>
      <c r="H19" s="5"/>
      <c r="I19" s="448">
        <f t="shared" ref="I19:I22" si="1">SUM(K19:AA19)</f>
        <v>28.632976200000002</v>
      </c>
      <c r="J19" s="450"/>
      <c r="K19" s="577"/>
      <c r="L19" s="577"/>
      <c r="M19" s="577"/>
      <c r="N19" s="577"/>
      <c r="O19" s="577"/>
      <c r="P19" s="577"/>
      <c r="Q19" s="577"/>
      <c r="R19" s="577"/>
      <c r="S19" s="577"/>
      <c r="T19" s="577"/>
      <c r="U19" s="577"/>
      <c r="V19" s="577"/>
      <c r="W19" s="577">
        <v>1.2404055300000001</v>
      </c>
      <c r="X19" s="577">
        <v>4.2704272400000001</v>
      </c>
      <c r="Y19" s="577">
        <v>6.4156174999999998</v>
      </c>
      <c r="Z19" s="577">
        <v>3.89117493</v>
      </c>
      <c r="AA19" s="577">
        <v>12.815351</v>
      </c>
      <c r="AB19" s="577"/>
      <c r="AC19" s="577"/>
      <c r="AD19" s="577"/>
      <c r="AE19" s="577"/>
      <c r="AF19" s="577"/>
      <c r="AG19" s="577"/>
      <c r="AH19" s="577"/>
      <c r="AI19" s="577"/>
      <c r="AJ19" s="577"/>
      <c r="AK19" s="577"/>
      <c r="AL19" s="577"/>
      <c r="AM19" s="577"/>
      <c r="AN19" s="577"/>
      <c r="AO19" s="577"/>
      <c r="AP19" s="577"/>
      <c r="AQ19" s="577"/>
      <c r="AR19" s="577"/>
      <c r="AS19" s="577"/>
      <c r="AT19"/>
      <c r="AU19"/>
      <c r="AV19"/>
      <c r="XEV19"/>
      <c r="XEW19"/>
      <c r="XEX19"/>
      <c r="XEY19"/>
      <c r="XEZ19"/>
      <c r="XFA19"/>
      <c r="XFB19"/>
      <c r="XFC19"/>
      <c r="XFD19"/>
    </row>
    <row r="20" spans="1:48 16376:16384" s="448" customFormat="1" ht="15" customHeight="1" x14ac:dyDescent="0.3">
      <c r="A20" s="446"/>
      <c r="B20" s="446"/>
      <c r="C20" s="447"/>
      <c r="E20" s="423" t="s">
        <v>1071</v>
      </c>
      <c r="F20" s="790" t="s">
        <v>735</v>
      </c>
      <c r="G20" s="448" t="s">
        <v>346</v>
      </c>
      <c r="H20" s="5"/>
      <c r="I20" s="448">
        <f t="shared" si="1"/>
        <v>47.558056120000003</v>
      </c>
      <c r="J20" s="450"/>
      <c r="K20" s="577"/>
      <c r="L20" s="577"/>
      <c r="M20" s="577"/>
      <c r="N20" s="577"/>
      <c r="O20" s="577"/>
      <c r="P20" s="577"/>
      <c r="Q20" s="577"/>
      <c r="R20" s="577"/>
      <c r="S20" s="577"/>
      <c r="T20" s="577"/>
      <c r="U20" s="577"/>
      <c r="V20" s="577"/>
      <c r="W20" s="577">
        <v>3.0986351700000001</v>
      </c>
      <c r="X20" s="577">
        <v>3.0332400000000002E-2</v>
      </c>
      <c r="Y20" s="577">
        <v>11.934976240000001</v>
      </c>
      <c r="Z20" s="577">
        <v>7.4916523099999992</v>
      </c>
      <c r="AA20" s="577">
        <v>25.002459999999999</v>
      </c>
      <c r="AB20" s="577"/>
      <c r="AC20" s="577"/>
      <c r="AD20" s="577"/>
      <c r="AE20" s="577"/>
      <c r="AF20" s="577"/>
      <c r="AG20" s="577"/>
      <c r="AH20" s="577"/>
      <c r="AI20" s="577"/>
      <c r="AJ20" s="577"/>
      <c r="AK20" s="577"/>
      <c r="AL20" s="577"/>
      <c r="AM20" s="577"/>
      <c r="AN20" s="577"/>
      <c r="AO20" s="577"/>
      <c r="AP20" s="577"/>
      <c r="AQ20" s="577"/>
      <c r="AR20" s="577"/>
      <c r="AS20" s="577"/>
      <c r="AT20"/>
      <c r="AU20"/>
      <c r="AV20"/>
      <c r="XEV20"/>
      <c r="XEW20"/>
      <c r="XEX20"/>
      <c r="XEY20"/>
      <c r="XEZ20"/>
      <c r="XFA20"/>
      <c r="XFB20"/>
      <c r="XFC20"/>
      <c r="XFD20"/>
    </row>
    <row r="21" spans="1:48 16376:16384" s="448" customFormat="1" ht="15" customHeight="1" x14ac:dyDescent="0.3">
      <c r="A21" s="446"/>
      <c r="B21" s="446"/>
      <c r="C21" s="447"/>
      <c r="E21" s="423" t="s">
        <v>1073</v>
      </c>
      <c r="F21" s="790" t="s">
        <v>735</v>
      </c>
      <c r="G21" s="448" t="s">
        <v>346</v>
      </c>
      <c r="H21" s="5"/>
      <c r="I21" s="448">
        <f t="shared" si="1"/>
        <v>15.523020240000001</v>
      </c>
      <c r="J21" s="450"/>
      <c r="K21" s="577"/>
      <c r="L21" s="577"/>
      <c r="M21" s="577"/>
      <c r="N21" s="577"/>
      <c r="O21" s="577"/>
      <c r="P21" s="577"/>
      <c r="Q21" s="577"/>
      <c r="R21" s="577"/>
      <c r="S21" s="577"/>
      <c r="T21" s="577"/>
      <c r="U21" s="577"/>
      <c r="V21" s="577"/>
      <c r="W21" s="577">
        <v>0.43801950000000001</v>
      </c>
      <c r="X21" s="577">
        <v>2.3209833500000001</v>
      </c>
      <c r="Y21" s="577">
        <v>3.5797152999999997</v>
      </c>
      <c r="Z21" s="577">
        <v>2.8531780899999997</v>
      </c>
      <c r="AA21" s="577">
        <v>6.331124</v>
      </c>
      <c r="AB21" s="577"/>
      <c r="AC21" s="577"/>
      <c r="AD21" s="577"/>
      <c r="AE21" s="577"/>
      <c r="AF21" s="577"/>
      <c r="AG21" s="577"/>
      <c r="AH21" s="577"/>
      <c r="AI21" s="577"/>
      <c r="AJ21" s="577"/>
      <c r="AK21" s="577"/>
      <c r="AL21" s="577"/>
      <c r="AM21" s="577"/>
      <c r="AN21" s="577"/>
      <c r="AO21" s="577"/>
      <c r="AP21" s="577"/>
      <c r="AQ21" s="577"/>
      <c r="AR21" s="577"/>
      <c r="AS21" s="577"/>
      <c r="AT21"/>
      <c r="AU21"/>
      <c r="AV21"/>
      <c r="XEV21"/>
      <c r="XEW21"/>
      <c r="XEX21"/>
      <c r="XEY21"/>
      <c r="XEZ21"/>
      <c r="XFA21"/>
      <c r="XFB21"/>
      <c r="XFC21"/>
      <c r="XFD21"/>
    </row>
    <row r="22" spans="1:48 16376:16384" s="448" customFormat="1" ht="15" customHeight="1" x14ac:dyDescent="0.3">
      <c r="A22" s="446"/>
      <c r="B22" s="446"/>
      <c r="C22" s="447"/>
      <c r="E22" s="423" t="s">
        <v>1072</v>
      </c>
      <c r="F22" s="790" t="s">
        <v>735</v>
      </c>
      <c r="G22" s="448" t="s">
        <v>346</v>
      </c>
      <c r="H22" s="5"/>
      <c r="I22" s="448">
        <f t="shared" si="1"/>
        <v>9.5584969999999991</v>
      </c>
      <c r="J22" s="450"/>
      <c r="K22" s="577"/>
      <c r="L22" s="577"/>
      <c r="M22" s="577"/>
      <c r="N22" s="577"/>
      <c r="O22" s="577"/>
      <c r="P22" s="577"/>
      <c r="Q22" s="577"/>
      <c r="R22" s="577"/>
      <c r="S22" s="577"/>
      <c r="T22" s="577"/>
      <c r="U22" s="577"/>
      <c r="V22" s="577"/>
      <c r="W22" s="577">
        <v>0</v>
      </c>
      <c r="X22" s="577">
        <v>0</v>
      </c>
      <c r="Y22" s="577">
        <v>0</v>
      </c>
      <c r="Z22" s="577">
        <v>0</v>
      </c>
      <c r="AA22" s="577">
        <v>9.5584969999999991</v>
      </c>
      <c r="AB22" s="577"/>
      <c r="AC22" s="577"/>
      <c r="AD22" s="577"/>
      <c r="AE22" s="577"/>
      <c r="AF22" s="577"/>
      <c r="AG22" s="577"/>
      <c r="AH22" s="577"/>
      <c r="AI22" s="577"/>
      <c r="AJ22" s="577"/>
      <c r="AK22" s="577"/>
      <c r="AL22" s="577"/>
      <c r="AM22" s="577"/>
      <c r="AN22" s="577"/>
      <c r="AO22" s="577"/>
      <c r="AP22" s="577"/>
      <c r="AQ22" s="577"/>
      <c r="AR22" s="577"/>
      <c r="AS22" s="577"/>
      <c r="AT22"/>
      <c r="AU22"/>
      <c r="AV22"/>
      <c r="XEV22"/>
      <c r="XEW22"/>
      <c r="XEX22"/>
      <c r="XEY22"/>
      <c r="XEZ22"/>
      <c r="XFA22"/>
      <c r="XFB22"/>
      <c r="XFC22"/>
      <c r="XFD22"/>
    </row>
    <row r="23" spans="1:48 16376:16384" s="448" customFormat="1" ht="15" customHeight="1" x14ac:dyDescent="0.3">
      <c r="A23" s="446"/>
      <c r="B23" s="446"/>
      <c r="C23" s="447"/>
      <c r="E23" s="745" t="s">
        <v>701</v>
      </c>
      <c r="G23" s="448" t="s">
        <v>346</v>
      </c>
      <c r="H23" s="5"/>
      <c r="I23" s="448">
        <f t="shared" si="0"/>
        <v>0.54882699999999995</v>
      </c>
      <c r="J23" s="450"/>
      <c r="K23" s="252">
        <v>0</v>
      </c>
      <c r="L23" s="252">
        <v>0</v>
      </c>
      <c r="M23" s="252">
        <v>0</v>
      </c>
      <c r="N23" s="252">
        <v>0</v>
      </c>
      <c r="O23" s="252">
        <v>0</v>
      </c>
      <c r="P23" s="252">
        <v>0</v>
      </c>
      <c r="Q23" s="252">
        <v>0</v>
      </c>
      <c r="R23" s="252">
        <v>0</v>
      </c>
      <c r="S23" s="252">
        <v>0</v>
      </c>
      <c r="T23" s="252">
        <v>0</v>
      </c>
      <c r="U23" s="252">
        <v>0</v>
      </c>
      <c r="V23" s="272">
        <v>0</v>
      </c>
      <c r="W23" s="577">
        <v>0</v>
      </c>
      <c r="X23" s="577">
        <v>0</v>
      </c>
      <c r="Y23" s="577">
        <v>0</v>
      </c>
      <c r="Z23" s="577">
        <v>0</v>
      </c>
      <c r="AA23" s="744">
        <v>0.54882699999999995</v>
      </c>
      <c r="AB23" s="577"/>
      <c r="AC23" s="577"/>
      <c r="AD23" s="577"/>
      <c r="AE23" s="577"/>
      <c r="AF23" s="577"/>
      <c r="AG23" s="577"/>
      <c r="AH23" s="577"/>
      <c r="AI23" s="577"/>
      <c r="AJ23" s="577"/>
      <c r="AK23" s="577"/>
      <c r="AL23" s="577"/>
      <c r="AM23" s="577"/>
      <c r="AN23" s="577"/>
      <c r="AO23" s="577"/>
      <c r="AP23" s="577"/>
      <c r="AQ23" s="577"/>
      <c r="AR23" s="577"/>
      <c r="AS23" s="577"/>
      <c r="AT23"/>
      <c r="AU23"/>
      <c r="AV23"/>
      <c r="XEV23"/>
      <c r="XEW23"/>
      <c r="XEX23"/>
      <c r="XEY23"/>
      <c r="XEZ23"/>
      <c r="XFA23"/>
      <c r="XFB23"/>
      <c r="XFC23"/>
      <c r="XFD23"/>
    </row>
    <row r="24" spans="1:48 16376:16384" s="725" customFormat="1" ht="15" customHeight="1" x14ac:dyDescent="0.3">
      <c r="A24" s="722"/>
      <c r="B24" s="722"/>
      <c r="C24" s="724"/>
      <c r="E24" s="758" t="s">
        <v>702</v>
      </c>
      <c r="F24" s="794" t="s">
        <v>735</v>
      </c>
      <c r="G24" s="725" t="s">
        <v>346</v>
      </c>
      <c r="H24" s="186"/>
      <c r="I24" s="448">
        <f t="shared" si="0"/>
        <v>42.679182000000004</v>
      </c>
      <c r="J24" s="758"/>
      <c r="K24" s="253">
        <v>0</v>
      </c>
      <c r="L24" s="253">
        <v>0</v>
      </c>
      <c r="M24" s="253">
        <v>0</v>
      </c>
      <c r="N24" s="253">
        <v>0</v>
      </c>
      <c r="O24" s="253">
        <v>0</v>
      </c>
      <c r="P24" s="253">
        <v>0</v>
      </c>
      <c r="Q24" s="253">
        <v>0</v>
      </c>
      <c r="R24" s="253">
        <v>0</v>
      </c>
      <c r="S24" s="253">
        <v>0</v>
      </c>
      <c r="T24" s="253">
        <v>0</v>
      </c>
      <c r="U24" s="253">
        <v>0</v>
      </c>
      <c r="V24" s="795">
        <v>2.7</v>
      </c>
      <c r="W24" s="796">
        <v>8.1</v>
      </c>
      <c r="X24" s="796">
        <v>5.4</v>
      </c>
      <c r="Y24" s="796">
        <v>0</v>
      </c>
      <c r="Z24" s="796">
        <v>0</v>
      </c>
      <c r="AA24" s="797">
        <v>26.479182000000002</v>
      </c>
      <c r="AB24" s="796"/>
      <c r="AC24" s="796"/>
      <c r="AD24" s="796"/>
      <c r="AE24" s="796"/>
      <c r="AF24" s="796"/>
      <c r="AG24" s="796"/>
      <c r="AH24" s="796"/>
      <c r="AI24" s="796"/>
      <c r="AJ24" s="796"/>
      <c r="AK24" s="796"/>
      <c r="AL24" s="796"/>
      <c r="AM24" s="796"/>
      <c r="AN24" s="796"/>
      <c r="AO24" s="796"/>
      <c r="AP24" s="796"/>
      <c r="AQ24" s="796"/>
      <c r="AR24" s="796"/>
      <c r="AS24" s="796"/>
      <c r="AT24"/>
      <c r="AU24"/>
      <c r="AV24"/>
      <c r="XEV24"/>
      <c r="XEW24"/>
      <c r="XEX24"/>
      <c r="XEY24"/>
      <c r="XEZ24"/>
      <c r="XFA24"/>
      <c r="XFB24"/>
      <c r="XFC24"/>
      <c r="XFD24"/>
    </row>
    <row r="25" spans="1:48 16376:16384" s="448" customFormat="1" ht="15" customHeight="1" x14ac:dyDescent="0.3">
      <c r="A25" s="446"/>
      <c r="B25" s="446"/>
      <c r="C25" s="447"/>
      <c r="E25" s="745" t="s">
        <v>703</v>
      </c>
      <c r="G25" s="448" t="s">
        <v>346</v>
      </c>
      <c r="H25" s="5"/>
      <c r="I25" s="448">
        <f t="shared" si="0"/>
        <v>14.13689138</v>
      </c>
      <c r="J25" s="450"/>
      <c r="K25" s="252">
        <v>0</v>
      </c>
      <c r="L25" s="252">
        <v>0</v>
      </c>
      <c r="M25" s="252">
        <v>0</v>
      </c>
      <c r="N25" s="252">
        <v>0</v>
      </c>
      <c r="O25" s="252">
        <v>0</v>
      </c>
      <c r="P25" s="252">
        <v>0</v>
      </c>
      <c r="Q25" s="252">
        <v>0</v>
      </c>
      <c r="R25" s="252">
        <v>1.9199999999999998E-2</v>
      </c>
      <c r="S25" s="252">
        <v>0</v>
      </c>
      <c r="T25" s="252">
        <v>0</v>
      </c>
      <c r="U25" s="252">
        <v>0</v>
      </c>
      <c r="V25" s="272">
        <v>0.33490438</v>
      </c>
      <c r="W25" s="577">
        <v>6.26152</v>
      </c>
      <c r="X25" s="577">
        <v>1.883605</v>
      </c>
      <c r="Y25" s="577">
        <v>8.1514000000000003E-2</v>
      </c>
      <c r="Z25" s="577"/>
      <c r="AA25" s="744">
        <v>5.5561480000000003</v>
      </c>
      <c r="AB25" s="577"/>
      <c r="AC25" s="577"/>
      <c r="AD25" s="577"/>
      <c r="AE25" s="577"/>
      <c r="AF25" s="577"/>
      <c r="AG25" s="577"/>
      <c r="AH25" s="577"/>
      <c r="AI25" s="577"/>
      <c r="AJ25" s="577"/>
      <c r="AK25" s="577"/>
      <c r="AL25" s="577"/>
      <c r="AM25" s="577"/>
      <c r="AN25" s="577"/>
      <c r="AO25" s="577"/>
      <c r="AP25" s="577"/>
      <c r="AQ25" s="577"/>
      <c r="AR25" s="577"/>
      <c r="AS25" s="577"/>
      <c r="AT25"/>
      <c r="AU25"/>
      <c r="AV25"/>
      <c r="XEV25"/>
      <c r="XEW25"/>
      <c r="XEX25"/>
      <c r="XEY25"/>
      <c r="XEZ25"/>
      <c r="XFA25"/>
      <c r="XFB25"/>
      <c r="XFC25"/>
      <c r="XFD25"/>
    </row>
    <row r="26" spans="1:48 16376:16384" s="448" customFormat="1" ht="15" customHeight="1" x14ac:dyDescent="0.3">
      <c r="A26" s="446"/>
      <c r="B26" s="446"/>
      <c r="C26" s="447"/>
      <c r="E26" s="745" t="s">
        <v>704</v>
      </c>
      <c r="F26" s="654"/>
      <c r="G26" s="448" t="s">
        <v>346</v>
      </c>
      <c r="H26" s="5"/>
      <c r="I26" s="448">
        <f t="shared" si="0"/>
        <v>31.019270110000001</v>
      </c>
      <c r="J26" s="450"/>
      <c r="K26" s="252">
        <v>0</v>
      </c>
      <c r="L26" s="252">
        <v>0</v>
      </c>
      <c r="M26" s="252">
        <v>0</v>
      </c>
      <c r="N26" s="252">
        <v>0</v>
      </c>
      <c r="O26" s="252">
        <v>0</v>
      </c>
      <c r="P26" s="252">
        <v>0</v>
      </c>
      <c r="Q26" s="252">
        <v>0</v>
      </c>
      <c r="R26" s="252">
        <v>2.3059999999999999E-3</v>
      </c>
      <c r="S26" s="252">
        <v>0</v>
      </c>
      <c r="T26" s="252">
        <v>0</v>
      </c>
      <c r="U26" s="252">
        <v>0</v>
      </c>
      <c r="V26" s="272">
        <v>0.78470510999999998</v>
      </c>
      <c r="W26" s="577">
        <v>2.7728809999999999</v>
      </c>
      <c r="X26" s="577">
        <v>5.8246960000000003</v>
      </c>
      <c r="Y26" s="577">
        <v>8.0502310000000001</v>
      </c>
      <c r="Z26" s="577">
        <v>0</v>
      </c>
      <c r="AA26" s="744">
        <v>13.584451</v>
      </c>
      <c r="AB26" s="577"/>
      <c r="AC26" s="577"/>
      <c r="AD26" s="577"/>
      <c r="AE26" s="577"/>
      <c r="AF26" s="577"/>
      <c r="AG26" s="577"/>
      <c r="AH26" s="577"/>
      <c r="AI26" s="577"/>
      <c r="AJ26" s="577"/>
      <c r="AK26" s="577"/>
      <c r="AL26" s="577"/>
      <c r="AM26" s="577"/>
      <c r="AN26" s="577"/>
      <c r="AO26" s="577"/>
      <c r="AP26" s="577"/>
      <c r="AQ26" s="577"/>
      <c r="AR26" s="577"/>
      <c r="AS26" s="577"/>
      <c r="AT26"/>
      <c r="AU26"/>
      <c r="AV26"/>
      <c r="XEV26"/>
      <c r="XEW26"/>
      <c r="XEX26"/>
      <c r="XEY26"/>
      <c r="XEZ26"/>
      <c r="XFA26"/>
      <c r="XFB26"/>
      <c r="XFC26"/>
      <c r="XFD26"/>
    </row>
    <row r="27" spans="1:48 16376:16384" s="448" customFormat="1" ht="15" customHeight="1" x14ac:dyDescent="0.3">
      <c r="A27" s="446"/>
      <c r="B27" s="446"/>
      <c r="C27" s="447"/>
      <c r="E27" s="745" t="s">
        <v>705</v>
      </c>
      <c r="F27" s="790" t="s">
        <v>735</v>
      </c>
      <c r="G27" s="448" t="s">
        <v>346</v>
      </c>
      <c r="H27" s="5"/>
      <c r="I27" s="448">
        <f t="shared" si="0"/>
        <v>113.23984485</v>
      </c>
      <c r="J27" s="450"/>
      <c r="K27" s="1116">
        <v>0</v>
      </c>
      <c r="L27" s="1116">
        <v>0</v>
      </c>
      <c r="M27" s="1116">
        <v>0</v>
      </c>
      <c r="N27" s="1116">
        <v>0</v>
      </c>
      <c r="O27" s="1116">
        <v>0</v>
      </c>
      <c r="P27" s="1116">
        <v>0</v>
      </c>
      <c r="Q27" s="1116">
        <v>0</v>
      </c>
      <c r="R27" s="1116">
        <v>2.3059999999999999E-3</v>
      </c>
      <c r="S27" s="1116">
        <v>0</v>
      </c>
      <c r="T27" s="1116">
        <v>0.68107099999999998</v>
      </c>
      <c r="U27" s="1116">
        <v>5.3135076100000003</v>
      </c>
      <c r="V27" s="1117">
        <v>4.9504272399999998</v>
      </c>
      <c r="W27" s="1118">
        <v>18.157969999999999</v>
      </c>
      <c r="X27" s="1118">
        <v>40.621609999999997</v>
      </c>
      <c r="Y27" s="1118">
        <v>3.393662</v>
      </c>
      <c r="Z27" s="1118">
        <v>0</v>
      </c>
      <c r="AA27" s="1119">
        <v>40.119290999999997</v>
      </c>
      <c r="AB27" s="1118"/>
      <c r="AC27" s="1118"/>
      <c r="AD27" s="1118"/>
      <c r="AE27" s="1118"/>
      <c r="AF27" s="1118"/>
      <c r="AG27" s="1118"/>
      <c r="AH27" s="1118"/>
      <c r="AI27" s="1118"/>
      <c r="AJ27" s="1118"/>
      <c r="AK27" s="1118"/>
      <c r="AL27" s="1118"/>
      <c r="AM27" s="1118"/>
      <c r="AN27" s="1118"/>
      <c r="AO27" s="1118"/>
      <c r="AP27" s="1118"/>
      <c r="AQ27" s="1118"/>
      <c r="AR27" s="1118"/>
      <c r="AS27" s="1118"/>
      <c r="AT27"/>
      <c r="AU27"/>
      <c r="AV27"/>
      <c r="XEV27"/>
      <c r="XEW27"/>
      <c r="XEX27"/>
      <c r="XEY27"/>
      <c r="XEZ27"/>
      <c r="XFA27"/>
      <c r="XFB27"/>
      <c r="XFC27"/>
      <c r="XFD27"/>
    </row>
    <row r="28" spans="1:48 16376:16384" s="1122" customFormat="1" ht="15" customHeight="1" x14ac:dyDescent="0.3">
      <c r="A28" s="1120"/>
      <c r="B28" s="1120"/>
      <c r="C28" s="1121"/>
      <c r="E28" s="1122" t="s">
        <v>1069</v>
      </c>
      <c r="F28" s="1125">
        <f xml:space="preserve"> SUMIF(F8:F27, "yes", I8:I27)</f>
        <v>832.87011790999986</v>
      </c>
      <c r="H28" s="1123"/>
      <c r="I28" s="1122">
        <f>SUM(K28:AS28)</f>
        <v>976.49788739999997</v>
      </c>
      <c r="J28" s="1124"/>
      <c r="K28" s="1122">
        <f t="shared" ref="K28:AS28" si="2">SUM(K8:K27)</f>
        <v>5.8763999999999997E-2</v>
      </c>
      <c r="L28" s="1122">
        <f t="shared" si="2"/>
        <v>5.8763999999999997E-2</v>
      </c>
      <c r="M28" s="1122">
        <f t="shared" si="2"/>
        <v>5.8763999999999997E-2</v>
      </c>
      <c r="N28" s="1122">
        <f t="shared" si="2"/>
        <v>5.8763999999999997E-2</v>
      </c>
      <c r="O28" s="1122">
        <f t="shared" si="2"/>
        <v>5.8763999999999997E-2</v>
      </c>
      <c r="P28" s="1122">
        <f t="shared" si="2"/>
        <v>5.8763999999999997E-2</v>
      </c>
      <c r="Q28" s="1122">
        <f t="shared" si="2"/>
        <v>0.20556199999999997</v>
      </c>
      <c r="R28" s="1122">
        <f t="shared" si="2"/>
        <v>8.0427999999999999E-2</v>
      </c>
      <c r="S28" s="1122">
        <f t="shared" si="2"/>
        <v>3.0806E-2</v>
      </c>
      <c r="T28" s="1122">
        <f t="shared" si="2"/>
        <v>0.76560899999999998</v>
      </c>
      <c r="U28" s="1122">
        <f t="shared" si="2"/>
        <v>5.5389220300000002</v>
      </c>
      <c r="V28" s="1122">
        <f t="shared" si="2"/>
        <v>10.312546810000001</v>
      </c>
      <c r="W28" s="1122">
        <f t="shared" si="2"/>
        <v>74.746241199999986</v>
      </c>
      <c r="X28" s="1122">
        <f t="shared" si="2"/>
        <v>132.95299899000003</v>
      </c>
      <c r="Y28" s="1122">
        <f t="shared" si="2"/>
        <v>71.697532039999999</v>
      </c>
      <c r="Z28" s="1122">
        <f t="shared" si="2"/>
        <v>124.34803533000002</v>
      </c>
      <c r="AA28" s="1122">
        <f t="shared" si="2"/>
        <v>555.46662199999992</v>
      </c>
      <c r="AB28" s="1122">
        <f t="shared" si="2"/>
        <v>0</v>
      </c>
      <c r="AC28" s="1122">
        <f t="shared" si="2"/>
        <v>0</v>
      </c>
      <c r="AD28" s="1122">
        <f t="shared" si="2"/>
        <v>0</v>
      </c>
      <c r="AE28" s="1122">
        <f t="shared" si="2"/>
        <v>0</v>
      </c>
      <c r="AF28" s="1122">
        <f t="shared" si="2"/>
        <v>0</v>
      </c>
      <c r="AG28" s="1122">
        <f t="shared" si="2"/>
        <v>0</v>
      </c>
      <c r="AH28" s="1122">
        <f t="shared" si="2"/>
        <v>0</v>
      </c>
      <c r="AI28" s="1122">
        <f t="shared" si="2"/>
        <v>0</v>
      </c>
      <c r="AJ28" s="1122">
        <f t="shared" si="2"/>
        <v>0</v>
      </c>
      <c r="AK28" s="1122">
        <f t="shared" si="2"/>
        <v>0</v>
      </c>
      <c r="AL28" s="1122">
        <f t="shared" si="2"/>
        <v>0</v>
      </c>
      <c r="AM28" s="1122">
        <f t="shared" si="2"/>
        <v>0</v>
      </c>
      <c r="AN28" s="1122">
        <f t="shared" si="2"/>
        <v>0</v>
      </c>
      <c r="AO28" s="1122">
        <f t="shared" si="2"/>
        <v>0</v>
      </c>
      <c r="AP28" s="1122">
        <f t="shared" si="2"/>
        <v>0</v>
      </c>
      <c r="AQ28" s="1122">
        <f t="shared" si="2"/>
        <v>0</v>
      </c>
      <c r="AR28" s="1122">
        <f t="shared" si="2"/>
        <v>0</v>
      </c>
      <c r="AS28" s="1122">
        <f t="shared" si="2"/>
        <v>0</v>
      </c>
      <c r="AT28" s="1102"/>
      <c r="AU28" s="1102"/>
      <c r="AV28" s="1102"/>
      <c r="XEV28" s="1102"/>
      <c r="XEW28" s="1102"/>
      <c r="XEX28" s="1102"/>
      <c r="XEY28" s="1102"/>
      <c r="XEZ28" s="1102"/>
      <c r="XFA28" s="1102"/>
      <c r="XFB28" s="1102"/>
      <c r="XFC28" s="1102"/>
      <c r="XFD28" s="1102"/>
    </row>
    <row r="29" spans="1:48 16376:16384" s="448" customFormat="1" ht="15" customHeight="1" x14ac:dyDescent="0.3">
      <c r="A29" s="446"/>
      <c r="B29" s="446"/>
      <c r="C29" s="447"/>
      <c r="E29" s="423" t="s">
        <v>1068</v>
      </c>
      <c r="F29" s="878">
        <f xml:space="preserve"> F28 / I28</f>
        <v>0.85291543244151813</v>
      </c>
      <c r="H29" s="5"/>
      <c r="J29" s="450"/>
      <c r="AT29"/>
      <c r="AU29"/>
      <c r="AV29"/>
      <c r="XEV29"/>
      <c r="XEW29"/>
      <c r="XEX29"/>
      <c r="XEY29"/>
      <c r="XEZ29"/>
      <c r="XFA29"/>
      <c r="XFB29"/>
      <c r="XFC29"/>
      <c r="XFD29"/>
    </row>
    <row r="30" spans="1:48 16376:16384" s="448" customFormat="1" ht="15" customHeight="1" x14ac:dyDescent="0.3">
      <c r="A30" s="446"/>
      <c r="B30" s="446"/>
      <c r="C30" s="447"/>
      <c r="E30" s="423"/>
      <c r="F30" s="878"/>
      <c r="H30" s="5"/>
      <c r="J30" s="450"/>
      <c r="AT30"/>
      <c r="AU30"/>
      <c r="AV30"/>
      <c r="XEV30"/>
      <c r="XEW30"/>
      <c r="XEX30"/>
      <c r="XEY30"/>
      <c r="XEZ30"/>
      <c r="XFA30"/>
      <c r="XFB30"/>
      <c r="XFC30"/>
      <c r="XFD30"/>
    </row>
    <row r="31" spans="1:48 16376:16384" s="448" customFormat="1" ht="15" customHeight="1" x14ac:dyDescent="0.3">
      <c r="A31" s="446"/>
      <c r="B31" s="446"/>
      <c r="C31" s="447"/>
      <c r="E31" s="423" t="s">
        <v>700</v>
      </c>
      <c r="F31" s="878"/>
      <c r="G31" s="448" t="s">
        <v>346</v>
      </c>
      <c r="H31" s="5"/>
      <c r="I31" s="448">
        <f t="shared" ref="I31:I32" si="3">SUM(K31:AA31)</f>
        <v>101.27254955999999</v>
      </c>
      <c r="J31" s="450"/>
      <c r="K31" s="448">
        <f>SUM(K19:K22)</f>
        <v>0</v>
      </c>
      <c r="L31" s="448">
        <f t="shared" ref="L31:AS31" si="4">SUM(L19:L22)</f>
        <v>0</v>
      </c>
      <c r="M31" s="448">
        <f t="shared" si="4"/>
        <v>0</v>
      </c>
      <c r="N31" s="448">
        <f t="shared" si="4"/>
        <v>0</v>
      </c>
      <c r="O31" s="448">
        <f t="shared" si="4"/>
        <v>0</v>
      </c>
      <c r="P31" s="448">
        <f t="shared" si="4"/>
        <v>0</v>
      </c>
      <c r="Q31" s="448">
        <f t="shared" si="4"/>
        <v>0</v>
      </c>
      <c r="R31" s="448">
        <f t="shared" si="4"/>
        <v>0</v>
      </c>
      <c r="S31" s="448">
        <f t="shared" si="4"/>
        <v>0</v>
      </c>
      <c r="T31" s="448">
        <f t="shared" si="4"/>
        <v>0</v>
      </c>
      <c r="U31" s="448">
        <f t="shared" si="4"/>
        <v>0</v>
      </c>
      <c r="V31" s="448">
        <f t="shared" si="4"/>
        <v>0</v>
      </c>
      <c r="W31" s="448">
        <f t="shared" si="4"/>
        <v>4.7770602000000002</v>
      </c>
      <c r="X31" s="448">
        <f t="shared" si="4"/>
        <v>6.6217429899999996</v>
      </c>
      <c r="Y31" s="448">
        <f t="shared" si="4"/>
        <v>21.930309040000001</v>
      </c>
      <c r="Z31" s="448">
        <f t="shared" si="4"/>
        <v>14.236005329999999</v>
      </c>
      <c r="AA31" s="448">
        <f t="shared" si="4"/>
        <v>53.707431999999997</v>
      </c>
      <c r="AB31" s="448">
        <f t="shared" si="4"/>
        <v>0</v>
      </c>
      <c r="AC31" s="448">
        <f t="shared" si="4"/>
        <v>0</v>
      </c>
      <c r="AD31" s="448">
        <f t="shared" si="4"/>
        <v>0</v>
      </c>
      <c r="AE31" s="448">
        <f t="shared" si="4"/>
        <v>0</v>
      </c>
      <c r="AF31" s="448">
        <f t="shared" si="4"/>
        <v>0</v>
      </c>
      <c r="AG31" s="448">
        <f t="shared" si="4"/>
        <v>0</v>
      </c>
      <c r="AH31" s="448">
        <f t="shared" si="4"/>
        <v>0</v>
      </c>
      <c r="AI31" s="448">
        <f t="shared" si="4"/>
        <v>0</v>
      </c>
      <c r="AJ31" s="448">
        <f t="shared" si="4"/>
        <v>0</v>
      </c>
      <c r="AK31" s="448">
        <f t="shared" si="4"/>
        <v>0</v>
      </c>
      <c r="AL31" s="448">
        <f t="shared" si="4"/>
        <v>0</v>
      </c>
      <c r="AM31" s="448">
        <f t="shared" si="4"/>
        <v>0</v>
      </c>
      <c r="AN31" s="448">
        <f t="shared" si="4"/>
        <v>0</v>
      </c>
      <c r="AO31" s="448">
        <f t="shared" si="4"/>
        <v>0</v>
      </c>
      <c r="AP31" s="448">
        <f t="shared" si="4"/>
        <v>0</v>
      </c>
      <c r="AQ31" s="448">
        <f t="shared" si="4"/>
        <v>0</v>
      </c>
      <c r="AR31" s="448">
        <f t="shared" si="4"/>
        <v>0</v>
      </c>
      <c r="AS31" s="448">
        <f t="shared" si="4"/>
        <v>0</v>
      </c>
      <c r="AT31"/>
      <c r="AU31"/>
      <c r="AV31"/>
      <c r="XEV31"/>
      <c r="XEW31"/>
      <c r="XEX31"/>
      <c r="XEY31"/>
      <c r="XEZ31"/>
      <c r="XFA31"/>
      <c r="XFB31"/>
      <c r="XFC31"/>
      <c r="XFD31"/>
    </row>
    <row r="32" spans="1:48 16376:16384" s="448" customFormat="1" ht="15" customHeight="1" x14ac:dyDescent="0.3">
      <c r="A32" s="446"/>
      <c r="B32" s="446"/>
      <c r="C32" s="447"/>
      <c r="E32" s="423" t="s">
        <v>1075</v>
      </c>
      <c r="F32" s="878"/>
      <c r="G32" s="448" t="s">
        <v>346</v>
      </c>
      <c r="H32" s="5"/>
      <c r="I32" s="448">
        <f t="shared" si="3"/>
        <v>53.714493439999998</v>
      </c>
      <c r="J32" s="450"/>
      <c r="K32" s="448">
        <f>K19 + K21 + K22</f>
        <v>0</v>
      </c>
      <c r="L32" s="448">
        <f t="shared" ref="L32:AS32" si="5">L19 + L21 + L22</f>
        <v>0</v>
      </c>
      <c r="M32" s="448">
        <f t="shared" si="5"/>
        <v>0</v>
      </c>
      <c r="N32" s="448">
        <f t="shared" si="5"/>
        <v>0</v>
      </c>
      <c r="O32" s="448">
        <f t="shared" si="5"/>
        <v>0</v>
      </c>
      <c r="P32" s="448">
        <f t="shared" si="5"/>
        <v>0</v>
      </c>
      <c r="Q32" s="448">
        <f t="shared" si="5"/>
        <v>0</v>
      </c>
      <c r="R32" s="448">
        <f t="shared" si="5"/>
        <v>0</v>
      </c>
      <c r="S32" s="448">
        <f t="shared" si="5"/>
        <v>0</v>
      </c>
      <c r="T32" s="448">
        <f t="shared" si="5"/>
        <v>0</v>
      </c>
      <c r="U32" s="448">
        <f t="shared" si="5"/>
        <v>0</v>
      </c>
      <c r="V32" s="448">
        <f t="shared" si="5"/>
        <v>0</v>
      </c>
      <c r="W32" s="448">
        <f t="shared" si="5"/>
        <v>1.6784250300000001</v>
      </c>
      <c r="X32" s="448">
        <f t="shared" si="5"/>
        <v>6.5914105900000006</v>
      </c>
      <c r="Y32" s="448">
        <f t="shared" si="5"/>
        <v>9.9953327999999999</v>
      </c>
      <c r="Z32" s="448">
        <f t="shared" si="5"/>
        <v>6.7443530200000001</v>
      </c>
      <c r="AA32" s="448">
        <f t="shared" si="5"/>
        <v>28.704971999999998</v>
      </c>
      <c r="AB32" s="448">
        <f t="shared" si="5"/>
        <v>0</v>
      </c>
      <c r="AC32" s="448">
        <f t="shared" si="5"/>
        <v>0</v>
      </c>
      <c r="AD32" s="448">
        <f t="shared" si="5"/>
        <v>0</v>
      </c>
      <c r="AE32" s="448">
        <f t="shared" si="5"/>
        <v>0</v>
      </c>
      <c r="AF32" s="448">
        <f t="shared" si="5"/>
        <v>0</v>
      </c>
      <c r="AG32" s="448">
        <f t="shared" si="5"/>
        <v>0</v>
      </c>
      <c r="AH32" s="448">
        <f t="shared" si="5"/>
        <v>0</v>
      </c>
      <c r="AI32" s="448">
        <f t="shared" si="5"/>
        <v>0</v>
      </c>
      <c r="AJ32" s="448">
        <f t="shared" si="5"/>
        <v>0</v>
      </c>
      <c r="AK32" s="448">
        <f t="shared" si="5"/>
        <v>0</v>
      </c>
      <c r="AL32" s="448">
        <f t="shared" si="5"/>
        <v>0</v>
      </c>
      <c r="AM32" s="448">
        <f t="shared" si="5"/>
        <v>0</v>
      </c>
      <c r="AN32" s="448">
        <f t="shared" si="5"/>
        <v>0</v>
      </c>
      <c r="AO32" s="448">
        <f t="shared" si="5"/>
        <v>0</v>
      </c>
      <c r="AP32" s="448">
        <f t="shared" si="5"/>
        <v>0</v>
      </c>
      <c r="AQ32" s="448">
        <f t="shared" si="5"/>
        <v>0</v>
      </c>
      <c r="AR32" s="448">
        <f t="shared" si="5"/>
        <v>0</v>
      </c>
      <c r="AS32" s="448">
        <f t="shared" si="5"/>
        <v>0</v>
      </c>
      <c r="AT32"/>
      <c r="AU32"/>
      <c r="AV32"/>
      <c r="XEV32"/>
      <c r="XEW32"/>
      <c r="XEX32"/>
      <c r="XEY32"/>
      <c r="XEZ32"/>
      <c r="XFA32"/>
      <c r="XFB32"/>
      <c r="XFC32"/>
      <c r="XFD32"/>
    </row>
    <row r="34" spans="1:48 16376:16384" ht="15" customHeight="1" collapsed="1" x14ac:dyDescent="0.3">
      <c r="A34" s="454" t="s">
        <v>689</v>
      </c>
      <c r="B34" s="455"/>
      <c r="C34" s="456"/>
      <c r="D34" s="457"/>
      <c r="E34" s="455"/>
      <c r="F34" s="455"/>
      <c r="G34" s="455"/>
      <c r="H34" s="455"/>
      <c r="I34" s="455"/>
      <c r="J34" s="458"/>
      <c r="K34" s="455"/>
      <c r="L34" s="455"/>
      <c r="M34" s="455"/>
      <c r="N34" s="455"/>
      <c r="O34" s="455"/>
      <c r="P34" s="455"/>
      <c r="Q34" s="455"/>
      <c r="R34" s="455"/>
      <c r="S34" s="455"/>
      <c r="T34" s="455"/>
      <c r="U34" s="455"/>
      <c r="V34" s="455"/>
      <c r="W34" s="455"/>
      <c r="X34" s="455"/>
      <c r="Y34" s="455"/>
      <c r="Z34" s="455"/>
      <c r="AA34" s="455"/>
      <c r="AB34" s="455"/>
      <c r="AC34" s="455"/>
      <c r="AD34" s="455"/>
      <c r="AE34" s="455"/>
      <c r="AF34" s="455"/>
      <c r="AG34" s="455"/>
      <c r="AH34" s="455"/>
      <c r="AI34" s="455"/>
      <c r="AJ34" s="455"/>
      <c r="AK34" s="455"/>
      <c r="AL34" s="455"/>
      <c r="AM34" s="455"/>
      <c r="AN34" s="455"/>
      <c r="AO34" s="455"/>
      <c r="AP34" s="455"/>
      <c r="AQ34" s="455"/>
      <c r="AR34" s="455"/>
      <c r="AS34" s="455"/>
    </row>
    <row r="35" spans="1:48 16376:16384" ht="15" customHeight="1" x14ac:dyDescent="0.3">
      <c r="AL35" s="448"/>
      <c r="AM35" s="448"/>
      <c r="AN35" s="448"/>
      <c r="AO35" s="448"/>
      <c r="AP35" s="448"/>
    </row>
    <row r="36" spans="1:48 16376:16384" s="448" customFormat="1" ht="15" customHeight="1" x14ac:dyDescent="0.3">
      <c r="A36" s="446"/>
      <c r="B36" s="446" t="s">
        <v>93</v>
      </c>
      <c r="C36" s="447"/>
      <c r="H36" s="5"/>
      <c r="J36" s="450"/>
      <c r="AQ36"/>
      <c r="AR36"/>
      <c r="AS36"/>
      <c r="AT36"/>
      <c r="AU36"/>
      <c r="AV36"/>
      <c r="XEV36"/>
      <c r="XEW36"/>
      <c r="XEX36"/>
      <c r="XEY36"/>
      <c r="XEZ36"/>
      <c r="XFA36"/>
      <c r="XFB36"/>
      <c r="XFC36"/>
      <c r="XFD36"/>
    </row>
    <row r="37" spans="1:48 16376:16384" ht="15" customHeight="1" x14ac:dyDescent="0.3">
      <c r="A37" s="722"/>
      <c r="B37" s="722"/>
      <c r="C37" s="724"/>
      <c r="D37" s="725"/>
      <c r="E37" s="742" t="str">
        <f xml:space="preserve"> E$31</f>
        <v>Royalties (EITI)</v>
      </c>
      <c r="F37" s="742">
        <f t="shared" ref="F37:AS37" si="6" xml:space="preserve"> F$31</f>
        <v>0</v>
      </c>
      <c r="G37" s="742" t="str">
        <f t="shared" si="6"/>
        <v>$ mn</v>
      </c>
      <c r="H37" s="742">
        <f t="shared" si="6"/>
        <v>0</v>
      </c>
      <c r="I37" s="742">
        <f t="shared" si="6"/>
        <v>101.27254955999999</v>
      </c>
      <c r="J37" s="742">
        <f t="shared" si="6"/>
        <v>0</v>
      </c>
      <c r="K37" s="742">
        <f t="shared" si="6"/>
        <v>0</v>
      </c>
      <c r="L37" s="742">
        <f t="shared" si="6"/>
        <v>0</v>
      </c>
      <c r="M37" s="742">
        <f t="shared" si="6"/>
        <v>0</v>
      </c>
      <c r="N37" s="742">
        <f t="shared" si="6"/>
        <v>0</v>
      </c>
      <c r="O37" s="742">
        <f t="shared" si="6"/>
        <v>0</v>
      </c>
      <c r="P37" s="742">
        <f t="shared" si="6"/>
        <v>0</v>
      </c>
      <c r="Q37" s="742">
        <f t="shared" si="6"/>
        <v>0</v>
      </c>
      <c r="R37" s="742">
        <f t="shared" si="6"/>
        <v>0</v>
      </c>
      <c r="S37" s="742">
        <f t="shared" si="6"/>
        <v>0</v>
      </c>
      <c r="T37" s="742">
        <f t="shared" si="6"/>
        <v>0</v>
      </c>
      <c r="U37" s="742">
        <f t="shared" si="6"/>
        <v>0</v>
      </c>
      <c r="V37" s="742">
        <f t="shared" si="6"/>
        <v>0</v>
      </c>
      <c r="W37" s="742">
        <f t="shared" si="6"/>
        <v>4.7770602000000002</v>
      </c>
      <c r="X37" s="742">
        <f t="shared" si="6"/>
        <v>6.6217429899999996</v>
      </c>
      <c r="Y37" s="742">
        <f t="shared" si="6"/>
        <v>21.930309040000001</v>
      </c>
      <c r="Z37" s="742">
        <f t="shared" si="6"/>
        <v>14.236005329999999</v>
      </c>
      <c r="AA37" s="742">
        <f t="shared" si="6"/>
        <v>53.707431999999997</v>
      </c>
      <c r="AB37" s="742">
        <f t="shared" si="6"/>
        <v>0</v>
      </c>
      <c r="AC37" s="742">
        <f t="shared" si="6"/>
        <v>0</v>
      </c>
      <c r="AD37" s="742">
        <f t="shared" si="6"/>
        <v>0</v>
      </c>
      <c r="AE37" s="742">
        <f t="shared" si="6"/>
        <v>0</v>
      </c>
      <c r="AF37" s="742">
        <f t="shared" si="6"/>
        <v>0</v>
      </c>
      <c r="AG37" s="742">
        <f t="shared" si="6"/>
        <v>0</v>
      </c>
      <c r="AH37" s="742">
        <f t="shared" si="6"/>
        <v>0</v>
      </c>
      <c r="AI37" s="742">
        <f t="shared" si="6"/>
        <v>0</v>
      </c>
      <c r="AJ37" s="742">
        <f t="shared" si="6"/>
        <v>0</v>
      </c>
      <c r="AK37" s="742">
        <f t="shared" si="6"/>
        <v>0</v>
      </c>
      <c r="AL37" s="742">
        <f t="shared" si="6"/>
        <v>0</v>
      </c>
      <c r="AM37" s="742">
        <f t="shared" si="6"/>
        <v>0</v>
      </c>
      <c r="AN37" s="742">
        <f t="shared" si="6"/>
        <v>0</v>
      </c>
      <c r="AO37" s="742">
        <f t="shared" si="6"/>
        <v>0</v>
      </c>
      <c r="AP37" s="742">
        <f t="shared" si="6"/>
        <v>0</v>
      </c>
      <c r="AQ37" s="742">
        <f t="shared" si="6"/>
        <v>0</v>
      </c>
      <c r="AR37" s="742">
        <f t="shared" si="6"/>
        <v>0</v>
      </c>
      <c r="AS37" s="742">
        <f t="shared" si="6"/>
        <v>0</v>
      </c>
    </row>
    <row r="38" spans="1:48 16376:16384" s="448" customFormat="1" ht="15" customHeight="1" x14ac:dyDescent="0.3">
      <c r="A38" s="446"/>
      <c r="B38" s="446"/>
      <c r="C38" s="447"/>
      <c r="E38" s="704" t="str">
        <f xml:space="preserve"> COMMUS_Model!E$450</f>
        <v>Total royalty</v>
      </c>
      <c r="F38" s="704">
        <f xml:space="preserve"> COMMUS_Model!F$450</f>
        <v>0</v>
      </c>
      <c r="G38" s="704" t="str">
        <f xml:space="preserve"> COMMUS_Model!G$450</f>
        <v>$ mn</v>
      </c>
      <c r="H38" s="704">
        <f xml:space="preserve"> COMMUS_Model!H$450</f>
        <v>0</v>
      </c>
      <c r="I38" s="704">
        <f xml:space="preserve"> COMMUS_Model!I$450</f>
        <v>457.74229303356492</v>
      </c>
      <c r="J38" s="704">
        <f xml:space="preserve"> COMMUS_Model!J$450</f>
        <v>0</v>
      </c>
      <c r="K38" s="704">
        <f xml:space="preserve"> COMMUS_Model!K$450</f>
        <v>0</v>
      </c>
      <c r="L38" s="704">
        <f xml:space="preserve"> COMMUS_Model!L$450</f>
        <v>0</v>
      </c>
      <c r="M38" s="704">
        <f xml:space="preserve"> COMMUS_Model!M$450</f>
        <v>0</v>
      </c>
      <c r="N38" s="704">
        <f xml:space="preserve"> COMMUS_Model!N$450</f>
        <v>0</v>
      </c>
      <c r="O38" s="704">
        <f xml:space="preserve"> COMMUS_Model!O$450</f>
        <v>0</v>
      </c>
      <c r="P38" s="704">
        <f xml:space="preserve"> COMMUS_Model!P$450</f>
        <v>0</v>
      </c>
      <c r="Q38" s="704">
        <f xml:space="preserve"> COMMUS_Model!Q$450</f>
        <v>0</v>
      </c>
      <c r="R38" s="704">
        <f xml:space="preserve"> COMMUS_Model!R$450</f>
        <v>0</v>
      </c>
      <c r="S38" s="704">
        <f xml:space="preserve"> COMMUS_Model!S$450</f>
        <v>0</v>
      </c>
      <c r="T38" s="704">
        <f xml:space="preserve"> COMMUS_Model!T$450</f>
        <v>0</v>
      </c>
      <c r="U38" s="704">
        <f xml:space="preserve"> COMMUS_Model!U$450</f>
        <v>0</v>
      </c>
      <c r="V38" s="704">
        <f xml:space="preserve"> COMMUS_Model!V$450</f>
        <v>2.0936121000000005</v>
      </c>
      <c r="W38" s="704">
        <f xml:space="preserve"> COMMUS_Model!W$450</f>
        <v>7.5658579699999997</v>
      </c>
      <c r="X38" s="704">
        <f xml:space="preserve"> COMMUS_Model!X$450</f>
        <v>16.337975890432002</v>
      </c>
      <c r="Y38" s="704">
        <f xml:space="preserve"> COMMUS_Model!Y$450</f>
        <v>25.546252756080001</v>
      </c>
      <c r="Z38" s="704">
        <f xml:space="preserve"> COMMUS_Model!Z$450</f>
        <v>43.023062557888011</v>
      </c>
      <c r="AA38" s="704">
        <f xml:space="preserve"> COMMUS_Model!AA$450</f>
        <v>43.288425837524002</v>
      </c>
      <c r="AB38" s="704">
        <f xml:space="preserve"> COMMUS_Model!AB$450</f>
        <v>39.115809928424305</v>
      </c>
      <c r="AC38" s="704">
        <f xml:space="preserve"> COMMUS_Model!AC$450</f>
        <v>23.714695633259289</v>
      </c>
      <c r="AD38" s="704">
        <f xml:space="preserve"> COMMUS_Model!AD$450</f>
        <v>36.174084346767344</v>
      </c>
      <c r="AE38" s="704">
        <f xml:space="preserve"> COMMUS_Model!AE$450</f>
        <v>36.23127661610944</v>
      </c>
      <c r="AF38" s="704">
        <f xml:space="preserve"> COMMUS_Model!AF$450</f>
        <v>36.198843743194338</v>
      </c>
      <c r="AG38" s="704">
        <f xml:space="preserve"> COMMUS_Model!AG$450</f>
        <v>36.152806681136795</v>
      </c>
      <c r="AH38" s="704">
        <f xml:space="preserve"> COMMUS_Model!AH$450</f>
        <v>36.201691396517489</v>
      </c>
      <c r="AI38" s="704">
        <f xml:space="preserve"> COMMUS_Model!AI$450</f>
        <v>31.43504126794684</v>
      </c>
      <c r="AJ38" s="704">
        <f xml:space="preserve"> COMMUS_Model!AJ$450</f>
        <v>31.402193175662639</v>
      </c>
      <c r="AK38" s="704">
        <f xml:space="preserve"> COMMUS_Model!AK$450</f>
        <v>13.260663132622414</v>
      </c>
      <c r="AL38" s="704">
        <f xml:space="preserve"> COMMUS_Model!AL$450</f>
        <v>0</v>
      </c>
      <c r="AM38" s="704">
        <f xml:space="preserve"> COMMUS_Model!AM$450</f>
        <v>0</v>
      </c>
      <c r="AN38" s="704">
        <f xml:space="preserve"> COMMUS_Model!AN$450</f>
        <v>0</v>
      </c>
      <c r="AO38" s="704">
        <f xml:space="preserve"> COMMUS_Model!AO$450</f>
        <v>0</v>
      </c>
      <c r="AP38" s="704">
        <f xml:space="preserve"> COMMUS_Model!AP$450</f>
        <v>0</v>
      </c>
      <c r="AQ38" s="704">
        <f xml:space="preserve"> COMMUS_Model!AQ$450</f>
        <v>0</v>
      </c>
      <c r="AR38" s="704">
        <f xml:space="preserve"> COMMUS_Model!AR$450</f>
        <v>0</v>
      </c>
      <c r="AS38" s="704">
        <f xml:space="preserve"> COMMUS_Model!AS$450</f>
        <v>0</v>
      </c>
      <c r="AT38"/>
      <c r="AU38"/>
      <c r="AV38"/>
      <c r="XEV38"/>
      <c r="XEW38"/>
      <c r="XEX38"/>
      <c r="XEY38"/>
      <c r="XEZ38"/>
      <c r="XFA38"/>
      <c r="XFB38"/>
      <c r="XFC38"/>
      <c r="XFD38"/>
    </row>
    <row r="39" spans="1:48 16376:16384" s="423" customFormat="1" ht="15" customHeight="1" x14ac:dyDescent="0.3">
      <c r="A39" s="398"/>
      <c r="B39" s="398"/>
      <c r="C39" s="421"/>
      <c r="E39" s="423" t="s">
        <v>706</v>
      </c>
      <c r="G39" s="423" t="s">
        <v>346</v>
      </c>
      <c r="I39" s="424">
        <f>SUM(K39:AU39)</f>
        <v>-34.489025451924022</v>
      </c>
      <c r="K39" s="51">
        <f t="shared" ref="K39:P39" si="7" xml:space="preserve"> IF(K37  &lt;&gt; 0, K37 - K38, 0)</f>
        <v>0</v>
      </c>
      <c r="L39" s="51">
        <f t="shared" si="7"/>
        <v>0</v>
      </c>
      <c r="M39" s="51">
        <f t="shared" si="7"/>
        <v>0</v>
      </c>
      <c r="N39" s="51">
        <f t="shared" si="7"/>
        <v>0</v>
      </c>
      <c r="O39" s="51">
        <f t="shared" si="7"/>
        <v>0</v>
      </c>
      <c r="P39" s="51">
        <f t="shared" si="7"/>
        <v>0</v>
      </c>
      <c r="Q39" s="51">
        <f t="shared" ref="Q39:AP39" si="8" xml:space="preserve"> IF(Q37  &lt;&gt; 0, Q37 - Q38, 0)</f>
        <v>0</v>
      </c>
      <c r="R39" s="51">
        <f t="shared" si="8"/>
        <v>0</v>
      </c>
      <c r="S39" s="51">
        <f t="shared" si="8"/>
        <v>0</v>
      </c>
      <c r="T39" s="51">
        <f t="shared" si="8"/>
        <v>0</v>
      </c>
      <c r="U39" s="51">
        <f t="shared" si="8"/>
        <v>0</v>
      </c>
      <c r="V39" s="51">
        <f t="shared" si="8"/>
        <v>0</v>
      </c>
      <c r="W39" s="51">
        <f t="shared" si="8"/>
        <v>-2.7887977699999995</v>
      </c>
      <c r="X39" s="51">
        <f xml:space="preserve"> IF(X37  &lt;&gt; 0, X37 - X38, 0)</f>
        <v>-9.7162329004320025</v>
      </c>
      <c r="Y39" s="51">
        <f t="shared" si="8"/>
        <v>-3.6159437160800003</v>
      </c>
      <c r="Z39" s="51">
        <f t="shared" si="8"/>
        <v>-28.787057227888013</v>
      </c>
      <c r="AA39" s="51">
        <f t="shared" si="8"/>
        <v>10.419006162475995</v>
      </c>
      <c r="AB39" s="51">
        <f t="shared" si="8"/>
        <v>0</v>
      </c>
      <c r="AC39" s="51">
        <f t="shared" si="8"/>
        <v>0</v>
      </c>
      <c r="AD39" s="51">
        <f t="shared" si="8"/>
        <v>0</v>
      </c>
      <c r="AE39" s="51">
        <f t="shared" si="8"/>
        <v>0</v>
      </c>
      <c r="AF39" s="51">
        <f t="shared" si="8"/>
        <v>0</v>
      </c>
      <c r="AG39" s="51">
        <f t="shared" si="8"/>
        <v>0</v>
      </c>
      <c r="AH39" s="51">
        <f t="shared" si="8"/>
        <v>0</v>
      </c>
      <c r="AI39" s="51">
        <f t="shared" si="8"/>
        <v>0</v>
      </c>
      <c r="AJ39" s="51">
        <f t="shared" si="8"/>
        <v>0</v>
      </c>
      <c r="AK39" s="51">
        <f t="shared" si="8"/>
        <v>0</v>
      </c>
      <c r="AL39" s="51">
        <f t="shared" si="8"/>
        <v>0</v>
      </c>
      <c r="AM39" s="51">
        <f t="shared" si="8"/>
        <v>0</v>
      </c>
      <c r="AN39" s="51">
        <f t="shared" si="8"/>
        <v>0</v>
      </c>
      <c r="AO39" s="51">
        <f t="shared" si="8"/>
        <v>0</v>
      </c>
      <c r="AP39" s="51">
        <f t="shared" si="8"/>
        <v>0</v>
      </c>
      <c r="AQ39" s="51">
        <f t="shared" ref="AQ39:AS39" si="9" xml:space="preserve"> IF(AQ37  &lt;&gt; 0, AQ37 - AQ38, 0)</f>
        <v>0</v>
      </c>
      <c r="AR39" s="51">
        <f t="shared" si="9"/>
        <v>0</v>
      </c>
      <c r="AS39" s="51">
        <f t="shared" si="9"/>
        <v>0</v>
      </c>
      <c r="AT39"/>
      <c r="AU39"/>
      <c r="AV39"/>
      <c r="XEV39"/>
      <c r="XEW39"/>
      <c r="XEX39"/>
      <c r="XEY39"/>
      <c r="XEZ39"/>
      <c r="XFA39"/>
      <c r="XFB39"/>
      <c r="XFC39"/>
      <c r="XFD39"/>
    </row>
    <row r="40" spans="1:48 16376:16384" s="448" customFormat="1" ht="15" customHeight="1" x14ac:dyDescent="0.3">
      <c r="A40" s="446"/>
      <c r="B40" s="446"/>
      <c r="C40" s="447"/>
      <c r="H40" s="5"/>
      <c r="J40" s="450"/>
      <c r="AT40"/>
      <c r="AU40"/>
      <c r="AV40"/>
      <c r="XEV40"/>
      <c r="XEW40"/>
      <c r="XEX40"/>
      <c r="XEY40"/>
      <c r="XEZ40"/>
      <c r="XFA40"/>
      <c r="XFB40"/>
      <c r="XFC40"/>
      <c r="XFD40"/>
    </row>
    <row r="41" spans="1:48 16376:16384" ht="15" customHeight="1" x14ac:dyDescent="0.3">
      <c r="A41" s="753"/>
      <c r="B41" s="753"/>
      <c r="C41" s="754"/>
      <c r="D41" s="755"/>
      <c r="E41" s="423" t="s">
        <v>1062</v>
      </c>
      <c r="F41" s="423"/>
      <c r="G41" s="423" t="s">
        <v>1061</v>
      </c>
      <c r="H41" s="756"/>
      <c r="I41" s="755"/>
      <c r="J41" s="757"/>
      <c r="K41" s="755">
        <f t="shared" ref="K41:AS41" si="10" xml:space="preserve"> IF(AND(K2 &gt; 2017,K2 &lt; 2023), 1, 0)</f>
        <v>0</v>
      </c>
      <c r="L41" s="755">
        <f t="shared" si="10"/>
        <v>0</v>
      </c>
      <c r="M41" s="755">
        <f t="shared" si="10"/>
        <v>0</v>
      </c>
      <c r="N41" s="755">
        <f t="shared" si="10"/>
        <v>0</v>
      </c>
      <c r="O41" s="755">
        <f t="shared" si="10"/>
        <v>0</v>
      </c>
      <c r="P41" s="755">
        <f t="shared" si="10"/>
        <v>0</v>
      </c>
      <c r="Q41" s="755">
        <f t="shared" si="10"/>
        <v>0</v>
      </c>
      <c r="R41" s="755">
        <f t="shared" si="10"/>
        <v>0</v>
      </c>
      <c r="S41" s="755">
        <f t="shared" si="10"/>
        <v>0</v>
      </c>
      <c r="T41" s="755">
        <f t="shared" si="10"/>
        <v>0</v>
      </c>
      <c r="U41" s="755">
        <f t="shared" si="10"/>
        <v>0</v>
      </c>
      <c r="V41" s="755">
        <f t="shared" si="10"/>
        <v>0</v>
      </c>
      <c r="W41" s="755">
        <f t="shared" si="10"/>
        <v>1</v>
      </c>
      <c r="X41" s="755">
        <f t="shared" si="10"/>
        <v>1</v>
      </c>
      <c r="Y41" s="755">
        <f t="shared" si="10"/>
        <v>1</v>
      </c>
      <c r="Z41" s="755">
        <f t="shared" si="10"/>
        <v>1</v>
      </c>
      <c r="AA41" s="755">
        <f t="shared" si="10"/>
        <v>1</v>
      </c>
      <c r="AB41" s="755">
        <f t="shared" si="10"/>
        <v>0</v>
      </c>
      <c r="AC41" s="755">
        <f t="shared" si="10"/>
        <v>0</v>
      </c>
      <c r="AD41" s="755">
        <f t="shared" si="10"/>
        <v>0</v>
      </c>
      <c r="AE41" s="755">
        <f t="shared" si="10"/>
        <v>0</v>
      </c>
      <c r="AF41" s="755">
        <f t="shared" si="10"/>
        <v>0</v>
      </c>
      <c r="AG41" s="755">
        <f t="shared" si="10"/>
        <v>0</v>
      </c>
      <c r="AH41" s="755">
        <f t="shared" si="10"/>
        <v>0</v>
      </c>
      <c r="AI41" s="755">
        <f t="shared" si="10"/>
        <v>0</v>
      </c>
      <c r="AJ41" s="755">
        <f t="shared" si="10"/>
        <v>0</v>
      </c>
      <c r="AK41" s="755">
        <f t="shared" si="10"/>
        <v>0</v>
      </c>
      <c r="AL41" s="755">
        <f t="shared" si="10"/>
        <v>0</v>
      </c>
      <c r="AM41" s="755">
        <f t="shared" si="10"/>
        <v>0</v>
      </c>
      <c r="AN41" s="755">
        <f t="shared" si="10"/>
        <v>0</v>
      </c>
      <c r="AO41" s="755">
        <f t="shared" si="10"/>
        <v>0</v>
      </c>
      <c r="AP41" s="755">
        <f t="shared" si="10"/>
        <v>0</v>
      </c>
      <c r="AQ41" s="755">
        <f t="shared" si="10"/>
        <v>0</v>
      </c>
      <c r="AR41" s="755">
        <f t="shared" si="10"/>
        <v>0</v>
      </c>
      <c r="AS41" s="755">
        <f t="shared" si="10"/>
        <v>0</v>
      </c>
    </row>
    <row r="42" spans="1:48 16376:16384" s="70" customFormat="1" ht="15" customHeight="1" x14ac:dyDescent="0.3">
      <c r="A42" s="1108"/>
      <c r="B42" s="1108"/>
      <c r="C42" s="1109"/>
      <c r="D42" s="1110"/>
      <c r="E42" s="430" t="s">
        <v>1062</v>
      </c>
      <c r="F42" s="987">
        <f xml:space="preserve"> SUMPRODUCT(K41:AS41, K39:AS39)</f>
        <v>-34.489025451924022</v>
      </c>
      <c r="G42" s="430" t="s">
        <v>346</v>
      </c>
      <c r="H42" s="1080"/>
      <c r="I42" s="1110"/>
      <c r="J42" s="1110"/>
      <c r="K42" s="1110"/>
      <c r="L42" s="1110"/>
      <c r="M42" s="1110"/>
      <c r="N42" s="1110"/>
      <c r="O42" s="1110"/>
      <c r="P42" s="1110"/>
      <c r="Q42" s="1110"/>
      <c r="R42" s="1110"/>
      <c r="S42" s="562"/>
      <c r="T42" s="562"/>
      <c r="U42" s="562"/>
      <c r="V42" s="562"/>
      <c r="W42" s="562"/>
      <c r="X42" s="562"/>
      <c r="Y42" s="562"/>
      <c r="Z42" s="562"/>
      <c r="AA42" s="562"/>
      <c r="AB42" s="562"/>
      <c r="AC42" s="541"/>
      <c r="AD42" s="541"/>
      <c r="AE42" s="562"/>
      <c r="AF42" s="562"/>
      <c r="AG42" s="562"/>
      <c r="AH42" s="562"/>
      <c r="AI42" s="562"/>
      <c r="AJ42" s="562"/>
      <c r="AK42" s="562"/>
      <c r="AL42" s="562"/>
      <c r="AM42" s="562"/>
      <c r="AN42" s="562"/>
      <c r="AO42" s="562"/>
      <c r="AP42" s="562"/>
      <c r="AQ42" s="562"/>
      <c r="AR42" s="562"/>
      <c r="AS42" s="562"/>
    </row>
    <row r="43" spans="1:48 16376:16384" s="448" customFormat="1" ht="15" customHeight="1" x14ac:dyDescent="0.3">
      <c r="A43" s="446"/>
      <c r="B43" s="446"/>
      <c r="C43" s="447"/>
      <c r="H43" s="5"/>
      <c r="J43" s="450"/>
      <c r="AT43"/>
      <c r="AU43"/>
      <c r="AV43"/>
      <c r="XEV43"/>
      <c r="XEW43"/>
      <c r="XEX43"/>
      <c r="XEY43"/>
      <c r="XEZ43"/>
      <c r="XFA43"/>
      <c r="XFB43"/>
      <c r="XFC43"/>
      <c r="XFD43"/>
    </row>
    <row r="44" spans="1:48 16376:16384" s="1134" customFormat="1" ht="15" customHeight="1" x14ac:dyDescent="0.3">
      <c r="A44" s="1132"/>
      <c r="B44" s="1132" t="s">
        <v>1074</v>
      </c>
      <c r="C44" s="1133"/>
      <c r="H44" s="756"/>
      <c r="J44" s="757"/>
      <c r="AT44" s="85"/>
      <c r="AU44" s="85"/>
      <c r="AV44" s="85"/>
      <c r="XEV44" s="85"/>
      <c r="XEW44" s="85"/>
      <c r="XEX44" s="85"/>
      <c r="XEY44" s="85"/>
      <c r="XEZ44" s="85"/>
      <c r="XFA44" s="85"/>
      <c r="XFB44" s="85"/>
      <c r="XFC44" s="85"/>
      <c r="XFD44" s="85"/>
    </row>
    <row r="45" spans="1:48 16376:16384" s="448" customFormat="1" ht="15" customHeight="1" x14ac:dyDescent="0.3">
      <c r="A45" s="446"/>
      <c r="B45" s="446"/>
      <c r="C45" s="447"/>
      <c r="E45" s="704" t="str">
        <f xml:space="preserve"> COMMUS_Model!E$450</f>
        <v>Total royalty</v>
      </c>
      <c r="F45" s="704">
        <f xml:space="preserve"> COMMUS_Model!F$450</f>
        <v>0</v>
      </c>
      <c r="G45" s="704" t="str">
        <f xml:space="preserve"> COMMUS_Model!G$450</f>
        <v>$ mn</v>
      </c>
      <c r="H45" s="704">
        <f xml:space="preserve"> COMMUS_Model!H$450</f>
        <v>0</v>
      </c>
      <c r="I45" s="704">
        <f xml:space="preserve"> COMMUS_Model!I$450</f>
        <v>457.74229303356492</v>
      </c>
      <c r="J45" s="704">
        <f xml:space="preserve"> COMMUS_Model!J$450</f>
        <v>0</v>
      </c>
      <c r="K45" s="704">
        <f xml:space="preserve"> COMMUS_Model!K$450</f>
        <v>0</v>
      </c>
      <c r="L45" s="704">
        <f xml:space="preserve"> COMMUS_Model!L$450</f>
        <v>0</v>
      </c>
      <c r="M45" s="704">
        <f xml:space="preserve"> COMMUS_Model!M$450</f>
        <v>0</v>
      </c>
      <c r="N45" s="704">
        <f xml:space="preserve"> COMMUS_Model!N$450</f>
        <v>0</v>
      </c>
      <c r="O45" s="704">
        <f xml:space="preserve"> COMMUS_Model!O$450</f>
        <v>0</v>
      </c>
      <c r="P45" s="704">
        <f xml:space="preserve"> COMMUS_Model!P$450</f>
        <v>0</v>
      </c>
      <c r="Q45" s="704">
        <f xml:space="preserve"> COMMUS_Model!Q$450</f>
        <v>0</v>
      </c>
      <c r="R45" s="704">
        <f xml:space="preserve"> COMMUS_Model!R$450</f>
        <v>0</v>
      </c>
      <c r="S45" s="704">
        <f xml:space="preserve"> COMMUS_Model!S$450</f>
        <v>0</v>
      </c>
      <c r="T45" s="704">
        <f xml:space="preserve"> COMMUS_Model!T$450</f>
        <v>0</v>
      </c>
      <c r="U45" s="704">
        <f xml:space="preserve"> COMMUS_Model!U$450</f>
        <v>0</v>
      </c>
      <c r="V45" s="704">
        <f xml:space="preserve"> COMMUS_Model!V$450</f>
        <v>2.0936121000000005</v>
      </c>
      <c r="W45" s="704">
        <f xml:space="preserve"> COMMUS_Model!W$450</f>
        <v>7.5658579699999997</v>
      </c>
      <c r="X45" s="704">
        <f xml:space="preserve"> COMMUS_Model!X$450</f>
        <v>16.337975890432002</v>
      </c>
      <c r="Y45" s="704">
        <f xml:space="preserve"> COMMUS_Model!Y$450</f>
        <v>25.546252756080001</v>
      </c>
      <c r="Z45" s="704">
        <f xml:space="preserve"> COMMUS_Model!Z$450</f>
        <v>43.023062557888011</v>
      </c>
      <c r="AA45" s="704">
        <f xml:space="preserve"> COMMUS_Model!AA$450</f>
        <v>43.288425837524002</v>
      </c>
      <c r="AB45" s="704">
        <f xml:space="preserve"> COMMUS_Model!AB$450</f>
        <v>39.115809928424305</v>
      </c>
      <c r="AC45" s="704">
        <f xml:space="preserve"> COMMUS_Model!AC$450</f>
        <v>23.714695633259289</v>
      </c>
      <c r="AD45" s="704">
        <f xml:space="preserve"> COMMUS_Model!AD$450</f>
        <v>36.174084346767344</v>
      </c>
      <c r="AE45" s="704">
        <f xml:space="preserve"> COMMUS_Model!AE$450</f>
        <v>36.23127661610944</v>
      </c>
      <c r="AF45" s="704">
        <f xml:space="preserve"> COMMUS_Model!AF$450</f>
        <v>36.198843743194338</v>
      </c>
      <c r="AG45" s="704">
        <f xml:space="preserve"> COMMUS_Model!AG$450</f>
        <v>36.152806681136795</v>
      </c>
      <c r="AH45" s="704">
        <f xml:space="preserve"> COMMUS_Model!AH$450</f>
        <v>36.201691396517489</v>
      </c>
      <c r="AI45" s="704">
        <f xml:space="preserve"> COMMUS_Model!AI$450</f>
        <v>31.43504126794684</v>
      </c>
      <c r="AJ45" s="704">
        <f xml:space="preserve"> COMMUS_Model!AJ$450</f>
        <v>31.402193175662639</v>
      </c>
      <c r="AK45" s="704">
        <f xml:space="preserve"> COMMUS_Model!AK$450</f>
        <v>13.260663132622414</v>
      </c>
      <c r="AL45" s="704">
        <f xml:space="preserve"> COMMUS_Model!AL$450</f>
        <v>0</v>
      </c>
      <c r="AM45" s="704">
        <f xml:space="preserve"> COMMUS_Model!AM$450</f>
        <v>0</v>
      </c>
      <c r="AN45" s="704">
        <f xml:space="preserve"> COMMUS_Model!AN$450</f>
        <v>0</v>
      </c>
      <c r="AO45" s="704">
        <f xml:space="preserve"> COMMUS_Model!AO$450</f>
        <v>0</v>
      </c>
      <c r="AP45" s="704">
        <f xml:space="preserve"> COMMUS_Model!AP$450</f>
        <v>0</v>
      </c>
      <c r="AQ45" s="704">
        <f xml:space="preserve"> COMMUS_Model!AQ$450</f>
        <v>0</v>
      </c>
      <c r="AR45" s="704">
        <f xml:space="preserve"> COMMUS_Model!AR$450</f>
        <v>0</v>
      </c>
      <c r="AS45" s="704">
        <f xml:space="preserve"> COMMUS_Model!AS$450</f>
        <v>0</v>
      </c>
      <c r="AT45"/>
      <c r="AU45"/>
      <c r="AV45"/>
      <c r="XEV45"/>
      <c r="XEW45"/>
      <c r="XEX45"/>
      <c r="XEY45"/>
      <c r="XEZ45"/>
      <c r="XFA45"/>
      <c r="XFB45"/>
      <c r="XFC45"/>
      <c r="XFD45"/>
    </row>
    <row r="46" spans="1:48 16376:16384" s="725" customFormat="1" ht="15" customHeight="1" x14ac:dyDescent="0.3">
      <c r="A46" s="722"/>
      <c r="B46" s="722"/>
      <c r="C46" s="724"/>
      <c r="E46" s="742" t="s">
        <v>1076</v>
      </c>
      <c r="F46" s="742"/>
      <c r="G46" s="742" t="s">
        <v>346</v>
      </c>
      <c r="H46" s="742"/>
      <c r="I46" s="742">
        <f>SUM(K46:AS46)</f>
        <v>228.87114651678246</v>
      </c>
      <c r="J46" s="742"/>
      <c r="K46" s="742">
        <f>K45 * 0.5</f>
        <v>0</v>
      </c>
      <c r="L46" s="742">
        <f t="shared" ref="L46:AS46" si="11">L45 * 0.5</f>
        <v>0</v>
      </c>
      <c r="M46" s="742">
        <f t="shared" si="11"/>
        <v>0</v>
      </c>
      <c r="N46" s="742">
        <f t="shared" si="11"/>
        <v>0</v>
      </c>
      <c r="O46" s="742">
        <f t="shared" si="11"/>
        <v>0</v>
      </c>
      <c r="P46" s="742">
        <f t="shared" si="11"/>
        <v>0</v>
      </c>
      <c r="Q46" s="742">
        <f t="shared" si="11"/>
        <v>0</v>
      </c>
      <c r="R46" s="742">
        <f t="shared" si="11"/>
        <v>0</v>
      </c>
      <c r="S46" s="742">
        <f t="shared" si="11"/>
        <v>0</v>
      </c>
      <c r="T46" s="742">
        <f t="shared" si="11"/>
        <v>0</v>
      </c>
      <c r="U46" s="742">
        <f t="shared" si="11"/>
        <v>0</v>
      </c>
      <c r="V46" s="742">
        <f t="shared" si="11"/>
        <v>1.0468060500000003</v>
      </c>
      <c r="W46" s="742">
        <f t="shared" si="11"/>
        <v>3.7829289849999999</v>
      </c>
      <c r="X46" s="742">
        <f t="shared" si="11"/>
        <v>8.168987945216001</v>
      </c>
      <c r="Y46" s="742">
        <f t="shared" si="11"/>
        <v>12.773126378040001</v>
      </c>
      <c r="Z46" s="742">
        <f t="shared" si="11"/>
        <v>21.511531278944005</v>
      </c>
      <c r="AA46" s="742">
        <f t="shared" si="11"/>
        <v>21.644212918762001</v>
      </c>
      <c r="AB46" s="742">
        <f t="shared" si="11"/>
        <v>19.557904964212153</v>
      </c>
      <c r="AC46" s="742">
        <f t="shared" si="11"/>
        <v>11.857347816629645</v>
      </c>
      <c r="AD46" s="742">
        <f t="shared" si="11"/>
        <v>18.087042173383672</v>
      </c>
      <c r="AE46" s="742">
        <f t="shared" si="11"/>
        <v>18.11563830805472</v>
      </c>
      <c r="AF46" s="742">
        <f t="shared" si="11"/>
        <v>18.099421871597169</v>
      </c>
      <c r="AG46" s="742">
        <f t="shared" si="11"/>
        <v>18.076403340568397</v>
      </c>
      <c r="AH46" s="742">
        <f t="shared" si="11"/>
        <v>18.100845698258745</v>
      </c>
      <c r="AI46" s="742">
        <f t="shared" si="11"/>
        <v>15.71752063397342</v>
      </c>
      <c r="AJ46" s="742">
        <f t="shared" si="11"/>
        <v>15.701096587831319</v>
      </c>
      <c r="AK46" s="742">
        <f t="shared" si="11"/>
        <v>6.6303315663112068</v>
      </c>
      <c r="AL46" s="742">
        <f t="shared" si="11"/>
        <v>0</v>
      </c>
      <c r="AM46" s="742">
        <f t="shared" si="11"/>
        <v>0</v>
      </c>
      <c r="AN46" s="742">
        <f t="shared" si="11"/>
        <v>0</v>
      </c>
      <c r="AO46" s="742">
        <f t="shared" si="11"/>
        <v>0</v>
      </c>
      <c r="AP46" s="742">
        <f t="shared" si="11"/>
        <v>0</v>
      </c>
      <c r="AQ46" s="742">
        <f t="shared" si="11"/>
        <v>0</v>
      </c>
      <c r="AR46" s="742">
        <f t="shared" si="11"/>
        <v>0</v>
      </c>
      <c r="AS46" s="742">
        <f t="shared" si="11"/>
        <v>0</v>
      </c>
      <c r="AT46" s="143"/>
      <c r="AU46" s="143"/>
      <c r="AV46" s="143"/>
      <c r="XEV46" s="143"/>
      <c r="XEW46" s="143"/>
      <c r="XEX46" s="143"/>
      <c r="XEY46" s="143"/>
      <c r="XEZ46" s="143"/>
      <c r="XFA46" s="143"/>
      <c r="XFB46" s="143"/>
      <c r="XFC46" s="143"/>
      <c r="XFD46" s="143"/>
    </row>
    <row r="47" spans="1:48 16376:16384" s="1134" customFormat="1" ht="15" customHeight="1" x14ac:dyDescent="0.3">
      <c r="A47" s="1132"/>
      <c r="B47" s="1132"/>
      <c r="C47" s="1133"/>
      <c r="H47" s="756"/>
      <c r="J47" s="757"/>
      <c r="AT47" s="85"/>
      <c r="AU47" s="85"/>
      <c r="AV47" s="85"/>
      <c r="XEV47" s="85"/>
      <c r="XEW47" s="85"/>
      <c r="XEX47" s="85"/>
      <c r="XEY47" s="85"/>
      <c r="XEZ47" s="85"/>
      <c r="XFA47" s="85"/>
      <c r="XFB47" s="85"/>
      <c r="XFC47" s="85"/>
      <c r="XFD47" s="85"/>
    </row>
    <row r="48" spans="1:48 16376:16384" ht="15" customHeight="1" x14ac:dyDescent="0.3">
      <c r="A48" s="722"/>
      <c r="B48" s="722"/>
      <c r="C48" s="724"/>
      <c r="D48" s="725"/>
      <c r="E48" s="742" t="str">
        <f xml:space="preserve"> E$32</f>
        <v>Subnational royalties (EITI)</v>
      </c>
      <c r="F48" s="742">
        <f t="shared" ref="F48:AS48" si="12" xml:space="preserve"> F$32</f>
        <v>0</v>
      </c>
      <c r="G48" s="742" t="str">
        <f t="shared" si="12"/>
        <v>$ mn</v>
      </c>
      <c r="H48" s="742">
        <f t="shared" si="12"/>
        <v>0</v>
      </c>
      <c r="I48" s="742">
        <f t="shared" si="12"/>
        <v>53.714493439999998</v>
      </c>
      <c r="J48" s="742">
        <f t="shared" si="12"/>
        <v>0</v>
      </c>
      <c r="K48" s="742">
        <f t="shared" si="12"/>
        <v>0</v>
      </c>
      <c r="L48" s="742">
        <f t="shared" si="12"/>
        <v>0</v>
      </c>
      <c r="M48" s="742">
        <f t="shared" si="12"/>
        <v>0</v>
      </c>
      <c r="N48" s="742">
        <f t="shared" si="12"/>
        <v>0</v>
      </c>
      <c r="O48" s="742">
        <f t="shared" si="12"/>
        <v>0</v>
      </c>
      <c r="P48" s="742">
        <f t="shared" si="12"/>
        <v>0</v>
      </c>
      <c r="Q48" s="742">
        <f t="shared" si="12"/>
        <v>0</v>
      </c>
      <c r="R48" s="742">
        <f t="shared" si="12"/>
        <v>0</v>
      </c>
      <c r="S48" s="742">
        <f t="shared" si="12"/>
        <v>0</v>
      </c>
      <c r="T48" s="742">
        <f t="shared" si="12"/>
        <v>0</v>
      </c>
      <c r="U48" s="742">
        <f t="shared" si="12"/>
        <v>0</v>
      </c>
      <c r="V48" s="742">
        <f t="shared" si="12"/>
        <v>0</v>
      </c>
      <c r="W48" s="742">
        <f t="shared" si="12"/>
        <v>1.6784250300000001</v>
      </c>
      <c r="X48" s="742">
        <f t="shared" si="12"/>
        <v>6.5914105900000006</v>
      </c>
      <c r="Y48" s="742">
        <f t="shared" si="12"/>
        <v>9.9953327999999999</v>
      </c>
      <c r="Z48" s="742">
        <f t="shared" si="12"/>
        <v>6.7443530200000001</v>
      </c>
      <c r="AA48" s="742">
        <f t="shared" si="12"/>
        <v>28.704971999999998</v>
      </c>
      <c r="AB48" s="742">
        <f t="shared" si="12"/>
        <v>0</v>
      </c>
      <c r="AC48" s="742">
        <f t="shared" si="12"/>
        <v>0</v>
      </c>
      <c r="AD48" s="742">
        <f t="shared" si="12"/>
        <v>0</v>
      </c>
      <c r="AE48" s="742">
        <f t="shared" si="12"/>
        <v>0</v>
      </c>
      <c r="AF48" s="742">
        <f t="shared" si="12"/>
        <v>0</v>
      </c>
      <c r="AG48" s="742">
        <f t="shared" si="12"/>
        <v>0</v>
      </c>
      <c r="AH48" s="742">
        <f t="shared" si="12"/>
        <v>0</v>
      </c>
      <c r="AI48" s="742">
        <f t="shared" si="12"/>
        <v>0</v>
      </c>
      <c r="AJ48" s="742">
        <f t="shared" si="12"/>
        <v>0</v>
      </c>
      <c r="AK48" s="742">
        <f t="shared" si="12"/>
        <v>0</v>
      </c>
      <c r="AL48" s="742">
        <f t="shared" si="12"/>
        <v>0</v>
      </c>
      <c r="AM48" s="742">
        <f t="shared" si="12"/>
        <v>0</v>
      </c>
      <c r="AN48" s="742">
        <f t="shared" si="12"/>
        <v>0</v>
      </c>
      <c r="AO48" s="742">
        <f t="shared" si="12"/>
        <v>0</v>
      </c>
      <c r="AP48" s="742">
        <f t="shared" si="12"/>
        <v>0</v>
      </c>
      <c r="AQ48" s="742">
        <f t="shared" si="12"/>
        <v>0</v>
      </c>
      <c r="AR48" s="742">
        <f t="shared" si="12"/>
        <v>0</v>
      </c>
      <c r="AS48" s="742">
        <f t="shared" si="12"/>
        <v>0</v>
      </c>
    </row>
    <row r="49" spans="1:48 16376:16384" s="725" customFormat="1" ht="15" customHeight="1" x14ac:dyDescent="0.3">
      <c r="A49" s="722"/>
      <c r="B49" s="722"/>
      <c r="C49" s="724"/>
      <c r="E49" s="742" t="str">
        <f t="shared" ref="E49:F49" si="13" xml:space="preserve"> E$20</f>
        <v>Redevance Minière: Quote-part Trésor (50%)</v>
      </c>
      <c r="F49" s="742" t="str">
        <f t="shared" si="13"/>
        <v>yes</v>
      </c>
      <c r="G49" s="742" t="str">
        <f t="shared" ref="G49:AS49" si="14" xml:space="preserve"> G$20</f>
        <v>$ mn</v>
      </c>
      <c r="H49" s="742">
        <f t="shared" si="14"/>
        <v>0</v>
      </c>
      <c r="I49" s="742">
        <f t="shared" si="14"/>
        <v>47.558056120000003</v>
      </c>
      <c r="J49" s="742">
        <f t="shared" si="14"/>
        <v>0</v>
      </c>
      <c r="K49" s="742">
        <f t="shared" si="14"/>
        <v>0</v>
      </c>
      <c r="L49" s="742">
        <f t="shared" si="14"/>
        <v>0</v>
      </c>
      <c r="M49" s="742">
        <f t="shared" si="14"/>
        <v>0</v>
      </c>
      <c r="N49" s="742">
        <f t="shared" si="14"/>
        <v>0</v>
      </c>
      <c r="O49" s="742">
        <f t="shared" si="14"/>
        <v>0</v>
      </c>
      <c r="P49" s="742">
        <f t="shared" si="14"/>
        <v>0</v>
      </c>
      <c r="Q49" s="742">
        <f t="shared" si="14"/>
        <v>0</v>
      </c>
      <c r="R49" s="742">
        <f t="shared" si="14"/>
        <v>0</v>
      </c>
      <c r="S49" s="742">
        <f t="shared" si="14"/>
        <v>0</v>
      </c>
      <c r="T49" s="742">
        <f t="shared" si="14"/>
        <v>0</v>
      </c>
      <c r="U49" s="742">
        <f t="shared" si="14"/>
        <v>0</v>
      </c>
      <c r="V49" s="742">
        <f t="shared" si="14"/>
        <v>0</v>
      </c>
      <c r="W49" s="742">
        <f t="shared" si="14"/>
        <v>3.0986351700000001</v>
      </c>
      <c r="X49" s="742">
        <f t="shared" si="14"/>
        <v>3.0332400000000002E-2</v>
      </c>
      <c r="Y49" s="742">
        <f t="shared" si="14"/>
        <v>11.934976240000001</v>
      </c>
      <c r="Z49" s="742">
        <f t="shared" si="14"/>
        <v>7.4916523099999992</v>
      </c>
      <c r="AA49" s="742">
        <f t="shared" si="14"/>
        <v>25.002459999999999</v>
      </c>
      <c r="AB49" s="742">
        <f t="shared" si="14"/>
        <v>0</v>
      </c>
      <c r="AC49" s="742">
        <f t="shared" si="14"/>
        <v>0</v>
      </c>
      <c r="AD49" s="742">
        <f t="shared" si="14"/>
        <v>0</v>
      </c>
      <c r="AE49" s="742">
        <f t="shared" si="14"/>
        <v>0</v>
      </c>
      <c r="AF49" s="742">
        <f t="shared" si="14"/>
        <v>0</v>
      </c>
      <c r="AG49" s="742">
        <f t="shared" si="14"/>
        <v>0</v>
      </c>
      <c r="AH49" s="742">
        <f t="shared" si="14"/>
        <v>0</v>
      </c>
      <c r="AI49" s="742">
        <f t="shared" si="14"/>
        <v>0</v>
      </c>
      <c r="AJ49" s="742">
        <f t="shared" si="14"/>
        <v>0</v>
      </c>
      <c r="AK49" s="742">
        <f t="shared" si="14"/>
        <v>0</v>
      </c>
      <c r="AL49" s="742">
        <f t="shared" si="14"/>
        <v>0</v>
      </c>
      <c r="AM49" s="742">
        <f t="shared" si="14"/>
        <v>0</v>
      </c>
      <c r="AN49" s="742">
        <f t="shared" si="14"/>
        <v>0</v>
      </c>
      <c r="AO49" s="742">
        <f t="shared" si="14"/>
        <v>0</v>
      </c>
      <c r="AP49" s="742">
        <f t="shared" si="14"/>
        <v>0</v>
      </c>
      <c r="AQ49" s="742">
        <f t="shared" si="14"/>
        <v>0</v>
      </c>
      <c r="AR49" s="742">
        <f t="shared" si="14"/>
        <v>0</v>
      </c>
      <c r="AS49" s="742">
        <f t="shared" si="14"/>
        <v>0</v>
      </c>
      <c r="AT49" s="143"/>
      <c r="AU49" s="143"/>
      <c r="AV49" s="143"/>
      <c r="XEV49" s="143"/>
      <c r="XEW49" s="143"/>
      <c r="XEX49" s="143"/>
      <c r="XEY49" s="143"/>
      <c r="XEZ49" s="143"/>
      <c r="XFA49" s="143"/>
      <c r="XFB49" s="143"/>
      <c r="XFC49" s="143"/>
      <c r="XFD49" s="143"/>
    </row>
    <row r="50" spans="1:48 16376:16384" s="725" customFormat="1" ht="15" customHeight="1" x14ac:dyDescent="0.3">
      <c r="A50" s="722"/>
      <c r="B50" s="722"/>
      <c r="C50" s="724"/>
      <c r="E50" s="742" t="s">
        <v>1120</v>
      </c>
      <c r="F50" s="742"/>
      <c r="G50" s="742" t="s">
        <v>346</v>
      </c>
      <c r="H50" s="742"/>
      <c r="I50" s="742">
        <f>SUM(K50:AU50)</f>
        <v>6.1564373199999993</v>
      </c>
      <c r="J50" s="742"/>
      <c r="K50" s="742">
        <f t="shared" ref="K50:W50" si="15" xml:space="preserve"> IF(K48  &lt;&gt; 0, K48 - K49, 0)</f>
        <v>0</v>
      </c>
      <c r="L50" s="742">
        <f t="shared" si="15"/>
        <v>0</v>
      </c>
      <c r="M50" s="742">
        <f t="shared" si="15"/>
        <v>0</v>
      </c>
      <c r="N50" s="742">
        <f t="shared" si="15"/>
        <v>0</v>
      </c>
      <c r="O50" s="742">
        <f t="shared" si="15"/>
        <v>0</v>
      </c>
      <c r="P50" s="742">
        <f t="shared" si="15"/>
        <v>0</v>
      </c>
      <c r="Q50" s="742">
        <f t="shared" si="15"/>
        <v>0</v>
      </c>
      <c r="R50" s="742">
        <f t="shared" si="15"/>
        <v>0</v>
      </c>
      <c r="S50" s="742">
        <f t="shared" si="15"/>
        <v>0</v>
      </c>
      <c r="T50" s="742">
        <f t="shared" si="15"/>
        <v>0</v>
      </c>
      <c r="U50" s="742">
        <f t="shared" si="15"/>
        <v>0</v>
      </c>
      <c r="V50" s="742">
        <f t="shared" si="15"/>
        <v>0</v>
      </c>
      <c r="W50" s="742">
        <f t="shared" si="15"/>
        <v>-1.42021014</v>
      </c>
      <c r="X50" s="742">
        <f xml:space="preserve"> IF(X48  &lt;&gt; 0, X48 - X49, 0)</f>
        <v>6.5610781900000008</v>
      </c>
      <c r="Y50" s="742">
        <f t="shared" ref="Y50:AS50" si="16" xml:space="preserve"> IF(Y48  &lt;&gt; 0, Y48 - Y49, 0)</f>
        <v>-1.9396434400000011</v>
      </c>
      <c r="Z50" s="742">
        <f t="shared" si="16"/>
        <v>-0.74729928999999906</v>
      </c>
      <c r="AA50" s="742">
        <f t="shared" si="16"/>
        <v>3.7025119999999987</v>
      </c>
      <c r="AB50" s="742">
        <f t="shared" si="16"/>
        <v>0</v>
      </c>
      <c r="AC50" s="742">
        <f t="shared" si="16"/>
        <v>0</v>
      </c>
      <c r="AD50" s="742">
        <f t="shared" si="16"/>
        <v>0</v>
      </c>
      <c r="AE50" s="742">
        <f t="shared" si="16"/>
        <v>0</v>
      </c>
      <c r="AF50" s="742">
        <f t="shared" si="16"/>
        <v>0</v>
      </c>
      <c r="AG50" s="742">
        <f t="shared" si="16"/>
        <v>0</v>
      </c>
      <c r="AH50" s="742">
        <f t="shared" si="16"/>
        <v>0</v>
      </c>
      <c r="AI50" s="742">
        <f t="shared" si="16"/>
        <v>0</v>
      </c>
      <c r="AJ50" s="742">
        <f t="shared" si="16"/>
        <v>0</v>
      </c>
      <c r="AK50" s="742">
        <f t="shared" si="16"/>
        <v>0</v>
      </c>
      <c r="AL50" s="742">
        <f t="shared" si="16"/>
        <v>0</v>
      </c>
      <c r="AM50" s="742">
        <f t="shared" si="16"/>
        <v>0</v>
      </c>
      <c r="AN50" s="742">
        <f t="shared" si="16"/>
        <v>0</v>
      </c>
      <c r="AO50" s="742">
        <f t="shared" si="16"/>
        <v>0</v>
      </c>
      <c r="AP50" s="742">
        <f t="shared" si="16"/>
        <v>0</v>
      </c>
      <c r="AQ50" s="742">
        <f t="shared" si="16"/>
        <v>0</v>
      </c>
      <c r="AR50" s="742">
        <f t="shared" si="16"/>
        <v>0</v>
      </c>
      <c r="AS50" s="742">
        <f t="shared" si="16"/>
        <v>0</v>
      </c>
      <c r="AT50" s="143"/>
      <c r="AU50" s="143"/>
      <c r="AV50" s="143"/>
      <c r="XEV50" s="143"/>
      <c r="XEW50" s="143"/>
      <c r="XEX50" s="143"/>
      <c r="XEY50" s="143"/>
      <c r="XEZ50" s="143"/>
      <c r="XFA50" s="143"/>
      <c r="XFB50" s="143"/>
      <c r="XFC50" s="143"/>
      <c r="XFD50" s="143"/>
    </row>
    <row r="51" spans="1:48 16376:16384" s="448" customFormat="1" ht="15" customHeight="1" x14ac:dyDescent="0.3">
      <c r="A51" s="446"/>
      <c r="B51" s="446"/>
      <c r="C51" s="447"/>
      <c r="H51" s="5"/>
      <c r="J51" s="450"/>
      <c r="AT51"/>
      <c r="AU51"/>
      <c r="AV51"/>
      <c r="XEV51"/>
      <c r="XEW51"/>
      <c r="XEX51"/>
      <c r="XEY51"/>
      <c r="XEZ51"/>
      <c r="XFA51"/>
      <c r="XFB51"/>
      <c r="XFC51"/>
      <c r="XFD51"/>
    </row>
    <row r="52" spans="1:48 16376:16384" ht="15" customHeight="1" x14ac:dyDescent="0.3">
      <c r="A52" s="753"/>
      <c r="B52" s="753"/>
      <c r="C52" s="754"/>
      <c r="D52" s="755"/>
      <c r="E52" s="423" t="s">
        <v>1077</v>
      </c>
      <c r="F52" s="423"/>
      <c r="G52" s="423" t="s">
        <v>1061</v>
      </c>
      <c r="H52" s="756"/>
      <c r="I52" s="755"/>
      <c r="J52" s="757"/>
      <c r="K52" s="755">
        <f t="shared" ref="K52:AS52" si="17" xml:space="preserve"> IF(AND(K2 &gt; 2017,K2 &lt; 2023), 1, 0)</f>
        <v>0</v>
      </c>
      <c r="L52" s="755">
        <f t="shared" si="17"/>
        <v>0</v>
      </c>
      <c r="M52" s="755">
        <f t="shared" si="17"/>
        <v>0</v>
      </c>
      <c r="N52" s="755">
        <f t="shared" si="17"/>
        <v>0</v>
      </c>
      <c r="O52" s="755">
        <f t="shared" si="17"/>
        <v>0</v>
      </c>
      <c r="P52" s="755">
        <f t="shared" si="17"/>
        <v>0</v>
      </c>
      <c r="Q52" s="755">
        <f t="shared" si="17"/>
        <v>0</v>
      </c>
      <c r="R52" s="755">
        <f t="shared" si="17"/>
        <v>0</v>
      </c>
      <c r="S52" s="755">
        <f t="shared" si="17"/>
        <v>0</v>
      </c>
      <c r="T52" s="755">
        <f t="shared" si="17"/>
        <v>0</v>
      </c>
      <c r="U52" s="755">
        <f t="shared" si="17"/>
        <v>0</v>
      </c>
      <c r="V52" s="755">
        <f t="shared" si="17"/>
        <v>0</v>
      </c>
      <c r="W52" s="755">
        <f t="shared" si="17"/>
        <v>1</v>
      </c>
      <c r="X52" s="755">
        <f t="shared" si="17"/>
        <v>1</v>
      </c>
      <c r="Y52" s="755">
        <f t="shared" si="17"/>
        <v>1</v>
      </c>
      <c r="Z52" s="755">
        <f t="shared" si="17"/>
        <v>1</v>
      </c>
      <c r="AA52" s="755">
        <f t="shared" si="17"/>
        <v>1</v>
      </c>
      <c r="AB52" s="755">
        <f t="shared" si="17"/>
        <v>0</v>
      </c>
      <c r="AC52" s="755">
        <f t="shared" si="17"/>
        <v>0</v>
      </c>
      <c r="AD52" s="755">
        <f t="shared" si="17"/>
        <v>0</v>
      </c>
      <c r="AE52" s="755">
        <f t="shared" si="17"/>
        <v>0</v>
      </c>
      <c r="AF52" s="755">
        <f t="shared" si="17"/>
        <v>0</v>
      </c>
      <c r="AG52" s="755">
        <f t="shared" si="17"/>
        <v>0</v>
      </c>
      <c r="AH52" s="755">
        <f t="shared" si="17"/>
        <v>0</v>
      </c>
      <c r="AI52" s="755">
        <f t="shared" si="17"/>
        <v>0</v>
      </c>
      <c r="AJ52" s="755">
        <f t="shared" si="17"/>
        <v>0</v>
      </c>
      <c r="AK52" s="755">
        <f t="shared" si="17"/>
        <v>0</v>
      </c>
      <c r="AL52" s="755">
        <f t="shared" si="17"/>
        <v>0</v>
      </c>
      <c r="AM52" s="755">
        <f t="shared" si="17"/>
        <v>0</v>
      </c>
      <c r="AN52" s="755">
        <f t="shared" si="17"/>
        <v>0</v>
      </c>
      <c r="AO52" s="755">
        <f t="shared" si="17"/>
        <v>0</v>
      </c>
      <c r="AP52" s="755">
        <f t="shared" si="17"/>
        <v>0</v>
      </c>
      <c r="AQ52" s="755">
        <f t="shared" si="17"/>
        <v>0</v>
      </c>
      <c r="AR52" s="755">
        <f t="shared" si="17"/>
        <v>0</v>
      </c>
      <c r="AS52" s="755">
        <f t="shared" si="17"/>
        <v>0</v>
      </c>
    </row>
    <row r="53" spans="1:48 16376:16384" s="70" customFormat="1" ht="15" customHeight="1" x14ac:dyDescent="0.3">
      <c r="A53" s="1108"/>
      <c r="B53" s="1108"/>
      <c r="C53" s="1109"/>
      <c r="D53" s="1110"/>
      <c r="E53" s="430" t="s">
        <v>1077</v>
      </c>
      <c r="F53" s="987">
        <f xml:space="preserve"> SUMPRODUCT(K52:AS52, K50:AS50)</f>
        <v>6.1564373199999993</v>
      </c>
      <c r="G53" s="430" t="s">
        <v>346</v>
      </c>
      <c r="H53" s="1080"/>
      <c r="I53" s="1110"/>
      <c r="J53" s="1110"/>
      <c r="K53" s="1110"/>
      <c r="L53" s="1110"/>
      <c r="M53" s="1110"/>
      <c r="N53" s="1110"/>
      <c r="O53" s="1110"/>
      <c r="P53" s="1110"/>
      <c r="Q53" s="1110"/>
      <c r="R53" s="1110"/>
      <c r="S53" s="562"/>
      <c r="T53" s="562"/>
      <c r="U53" s="562"/>
      <c r="V53" s="562"/>
      <c r="W53" s="562"/>
      <c r="X53" s="562"/>
      <c r="Y53" s="562"/>
      <c r="Z53" s="562"/>
      <c r="AA53" s="562"/>
      <c r="AB53" s="562"/>
      <c r="AC53" s="541"/>
      <c r="AD53" s="541"/>
      <c r="AE53" s="562"/>
      <c r="AF53" s="562"/>
      <c r="AG53" s="562"/>
      <c r="AH53" s="562"/>
      <c r="AI53" s="562"/>
      <c r="AJ53" s="562"/>
      <c r="AK53" s="562"/>
      <c r="AL53" s="562"/>
      <c r="AM53" s="562"/>
      <c r="AN53" s="562"/>
      <c r="AO53" s="562"/>
      <c r="AP53" s="562"/>
      <c r="AQ53" s="562"/>
      <c r="AR53" s="562"/>
      <c r="AS53" s="562"/>
    </row>
    <row r="54" spans="1:48 16376:16384" s="1134" customFormat="1" ht="15" customHeight="1" x14ac:dyDescent="0.3">
      <c r="A54" s="1132"/>
      <c r="B54" s="1132"/>
      <c r="C54" s="1133"/>
      <c r="H54" s="756"/>
      <c r="J54" s="757"/>
      <c r="AT54" s="85"/>
      <c r="AU54" s="85"/>
      <c r="AV54" s="85"/>
      <c r="XEV54" s="85"/>
      <c r="XEW54" s="85"/>
      <c r="XEX54" s="85"/>
      <c r="XEY54" s="85"/>
      <c r="XEZ54" s="85"/>
      <c r="XFA54" s="85"/>
      <c r="XFB54" s="85"/>
      <c r="XFC54" s="85"/>
      <c r="XFD54" s="85"/>
    </row>
    <row r="55" spans="1:48 16376:16384" s="1134" customFormat="1" ht="15" customHeight="1" x14ac:dyDescent="0.3">
      <c r="A55" s="1132"/>
      <c r="B55" s="1132" t="s">
        <v>1118</v>
      </c>
      <c r="C55" s="1133"/>
      <c r="H55" s="756"/>
      <c r="J55" s="757"/>
      <c r="AT55" s="85"/>
      <c r="AU55" s="85"/>
      <c r="AV55" s="85"/>
      <c r="XEV55" s="85"/>
      <c r="XEW55" s="85"/>
      <c r="XEX55" s="85"/>
      <c r="XEY55" s="85"/>
      <c r="XEZ55" s="85"/>
      <c r="XFA55" s="85"/>
      <c r="XFB55" s="85"/>
      <c r="XFC55" s="85"/>
      <c r="XFD55" s="85"/>
    </row>
    <row r="56" spans="1:48 16376:16384" s="1134" customFormat="1" ht="15" customHeight="1" x14ac:dyDescent="0.3">
      <c r="A56" s="1132"/>
      <c r="B56" s="1132"/>
      <c r="C56" s="1133"/>
      <c r="E56" s="1165" t="str">
        <f xml:space="preserve"> COMMUS_Model!E$670</f>
        <v>Turnover tax (Chiffre d'Affaires 0.3PC)</v>
      </c>
      <c r="F56" s="1165">
        <f xml:space="preserve"> COMMUS_Model!F$670</f>
        <v>0</v>
      </c>
      <c r="G56" s="1165" t="str">
        <f xml:space="preserve"> COMMUS_Model!G$670</f>
        <v>$ mn</v>
      </c>
      <c r="H56" s="1165">
        <f xml:space="preserve"> COMMUS_Model!H$670</f>
        <v>0</v>
      </c>
      <c r="I56" s="1165">
        <f xml:space="preserve"> COMMUS_Model!I$670</f>
        <v>36.17168207429534</v>
      </c>
      <c r="J56" s="1165">
        <f xml:space="preserve"> COMMUS_Model!J$670</f>
        <v>0</v>
      </c>
      <c r="K56" s="1165">
        <f xml:space="preserve"> COMMUS_Model!K$670</f>
        <v>0</v>
      </c>
      <c r="L56" s="1165">
        <f xml:space="preserve"> COMMUS_Model!L$670</f>
        <v>0</v>
      </c>
      <c r="M56" s="1165">
        <f xml:space="preserve"> COMMUS_Model!M$670</f>
        <v>0</v>
      </c>
      <c r="N56" s="1165">
        <f xml:space="preserve"> COMMUS_Model!N$670</f>
        <v>0</v>
      </c>
      <c r="O56" s="1165">
        <f xml:space="preserve"> COMMUS_Model!O$670</f>
        <v>0</v>
      </c>
      <c r="P56" s="1165">
        <f xml:space="preserve"> COMMUS_Model!P$670</f>
        <v>0</v>
      </c>
      <c r="Q56" s="1165">
        <f xml:space="preserve"> COMMUS_Model!Q$670</f>
        <v>0</v>
      </c>
      <c r="R56" s="1165">
        <f xml:space="preserve"> COMMUS_Model!R$670</f>
        <v>0</v>
      </c>
      <c r="S56" s="1165">
        <f xml:space="preserve"> COMMUS_Model!S$670</f>
        <v>0</v>
      </c>
      <c r="T56" s="1165">
        <f xml:space="preserve"> COMMUS_Model!T$670</f>
        <v>0</v>
      </c>
      <c r="U56" s="1165">
        <f xml:space="preserve"> COMMUS_Model!U$670</f>
        <v>0</v>
      </c>
      <c r="V56" s="1165">
        <f xml:space="preserve"> COMMUS_Model!V$670</f>
        <v>0.31404181500000006</v>
      </c>
      <c r="W56" s="1165">
        <f xml:space="preserve"> COMMUS_Model!W$670</f>
        <v>0.82536632399999987</v>
      </c>
      <c r="X56" s="1165">
        <f xml:space="preserve"> COMMUS_Model!X$670</f>
        <v>1.3029954585129602</v>
      </c>
      <c r="Y56" s="1165">
        <f xml:space="preserve"> COMMUS_Model!Y$670</f>
        <v>2.0061437958324002</v>
      </c>
      <c r="Z56" s="1165">
        <f xml:space="preserve"> COMMUS_Model!Z$670</f>
        <v>3.3560971628366403</v>
      </c>
      <c r="AA56" s="1165">
        <f xml:space="preserve"> COMMUS_Model!AA$670</f>
        <v>3.1286356200757202</v>
      </c>
      <c r="AB56" s="1165">
        <f xml:space="preserve"> COMMUS_Model!AB$670</f>
        <v>3.0706451289885188</v>
      </c>
      <c r="AC56" s="1165">
        <f xml:space="preserve"> COMMUS_Model!AC$670</f>
        <v>1.9614291687777747</v>
      </c>
      <c r="AD56" s="1165">
        <f xml:space="preserve"> COMMUS_Model!AD$670</f>
        <v>2.8500910989634924</v>
      </c>
      <c r="AE56" s="1165">
        <f xml:space="preserve"> COMMUS_Model!AE$670</f>
        <v>2.8549932934785289</v>
      </c>
      <c r="AF56" s="1165">
        <f xml:space="preserve"> COMMUS_Model!AF$670</f>
        <v>2.8522133329429491</v>
      </c>
      <c r="AG56" s="1165">
        <f xml:space="preserve"> COMMUS_Model!AG$670</f>
        <v>2.8482672990523024</v>
      </c>
      <c r="AH56" s="1165">
        <f xml:space="preserve"> COMMUS_Model!AH$670</f>
        <v>2.852457417513504</v>
      </c>
      <c r="AI56" s="1165">
        <f xml:space="preserve"> COMMUS_Model!AI$670</f>
        <v>2.4380476477577542</v>
      </c>
      <c r="AJ56" s="1165">
        <f xml:space="preserve"> COMMUS_Model!AJ$670</f>
        <v>2.4680766210267722</v>
      </c>
      <c r="AK56" s="1165">
        <f xml:space="preserve"> COMMUS_Model!AK$670</f>
        <v>1.0421808895360172</v>
      </c>
      <c r="AL56" s="1165">
        <f xml:space="preserve"> COMMUS_Model!AL$670</f>
        <v>0</v>
      </c>
      <c r="AM56" s="1165">
        <f xml:space="preserve"> COMMUS_Model!AM$670</f>
        <v>0</v>
      </c>
      <c r="AN56" s="1165">
        <f xml:space="preserve"> COMMUS_Model!AN$670</f>
        <v>0</v>
      </c>
      <c r="AO56" s="1165">
        <f xml:space="preserve"> COMMUS_Model!AO$670</f>
        <v>0</v>
      </c>
      <c r="AP56" s="1165">
        <f xml:space="preserve"> COMMUS_Model!AP$670</f>
        <v>0</v>
      </c>
      <c r="AQ56" s="1165">
        <f xml:space="preserve"> COMMUS_Model!AQ$670</f>
        <v>0</v>
      </c>
      <c r="AR56" s="1165">
        <f xml:space="preserve"> COMMUS_Model!AR$670</f>
        <v>0</v>
      </c>
      <c r="AS56" s="1165">
        <f xml:space="preserve"> COMMUS_Model!AS$670</f>
        <v>0</v>
      </c>
      <c r="AT56" s="85"/>
      <c r="AU56" s="85"/>
      <c r="AV56" s="85"/>
      <c r="XEV56" s="85"/>
      <c r="XEW56" s="85"/>
      <c r="XEX56" s="85"/>
      <c r="XEY56" s="85"/>
      <c r="XEZ56" s="85"/>
      <c r="XFA56" s="85"/>
      <c r="XFB56" s="85"/>
      <c r="XFC56" s="85"/>
      <c r="XFD56" s="85"/>
    </row>
    <row r="57" spans="1:48 16376:16384" s="725" customFormat="1" ht="15" customHeight="1" x14ac:dyDescent="0.3">
      <c r="A57" s="722"/>
      <c r="B57" s="722"/>
      <c r="C57" s="724"/>
      <c r="E57" s="742" t="str">
        <f t="shared" ref="E57:AS57" si="18" xml:space="preserve"> E$10</f>
        <v>Chiffre d'Affaires (EITI)</v>
      </c>
      <c r="F57" s="742">
        <f t="shared" si="18"/>
        <v>0</v>
      </c>
      <c r="G57" s="742" t="str">
        <f t="shared" si="18"/>
        <v>$ mn</v>
      </c>
      <c r="H57" s="742">
        <f t="shared" si="18"/>
        <v>0</v>
      </c>
      <c r="I57" s="742">
        <f xml:space="preserve"> SUM(K57:AS57)</f>
        <v>0</v>
      </c>
      <c r="J57" s="742">
        <f t="shared" si="18"/>
        <v>0</v>
      </c>
      <c r="K57" s="742">
        <f t="shared" si="18"/>
        <v>0</v>
      </c>
      <c r="L57" s="742">
        <f t="shared" si="18"/>
        <v>0</v>
      </c>
      <c r="M57" s="742">
        <f t="shared" si="18"/>
        <v>0</v>
      </c>
      <c r="N57" s="742">
        <f t="shared" si="18"/>
        <v>0</v>
      </c>
      <c r="O57" s="742">
        <f t="shared" si="18"/>
        <v>0</v>
      </c>
      <c r="P57" s="742">
        <f t="shared" si="18"/>
        <v>0</v>
      </c>
      <c r="Q57" s="742">
        <f t="shared" si="18"/>
        <v>0</v>
      </c>
      <c r="R57" s="742">
        <f t="shared" si="18"/>
        <v>0</v>
      </c>
      <c r="S57" s="742">
        <f t="shared" si="18"/>
        <v>0</v>
      </c>
      <c r="T57" s="742">
        <f t="shared" si="18"/>
        <v>0</v>
      </c>
      <c r="U57" s="742">
        <f t="shared" si="18"/>
        <v>0</v>
      </c>
      <c r="V57" s="742">
        <f t="shared" si="18"/>
        <v>0</v>
      </c>
      <c r="W57" s="742">
        <f t="shared" si="18"/>
        <v>0</v>
      </c>
      <c r="X57" s="742">
        <f t="shared" si="18"/>
        <v>0</v>
      </c>
      <c r="Y57" s="742">
        <f t="shared" si="18"/>
        <v>0</v>
      </c>
      <c r="Z57" s="742">
        <f t="shared" si="18"/>
        <v>0</v>
      </c>
      <c r="AA57" s="742">
        <f t="shared" si="18"/>
        <v>0</v>
      </c>
      <c r="AB57" s="742">
        <f t="shared" si="18"/>
        <v>0</v>
      </c>
      <c r="AC57" s="742">
        <f t="shared" si="18"/>
        <v>0</v>
      </c>
      <c r="AD57" s="742">
        <f t="shared" si="18"/>
        <v>0</v>
      </c>
      <c r="AE57" s="742">
        <f t="shared" si="18"/>
        <v>0</v>
      </c>
      <c r="AF57" s="742">
        <f t="shared" si="18"/>
        <v>0</v>
      </c>
      <c r="AG57" s="742">
        <f t="shared" si="18"/>
        <v>0</v>
      </c>
      <c r="AH57" s="742">
        <f t="shared" si="18"/>
        <v>0</v>
      </c>
      <c r="AI57" s="742">
        <f t="shared" si="18"/>
        <v>0</v>
      </c>
      <c r="AJ57" s="742">
        <f t="shared" si="18"/>
        <v>0</v>
      </c>
      <c r="AK57" s="742">
        <f t="shared" si="18"/>
        <v>0</v>
      </c>
      <c r="AL57" s="742">
        <f t="shared" si="18"/>
        <v>0</v>
      </c>
      <c r="AM57" s="742">
        <f t="shared" si="18"/>
        <v>0</v>
      </c>
      <c r="AN57" s="742">
        <f t="shared" si="18"/>
        <v>0</v>
      </c>
      <c r="AO57" s="742">
        <f t="shared" si="18"/>
        <v>0</v>
      </c>
      <c r="AP57" s="742">
        <f t="shared" si="18"/>
        <v>0</v>
      </c>
      <c r="AQ57" s="742">
        <f t="shared" si="18"/>
        <v>0</v>
      </c>
      <c r="AR57" s="742">
        <f t="shared" si="18"/>
        <v>0</v>
      </c>
      <c r="AS57" s="742">
        <f t="shared" si="18"/>
        <v>0</v>
      </c>
      <c r="AT57" s="143"/>
      <c r="AU57" s="143"/>
      <c r="AV57" s="143"/>
      <c r="XEV57" s="143"/>
      <c r="XEW57" s="143"/>
      <c r="XEX57" s="143"/>
      <c r="XEY57" s="143"/>
      <c r="XEZ57" s="143"/>
      <c r="XFA57" s="143"/>
      <c r="XFB57" s="143"/>
      <c r="XFC57" s="143"/>
      <c r="XFD57" s="143"/>
    </row>
    <row r="58" spans="1:48 16376:16384" s="1134" customFormat="1" ht="15" customHeight="1" x14ac:dyDescent="0.3">
      <c r="A58" s="1132"/>
      <c r="B58" s="1132"/>
      <c r="C58" s="1133"/>
      <c r="E58" s="1134" t="str">
        <f xml:space="preserve"> B55 &amp; " shortfall"</f>
        <v>Turnover Tax shortfall</v>
      </c>
      <c r="G58" s="1134" t="s">
        <v>346</v>
      </c>
      <c r="H58" s="756"/>
      <c r="I58" s="1134">
        <f xml:space="preserve"> SUM(K58:AS58)</f>
        <v>-36.17168207429534</v>
      </c>
      <c r="J58" s="757"/>
      <c r="K58" s="1134">
        <f t="shared" ref="K58:AS58" si="19" xml:space="preserve"> K57 - K56</f>
        <v>0</v>
      </c>
      <c r="L58" s="1134">
        <f t="shared" si="19"/>
        <v>0</v>
      </c>
      <c r="M58" s="1134">
        <f t="shared" si="19"/>
        <v>0</v>
      </c>
      <c r="N58" s="1134">
        <f t="shared" si="19"/>
        <v>0</v>
      </c>
      <c r="O58" s="1134">
        <f t="shared" si="19"/>
        <v>0</v>
      </c>
      <c r="P58" s="1134">
        <f t="shared" si="19"/>
        <v>0</v>
      </c>
      <c r="Q58" s="1134">
        <f t="shared" si="19"/>
        <v>0</v>
      </c>
      <c r="R58" s="1134">
        <f t="shared" si="19"/>
        <v>0</v>
      </c>
      <c r="S58" s="1134">
        <f t="shared" si="19"/>
        <v>0</v>
      </c>
      <c r="T58" s="1134">
        <f t="shared" si="19"/>
        <v>0</v>
      </c>
      <c r="U58" s="1134">
        <f t="shared" si="19"/>
        <v>0</v>
      </c>
      <c r="V58" s="1134">
        <f t="shared" si="19"/>
        <v>-0.31404181500000006</v>
      </c>
      <c r="W58" s="1134">
        <f t="shared" si="19"/>
        <v>-0.82536632399999987</v>
      </c>
      <c r="X58" s="1134">
        <f t="shared" si="19"/>
        <v>-1.3029954585129602</v>
      </c>
      <c r="Y58" s="1134">
        <f t="shared" si="19"/>
        <v>-2.0061437958324002</v>
      </c>
      <c r="Z58" s="1134">
        <f t="shared" si="19"/>
        <v>-3.3560971628366403</v>
      </c>
      <c r="AA58" s="1134">
        <f t="shared" si="19"/>
        <v>-3.1286356200757202</v>
      </c>
      <c r="AB58" s="1134">
        <f t="shared" si="19"/>
        <v>-3.0706451289885188</v>
      </c>
      <c r="AC58" s="1134">
        <f t="shared" si="19"/>
        <v>-1.9614291687777747</v>
      </c>
      <c r="AD58" s="1134">
        <f t="shared" si="19"/>
        <v>-2.8500910989634924</v>
      </c>
      <c r="AE58" s="1134">
        <f t="shared" si="19"/>
        <v>-2.8549932934785289</v>
      </c>
      <c r="AF58" s="1134">
        <f t="shared" si="19"/>
        <v>-2.8522133329429491</v>
      </c>
      <c r="AG58" s="1134">
        <f t="shared" si="19"/>
        <v>-2.8482672990523024</v>
      </c>
      <c r="AH58" s="1134">
        <f t="shared" si="19"/>
        <v>-2.852457417513504</v>
      </c>
      <c r="AI58" s="1134">
        <f t="shared" si="19"/>
        <v>-2.4380476477577542</v>
      </c>
      <c r="AJ58" s="1134">
        <f t="shared" si="19"/>
        <v>-2.4680766210267722</v>
      </c>
      <c r="AK58" s="1134">
        <f t="shared" si="19"/>
        <v>-1.0421808895360172</v>
      </c>
      <c r="AL58" s="1134">
        <f t="shared" si="19"/>
        <v>0</v>
      </c>
      <c r="AM58" s="1134">
        <f t="shared" si="19"/>
        <v>0</v>
      </c>
      <c r="AN58" s="1134">
        <f t="shared" si="19"/>
        <v>0</v>
      </c>
      <c r="AO58" s="1134">
        <f t="shared" si="19"/>
        <v>0</v>
      </c>
      <c r="AP58" s="1134">
        <f t="shared" si="19"/>
        <v>0</v>
      </c>
      <c r="AQ58" s="1134">
        <f t="shared" si="19"/>
        <v>0</v>
      </c>
      <c r="AR58" s="1134">
        <f t="shared" si="19"/>
        <v>0</v>
      </c>
      <c r="AS58" s="1134">
        <f t="shared" si="19"/>
        <v>0</v>
      </c>
      <c r="AT58" s="85"/>
      <c r="AU58" s="85"/>
      <c r="AV58" s="85"/>
      <c r="XEV58" s="85"/>
      <c r="XEW58" s="85"/>
      <c r="XEX58" s="85"/>
      <c r="XEY58" s="85"/>
      <c r="XEZ58" s="85"/>
      <c r="XFA58" s="85"/>
      <c r="XFB58" s="85"/>
      <c r="XFC58" s="85"/>
      <c r="XFD58" s="85"/>
    </row>
    <row r="59" spans="1:48 16376:16384" s="1134" customFormat="1" ht="15" customHeight="1" x14ac:dyDescent="0.3">
      <c r="A59" s="1132"/>
      <c r="B59" s="1132"/>
      <c r="C59" s="1133"/>
      <c r="H59" s="756"/>
      <c r="J59" s="757"/>
      <c r="AT59" s="85"/>
      <c r="AU59" s="85"/>
      <c r="AV59" s="85"/>
      <c r="XEV59" s="85"/>
      <c r="XEW59" s="85"/>
      <c r="XEX59" s="85"/>
      <c r="XEY59" s="85"/>
      <c r="XEZ59" s="85"/>
      <c r="XFA59" s="85"/>
      <c r="XFB59" s="85"/>
      <c r="XFC59" s="85"/>
      <c r="XFD59" s="85"/>
    </row>
    <row r="60" spans="1:48 16376:16384" s="1134" customFormat="1" ht="15" customHeight="1" x14ac:dyDescent="0.3">
      <c r="A60" s="1132"/>
      <c r="B60" s="1132" t="s">
        <v>1119</v>
      </c>
      <c r="C60" s="1133"/>
      <c r="H60" s="756"/>
      <c r="J60" s="757"/>
      <c r="AT60" s="85"/>
      <c r="AU60" s="85"/>
      <c r="AV60" s="85"/>
      <c r="XEV60" s="85"/>
      <c r="XEW60" s="85"/>
      <c r="XEX60" s="85"/>
      <c r="XEY60" s="85"/>
      <c r="XEZ60" s="85"/>
      <c r="XFA60" s="85"/>
      <c r="XFB60" s="85"/>
      <c r="XFC60" s="85"/>
      <c r="XFD60" s="85"/>
    </row>
    <row r="61" spans="1:48 16376:16384" s="1134" customFormat="1" ht="15" customHeight="1" x14ac:dyDescent="0.3">
      <c r="A61" s="1132"/>
      <c r="B61" s="1132"/>
      <c r="C61" s="1133"/>
      <c r="E61" s="1135" t="str">
        <f t="shared" ref="E61:AS61" si="20" xml:space="preserve"> E$50</f>
        <v>Subnational royalty difference</v>
      </c>
      <c r="F61" s="1135">
        <f t="shared" si="20"/>
        <v>0</v>
      </c>
      <c r="G61" s="1135" t="str">
        <f t="shared" si="20"/>
        <v>$ mn</v>
      </c>
      <c r="H61" s="1135">
        <f t="shared" si="20"/>
        <v>0</v>
      </c>
      <c r="I61" s="1135">
        <f t="shared" si="20"/>
        <v>6.1564373199999993</v>
      </c>
      <c r="J61" s="1135">
        <f t="shared" si="20"/>
        <v>0</v>
      </c>
      <c r="K61" s="1135">
        <f t="shared" si="20"/>
        <v>0</v>
      </c>
      <c r="L61" s="1135">
        <f t="shared" si="20"/>
        <v>0</v>
      </c>
      <c r="M61" s="1135">
        <f t="shared" si="20"/>
        <v>0</v>
      </c>
      <c r="N61" s="1135">
        <f t="shared" si="20"/>
        <v>0</v>
      </c>
      <c r="O61" s="1135">
        <f t="shared" si="20"/>
        <v>0</v>
      </c>
      <c r="P61" s="1135">
        <f t="shared" si="20"/>
        <v>0</v>
      </c>
      <c r="Q61" s="1135">
        <f t="shared" si="20"/>
        <v>0</v>
      </c>
      <c r="R61" s="1135">
        <f t="shared" si="20"/>
        <v>0</v>
      </c>
      <c r="S61" s="1135">
        <f t="shared" si="20"/>
        <v>0</v>
      </c>
      <c r="T61" s="1135">
        <f t="shared" si="20"/>
        <v>0</v>
      </c>
      <c r="U61" s="1135">
        <f t="shared" si="20"/>
        <v>0</v>
      </c>
      <c r="V61" s="1135">
        <f t="shared" si="20"/>
        <v>0</v>
      </c>
      <c r="W61" s="1135">
        <f t="shared" si="20"/>
        <v>-1.42021014</v>
      </c>
      <c r="X61" s="1135">
        <f t="shared" si="20"/>
        <v>6.5610781900000008</v>
      </c>
      <c r="Y61" s="1135">
        <f t="shared" si="20"/>
        <v>-1.9396434400000011</v>
      </c>
      <c r="Z61" s="1135">
        <f t="shared" si="20"/>
        <v>-0.74729928999999906</v>
      </c>
      <c r="AA61" s="1135">
        <f t="shared" si="20"/>
        <v>3.7025119999999987</v>
      </c>
      <c r="AB61" s="1135">
        <f t="shared" si="20"/>
        <v>0</v>
      </c>
      <c r="AC61" s="1135">
        <f t="shared" si="20"/>
        <v>0</v>
      </c>
      <c r="AD61" s="1135">
        <f t="shared" si="20"/>
        <v>0</v>
      </c>
      <c r="AE61" s="1135">
        <f t="shared" si="20"/>
        <v>0</v>
      </c>
      <c r="AF61" s="1135">
        <f t="shared" si="20"/>
        <v>0</v>
      </c>
      <c r="AG61" s="1135">
        <f t="shared" si="20"/>
        <v>0</v>
      </c>
      <c r="AH61" s="1135">
        <f t="shared" si="20"/>
        <v>0</v>
      </c>
      <c r="AI61" s="1135">
        <f t="shared" si="20"/>
        <v>0</v>
      </c>
      <c r="AJ61" s="1135">
        <f t="shared" si="20"/>
        <v>0</v>
      </c>
      <c r="AK61" s="1135">
        <f t="shared" si="20"/>
        <v>0</v>
      </c>
      <c r="AL61" s="1135">
        <f t="shared" si="20"/>
        <v>0</v>
      </c>
      <c r="AM61" s="1135">
        <f t="shared" si="20"/>
        <v>0</v>
      </c>
      <c r="AN61" s="1135">
        <f t="shared" si="20"/>
        <v>0</v>
      </c>
      <c r="AO61" s="1135">
        <f t="shared" si="20"/>
        <v>0</v>
      </c>
      <c r="AP61" s="1135">
        <f t="shared" si="20"/>
        <v>0</v>
      </c>
      <c r="AQ61" s="1135">
        <f t="shared" si="20"/>
        <v>0</v>
      </c>
      <c r="AR61" s="1135">
        <f t="shared" si="20"/>
        <v>0</v>
      </c>
      <c r="AS61" s="1135">
        <f t="shared" si="20"/>
        <v>0</v>
      </c>
      <c r="AT61" s="85"/>
      <c r="AU61" s="85"/>
      <c r="AV61" s="85"/>
      <c r="XEV61" s="85"/>
      <c r="XEW61" s="85"/>
      <c r="XEX61" s="85"/>
      <c r="XEY61" s="85"/>
      <c r="XEZ61" s="85"/>
      <c r="XFA61" s="85"/>
      <c r="XFB61" s="85"/>
      <c r="XFC61" s="85"/>
      <c r="XFD61" s="85"/>
    </row>
    <row r="62" spans="1:48 16376:16384" s="1134" customFormat="1" ht="15" customHeight="1" x14ac:dyDescent="0.3">
      <c r="A62" s="1132"/>
      <c r="B62" s="1132"/>
      <c r="C62" s="1133"/>
      <c r="E62" s="1135" t="str">
        <f t="shared" ref="E62:AS62" si="21" xml:space="preserve"> E$58</f>
        <v>Turnover Tax shortfall</v>
      </c>
      <c r="F62" s="1135">
        <f t="shared" si="21"/>
        <v>0</v>
      </c>
      <c r="G62" s="1135" t="str">
        <f t="shared" si="21"/>
        <v>$ mn</v>
      </c>
      <c r="H62" s="1135">
        <f t="shared" si="21"/>
        <v>0</v>
      </c>
      <c r="I62" s="1135">
        <f t="shared" si="21"/>
        <v>-36.17168207429534</v>
      </c>
      <c r="J62" s="1135">
        <f t="shared" si="21"/>
        <v>0</v>
      </c>
      <c r="K62" s="1135">
        <f t="shared" si="21"/>
        <v>0</v>
      </c>
      <c r="L62" s="1135">
        <f t="shared" si="21"/>
        <v>0</v>
      </c>
      <c r="M62" s="1135">
        <f t="shared" si="21"/>
        <v>0</v>
      </c>
      <c r="N62" s="1135">
        <f t="shared" si="21"/>
        <v>0</v>
      </c>
      <c r="O62" s="1135">
        <f t="shared" si="21"/>
        <v>0</v>
      </c>
      <c r="P62" s="1135">
        <f t="shared" si="21"/>
        <v>0</v>
      </c>
      <c r="Q62" s="1135">
        <f t="shared" si="21"/>
        <v>0</v>
      </c>
      <c r="R62" s="1135">
        <f t="shared" si="21"/>
        <v>0</v>
      </c>
      <c r="S62" s="1135">
        <f t="shared" si="21"/>
        <v>0</v>
      </c>
      <c r="T62" s="1135">
        <f t="shared" si="21"/>
        <v>0</v>
      </c>
      <c r="U62" s="1135">
        <f t="shared" si="21"/>
        <v>0</v>
      </c>
      <c r="V62" s="1135">
        <f t="shared" si="21"/>
        <v>-0.31404181500000006</v>
      </c>
      <c r="W62" s="1135">
        <f t="shared" si="21"/>
        <v>-0.82536632399999987</v>
      </c>
      <c r="X62" s="1135">
        <f t="shared" si="21"/>
        <v>-1.3029954585129602</v>
      </c>
      <c r="Y62" s="1135">
        <f t="shared" si="21"/>
        <v>-2.0061437958324002</v>
      </c>
      <c r="Z62" s="1135">
        <f t="shared" si="21"/>
        <v>-3.3560971628366403</v>
      </c>
      <c r="AA62" s="1135">
        <f t="shared" si="21"/>
        <v>-3.1286356200757202</v>
      </c>
      <c r="AB62" s="1135">
        <f t="shared" si="21"/>
        <v>-3.0706451289885188</v>
      </c>
      <c r="AC62" s="1135">
        <f t="shared" si="21"/>
        <v>-1.9614291687777747</v>
      </c>
      <c r="AD62" s="1135">
        <f t="shared" si="21"/>
        <v>-2.8500910989634924</v>
      </c>
      <c r="AE62" s="1135">
        <f t="shared" si="21"/>
        <v>-2.8549932934785289</v>
      </c>
      <c r="AF62" s="1135">
        <f t="shared" si="21"/>
        <v>-2.8522133329429491</v>
      </c>
      <c r="AG62" s="1135">
        <f t="shared" si="21"/>
        <v>-2.8482672990523024</v>
      </c>
      <c r="AH62" s="1135">
        <f t="shared" si="21"/>
        <v>-2.852457417513504</v>
      </c>
      <c r="AI62" s="1135">
        <f t="shared" si="21"/>
        <v>-2.4380476477577542</v>
      </c>
      <c r="AJ62" s="1135">
        <f t="shared" si="21"/>
        <v>-2.4680766210267722</v>
      </c>
      <c r="AK62" s="1135">
        <f t="shared" si="21"/>
        <v>-1.0421808895360172</v>
      </c>
      <c r="AL62" s="1135">
        <f t="shared" si="21"/>
        <v>0</v>
      </c>
      <c r="AM62" s="1135">
        <f t="shared" si="21"/>
        <v>0</v>
      </c>
      <c r="AN62" s="1135">
        <f t="shared" si="21"/>
        <v>0</v>
      </c>
      <c r="AO62" s="1135">
        <f t="shared" si="21"/>
        <v>0</v>
      </c>
      <c r="AP62" s="1135">
        <f t="shared" si="21"/>
        <v>0</v>
      </c>
      <c r="AQ62" s="1135">
        <f t="shared" si="21"/>
        <v>0</v>
      </c>
      <c r="AR62" s="1135">
        <f t="shared" si="21"/>
        <v>0</v>
      </c>
      <c r="AS62" s="1135">
        <f t="shared" si="21"/>
        <v>0</v>
      </c>
      <c r="AT62" s="85"/>
      <c r="AU62" s="85"/>
      <c r="AV62" s="85"/>
      <c r="XEV62" s="85"/>
      <c r="XEW62" s="85"/>
      <c r="XEX62" s="85"/>
      <c r="XEY62" s="85"/>
      <c r="XEZ62" s="85"/>
      <c r="XFA62" s="85"/>
      <c r="XFB62" s="85"/>
      <c r="XFC62" s="85"/>
      <c r="XFD62" s="85"/>
    </row>
    <row r="63" spans="1:48 16376:16384" s="1134" customFormat="1" ht="15" customHeight="1" x14ac:dyDescent="0.3">
      <c r="A63" s="1132"/>
      <c r="B63" s="1132"/>
      <c r="C63" s="1133"/>
      <c r="E63" s="1135" t="str">
        <f xml:space="preserve"> B60 &amp; " shortfall"</f>
        <v>Subnational revenue streams shortfall</v>
      </c>
      <c r="F63" s="1135"/>
      <c r="G63" s="1135" t="s">
        <v>346</v>
      </c>
      <c r="H63" s="1135"/>
      <c r="I63" s="1135">
        <f xml:space="preserve"> SUM(K63:AS63)</f>
        <v>-30.015244754295338</v>
      </c>
      <c r="J63" s="1135"/>
      <c r="K63" s="1135">
        <f t="shared" ref="K63:AS63" si="22" xml:space="preserve"> K61 + K62</f>
        <v>0</v>
      </c>
      <c r="L63" s="1135">
        <f t="shared" si="22"/>
        <v>0</v>
      </c>
      <c r="M63" s="1135">
        <f t="shared" si="22"/>
        <v>0</v>
      </c>
      <c r="N63" s="1135">
        <f t="shared" si="22"/>
        <v>0</v>
      </c>
      <c r="O63" s="1135">
        <f t="shared" si="22"/>
        <v>0</v>
      </c>
      <c r="P63" s="1135">
        <f t="shared" si="22"/>
        <v>0</v>
      </c>
      <c r="Q63" s="1135">
        <f t="shared" si="22"/>
        <v>0</v>
      </c>
      <c r="R63" s="1135">
        <f t="shared" si="22"/>
        <v>0</v>
      </c>
      <c r="S63" s="1135">
        <f t="shared" si="22"/>
        <v>0</v>
      </c>
      <c r="T63" s="1135">
        <f t="shared" si="22"/>
        <v>0</v>
      </c>
      <c r="U63" s="1135">
        <f t="shared" si="22"/>
        <v>0</v>
      </c>
      <c r="V63" s="1135">
        <f t="shared" si="22"/>
        <v>-0.31404181500000006</v>
      </c>
      <c r="W63" s="1135">
        <f t="shared" si="22"/>
        <v>-2.245576464</v>
      </c>
      <c r="X63" s="1135">
        <f t="shared" si="22"/>
        <v>5.2580827314870406</v>
      </c>
      <c r="Y63" s="1135">
        <f t="shared" si="22"/>
        <v>-3.9457872358324013</v>
      </c>
      <c r="Z63" s="1135">
        <f t="shared" si="22"/>
        <v>-4.1033964528366393</v>
      </c>
      <c r="AA63" s="1135">
        <f t="shared" si="22"/>
        <v>0.57387637992427853</v>
      </c>
      <c r="AB63" s="1135">
        <f t="shared" si="22"/>
        <v>-3.0706451289885188</v>
      </c>
      <c r="AC63" s="1135">
        <f t="shared" si="22"/>
        <v>-1.9614291687777747</v>
      </c>
      <c r="AD63" s="1135">
        <f t="shared" si="22"/>
        <v>-2.8500910989634924</v>
      </c>
      <c r="AE63" s="1135">
        <f t="shared" si="22"/>
        <v>-2.8549932934785289</v>
      </c>
      <c r="AF63" s="1135">
        <f t="shared" si="22"/>
        <v>-2.8522133329429491</v>
      </c>
      <c r="AG63" s="1135">
        <f t="shared" si="22"/>
        <v>-2.8482672990523024</v>
      </c>
      <c r="AH63" s="1135">
        <f t="shared" si="22"/>
        <v>-2.852457417513504</v>
      </c>
      <c r="AI63" s="1135">
        <f t="shared" si="22"/>
        <v>-2.4380476477577542</v>
      </c>
      <c r="AJ63" s="1135">
        <f t="shared" si="22"/>
        <v>-2.4680766210267722</v>
      </c>
      <c r="AK63" s="1135">
        <f t="shared" si="22"/>
        <v>-1.0421808895360172</v>
      </c>
      <c r="AL63" s="1135">
        <f t="shared" si="22"/>
        <v>0</v>
      </c>
      <c r="AM63" s="1135">
        <f t="shared" si="22"/>
        <v>0</v>
      </c>
      <c r="AN63" s="1135">
        <f t="shared" si="22"/>
        <v>0</v>
      </c>
      <c r="AO63" s="1135">
        <f t="shared" si="22"/>
        <v>0</v>
      </c>
      <c r="AP63" s="1135">
        <f t="shared" si="22"/>
        <v>0</v>
      </c>
      <c r="AQ63" s="1135">
        <f t="shared" si="22"/>
        <v>0</v>
      </c>
      <c r="AR63" s="1135">
        <f t="shared" si="22"/>
        <v>0</v>
      </c>
      <c r="AS63" s="1135">
        <f t="shared" si="22"/>
        <v>0</v>
      </c>
      <c r="AT63" s="85"/>
      <c r="AU63" s="85"/>
      <c r="AV63" s="85"/>
      <c r="XEV63" s="85"/>
      <c r="XEW63" s="85"/>
      <c r="XEX63" s="85"/>
      <c r="XEY63" s="85"/>
      <c r="XEZ63" s="85"/>
      <c r="XFA63" s="85"/>
      <c r="XFB63" s="85"/>
      <c r="XFC63" s="85"/>
      <c r="XFD63" s="85"/>
    </row>
    <row r="64" spans="1:48 16376:16384" s="1168" customFormat="1" ht="15" customHeight="1" x14ac:dyDescent="0.3">
      <c r="A64" s="1166"/>
      <c r="B64" s="1166"/>
      <c r="C64" s="1167"/>
      <c r="E64" s="1169" t="s">
        <v>1121</v>
      </c>
      <c r="F64" s="1169">
        <f>SUM(K63:AS63)</f>
        <v>-30.015244754295338</v>
      </c>
      <c r="G64" s="1169"/>
      <c r="H64" s="1169"/>
      <c r="I64" s="1169"/>
      <c r="J64" s="1169"/>
      <c r="K64" s="1169"/>
      <c r="L64" s="1169"/>
      <c r="M64" s="1169"/>
      <c r="N64" s="1169"/>
      <c r="O64" s="1169"/>
      <c r="P64" s="1169"/>
      <c r="Q64" s="1169"/>
      <c r="R64" s="1169"/>
      <c r="S64" s="1169"/>
      <c r="T64" s="1169"/>
      <c r="U64" s="1169"/>
      <c r="V64" s="1169"/>
      <c r="W64" s="1169"/>
      <c r="X64" s="1169"/>
      <c r="Y64" s="1169"/>
      <c r="Z64" s="1169"/>
      <c r="AA64" s="1169"/>
      <c r="AB64" s="1169"/>
      <c r="AC64" s="1169"/>
      <c r="AD64" s="1169"/>
      <c r="AE64" s="1169"/>
      <c r="AF64" s="1169"/>
      <c r="AG64" s="1169"/>
      <c r="AH64" s="1169"/>
      <c r="AI64" s="1169"/>
      <c r="AJ64" s="1169"/>
      <c r="AK64" s="1169"/>
      <c r="AL64" s="1169"/>
      <c r="AM64" s="1169"/>
      <c r="AN64" s="1169"/>
      <c r="AO64" s="1169"/>
      <c r="AP64" s="1169"/>
      <c r="AQ64" s="1169"/>
      <c r="AR64" s="1169"/>
      <c r="AS64" s="1169"/>
      <c r="AT64" s="1129"/>
      <c r="AU64" s="1129"/>
      <c r="AV64" s="1129"/>
      <c r="XEV64" s="1129"/>
      <c r="XEW64" s="1129"/>
      <c r="XEX64" s="1129"/>
      <c r="XEY64" s="1129"/>
      <c r="XEZ64" s="1129"/>
      <c r="XFA64" s="1129"/>
      <c r="XFB64" s="1129"/>
      <c r="XFC64" s="1129"/>
      <c r="XFD64" s="1129"/>
    </row>
    <row r="65" spans="1:48 16376:16384" s="1134" customFormat="1" ht="15" customHeight="1" x14ac:dyDescent="0.3">
      <c r="A65" s="1132"/>
      <c r="B65" s="1132"/>
      <c r="C65" s="1133"/>
      <c r="H65" s="756"/>
      <c r="J65" s="757"/>
      <c r="AT65" s="85"/>
      <c r="AU65" s="85"/>
      <c r="AV65" s="85"/>
      <c r="XEV65" s="85"/>
      <c r="XEW65" s="85"/>
      <c r="XEX65" s="85"/>
      <c r="XEY65" s="85"/>
      <c r="XEZ65" s="85"/>
      <c r="XFA65" s="85"/>
      <c r="XFB65" s="85"/>
      <c r="XFC65" s="85"/>
      <c r="XFD65" s="85"/>
    </row>
    <row r="66" spans="1:48 16376:16384" ht="15" customHeight="1" x14ac:dyDescent="0.3">
      <c r="B66" s="446" t="s">
        <v>707</v>
      </c>
      <c r="AL66" s="448"/>
      <c r="AM66" s="448"/>
      <c r="AN66" s="448"/>
      <c r="AO66" s="448"/>
      <c r="AP66" s="448"/>
      <c r="AQ66" s="448"/>
      <c r="AR66" s="448"/>
      <c r="AS66" s="448"/>
    </row>
    <row r="67" spans="1:48 16376:16384" ht="15" customHeight="1" x14ac:dyDescent="0.3">
      <c r="A67" s="722"/>
      <c r="B67" s="722"/>
      <c r="C67" s="724"/>
      <c r="D67" s="725"/>
      <c r="E67" s="742" t="str">
        <f xml:space="preserve"> E$12</f>
        <v>IBP / ISF (EITI)</v>
      </c>
      <c r="F67" s="742" t="str">
        <f t="shared" ref="F67:O67" si="23" xml:space="preserve"> F$12</f>
        <v>yes</v>
      </c>
      <c r="G67" s="742" t="str">
        <f t="shared" si="23"/>
        <v>$ mn</v>
      </c>
      <c r="H67" s="742">
        <f t="shared" si="23"/>
        <v>0</v>
      </c>
      <c r="I67" s="742">
        <f t="shared" si="23"/>
        <v>391.31411250000002</v>
      </c>
      <c r="J67" s="742">
        <f t="shared" si="23"/>
        <v>0</v>
      </c>
      <c r="K67" s="742">
        <f t="shared" si="23"/>
        <v>0</v>
      </c>
      <c r="L67" s="742">
        <f t="shared" si="23"/>
        <v>0</v>
      </c>
      <c r="M67" s="742">
        <f t="shared" si="23"/>
        <v>0</v>
      </c>
      <c r="N67" s="742">
        <f t="shared" si="23"/>
        <v>0</v>
      </c>
      <c r="O67" s="742">
        <f t="shared" si="23"/>
        <v>0</v>
      </c>
      <c r="P67" s="742">
        <f t="shared" ref="P67:AS67" si="24" xml:space="preserve"> P$12</f>
        <v>0</v>
      </c>
      <c r="Q67" s="742">
        <f t="shared" si="24"/>
        <v>0</v>
      </c>
      <c r="R67" s="742">
        <f t="shared" si="24"/>
        <v>5.8089999999999999E-3</v>
      </c>
      <c r="S67" s="742">
        <f t="shared" si="24"/>
        <v>0</v>
      </c>
      <c r="T67" s="742">
        <f t="shared" si="24"/>
        <v>0</v>
      </c>
      <c r="U67" s="742">
        <f t="shared" si="24"/>
        <v>4.0274999999999998E-3</v>
      </c>
      <c r="V67" s="742">
        <f t="shared" si="24"/>
        <v>0</v>
      </c>
      <c r="W67" s="742">
        <f t="shared" si="24"/>
        <v>13.112269</v>
      </c>
      <c r="X67" s="742">
        <f t="shared" si="24"/>
        <v>51.783644000000002</v>
      </c>
      <c r="Y67" s="742">
        <f t="shared" si="24"/>
        <v>25.079264999999999</v>
      </c>
      <c r="Z67" s="742">
        <f t="shared" si="24"/>
        <v>88.828175000000002</v>
      </c>
      <c r="AA67" s="742">
        <f t="shared" si="24"/>
        <v>212.500923</v>
      </c>
      <c r="AB67" s="742">
        <f t="shared" si="24"/>
        <v>0</v>
      </c>
      <c r="AC67" s="742">
        <f t="shared" si="24"/>
        <v>0</v>
      </c>
      <c r="AD67" s="742">
        <f t="shared" si="24"/>
        <v>0</v>
      </c>
      <c r="AE67" s="742">
        <f t="shared" si="24"/>
        <v>0</v>
      </c>
      <c r="AF67" s="742">
        <f t="shared" si="24"/>
        <v>0</v>
      </c>
      <c r="AG67" s="742">
        <f t="shared" si="24"/>
        <v>0</v>
      </c>
      <c r="AH67" s="742">
        <f t="shared" si="24"/>
        <v>0</v>
      </c>
      <c r="AI67" s="742">
        <f t="shared" si="24"/>
        <v>0</v>
      </c>
      <c r="AJ67" s="742">
        <f t="shared" si="24"/>
        <v>0</v>
      </c>
      <c r="AK67" s="742">
        <f t="shared" si="24"/>
        <v>0</v>
      </c>
      <c r="AL67" s="742">
        <f t="shared" si="24"/>
        <v>0</v>
      </c>
      <c r="AM67" s="742">
        <f t="shared" si="24"/>
        <v>0</v>
      </c>
      <c r="AN67" s="742">
        <f t="shared" si="24"/>
        <v>0</v>
      </c>
      <c r="AO67" s="742">
        <f t="shared" si="24"/>
        <v>0</v>
      </c>
      <c r="AP67" s="742">
        <f t="shared" si="24"/>
        <v>0</v>
      </c>
      <c r="AQ67" s="742">
        <f t="shared" si="24"/>
        <v>0</v>
      </c>
      <c r="AR67" s="742">
        <f t="shared" si="24"/>
        <v>0</v>
      </c>
      <c r="AS67" s="742">
        <f t="shared" si="24"/>
        <v>0</v>
      </c>
    </row>
    <row r="68" spans="1:48 16376:16384" ht="15" customHeight="1" x14ac:dyDescent="0.3">
      <c r="A68" s="722"/>
      <c r="B68" s="722"/>
      <c r="C68" s="724"/>
      <c r="D68" s="725"/>
      <c r="E68" s="742" t="str">
        <f xml:space="preserve"> E$8</f>
        <v>AMR-A (EITI)</v>
      </c>
      <c r="F68" s="742" t="str">
        <f t="shared" ref="F68:O68" si="25" xml:space="preserve"> F$8</f>
        <v>yes</v>
      </c>
      <c r="G68" s="742" t="str">
        <f t="shared" si="25"/>
        <v>$ mn</v>
      </c>
      <c r="H68" s="742">
        <f t="shared" si="25"/>
        <v>0</v>
      </c>
      <c r="I68" s="742">
        <f t="shared" si="25"/>
        <v>13.51283608</v>
      </c>
      <c r="J68" s="742">
        <f t="shared" si="25"/>
        <v>0</v>
      </c>
      <c r="K68" s="742">
        <f t="shared" si="25"/>
        <v>1.05E-4</v>
      </c>
      <c r="L68" s="742">
        <f t="shared" si="25"/>
        <v>1.05E-4</v>
      </c>
      <c r="M68" s="742">
        <f t="shared" si="25"/>
        <v>1.05E-4</v>
      </c>
      <c r="N68" s="742">
        <f t="shared" si="25"/>
        <v>1.05E-4</v>
      </c>
      <c r="O68" s="742">
        <f t="shared" si="25"/>
        <v>1.05E-4</v>
      </c>
      <c r="P68" s="742">
        <f t="shared" ref="P68:AS68" si="26" xml:space="preserve"> P$8</f>
        <v>1.05E-4</v>
      </c>
      <c r="Q68" s="742">
        <f t="shared" si="26"/>
        <v>0</v>
      </c>
      <c r="R68" s="742">
        <f t="shared" si="26"/>
        <v>0</v>
      </c>
      <c r="S68" s="742">
        <f t="shared" si="26"/>
        <v>0</v>
      </c>
      <c r="T68" s="742">
        <f t="shared" si="26"/>
        <v>0</v>
      </c>
      <c r="U68" s="742">
        <f t="shared" si="26"/>
        <v>0</v>
      </c>
      <c r="V68" s="742">
        <f t="shared" si="26"/>
        <v>9.2910800000000002E-3</v>
      </c>
      <c r="W68" s="742">
        <f t="shared" si="26"/>
        <v>0</v>
      </c>
      <c r="X68" s="742">
        <f t="shared" si="26"/>
        <v>0.49222700000000003</v>
      </c>
      <c r="Y68" s="742">
        <f t="shared" si="26"/>
        <v>0.14588400000000001</v>
      </c>
      <c r="Z68" s="742">
        <f t="shared" si="26"/>
        <v>4.5097459999999998</v>
      </c>
      <c r="AA68" s="742">
        <f t="shared" si="26"/>
        <v>8.3550579999999997</v>
      </c>
      <c r="AB68" s="742">
        <f t="shared" si="26"/>
        <v>0</v>
      </c>
      <c r="AC68" s="742">
        <f t="shared" si="26"/>
        <v>0</v>
      </c>
      <c r="AD68" s="742">
        <f t="shared" si="26"/>
        <v>0</v>
      </c>
      <c r="AE68" s="742">
        <f t="shared" si="26"/>
        <v>0</v>
      </c>
      <c r="AF68" s="742">
        <f t="shared" si="26"/>
        <v>0</v>
      </c>
      <c r="AG68" s="742">
        <f t="shared" si="26"/>
        <v>0</v>
      </c>
      <c r="AH68" s="742">
        <f t="shared" si="26"/>
        <v>0</v>
      </c>
      <c r="AI68" s="742">
        <f t="shared" si="26"/>
        <v>0</v>
      </c>
      <c r="AJ68" s="742">
        <f t="shared" si="26"/>
        <v>0</v>
      </c>
      <c r="AK68" s="742">
        <f t="shared" si="26"/>
        <v>0</v>
      </c>
      <c r="AL68" s="742">
        <f t="shared" si="26"/>
        <v>0</v>
      </c>
      <c r="AM68" s="742">
        <f t="shared" si="26"/>
        <v>0</v>
      </c>
      <c r="AN68" s="742">
        <f t="shared" si="26"/>
        <v>0</v>
      </c>
      <c r="AO68" s="742">
        <f t="shared" si="26"/>
        <v>0</v>
      </c>
      <c r="AP68" s="742">
        <f t="shared" si="26"/>
        <v>0</v>
      </c>
      <c r="AQ68" s="742">
        <f t="shared" si="26"/>
        <v>0</v>
      </c>
      <c r="AR68" s="742">
        <f t="shared" si="26"/>
        <v>0</v>
      </c>
      <c r="AS68" s="742">
        <f t="shared" si="26"/>
        <v>0</v>
      </c>
    </row>
    <row r="69" spans="1:48 16376:16384" ht="15" customHeight="1" x14ac:dyDescent="0.3">
      <c r="A69" s="722"/>
      <c r="B69" s="722"/>
      <c r="C69" s="724"/>
      <c r="D69" s="725"/>
      <c r="E69" s="742" t="str">
        <f xml:space="preserve"> E$9</f>
        <v>AMR-B (EITI)</v>
      </c>
      <c r="F69" s="742" t="str">
        <f t="shared" ref="F69:O69" si="27" xml:space="preserve"> F$9</f>
        <v>yes</v>
      </c>
      <c r="G69" s="742" t="str">
        <f t="shared" si="27"/>
        <v>$ mn</v>
      </c>
      <c r="H69" s="742">
        <f t="shared" si="27"/>
        <v>0</v>
      </c>
      <c r="I69" s="742">
        <f t="shared" si="27"/>
        <v>0.37848983000000003</v>
      </c>
      <c r="J69" s="742">
        <f t="shared" si="27"/>
        <v>0</v>
      </c>
      <c r="K69" s="742">
        <f t="shared" si="27"/>
        <v>1.4899999999999999E-4</v>
      </c>
      <c r="L69" s="742">
        <f t="shared" si="27"/>
        <v>1.4899999999999999E-4</v>
      </c>
      <c r="M69" s="742">
        <f t="shared" si="27"/>
        <v>1.4899999999999999E-4</v>
      </c>
      <c r="N69" s="742">
        <f t="shared" si="27"/>
        <v>1.4899999999999999E-4</v>
      </c>
      <c r="O69" s="742">
        <f t="shared" si="27"/>
        <v>1.4899999999999999E-4</v>
      </c>
      <c r="P69" s="742">
        <f t="shared" ref="P69:AS69" si="28" xml:space="preserve"> P$9</f>
        <v>1.4899999999999999E-4</v>
      </c>
      <c r="Q69" s="742">
        <f t="shared" si="28"/>
        <v>0</v>
      </c>
      <c r="R69" s="742">
        <f t="shared" si="28"/>
        <v>0</v>
      </c>
      <c r="S69" s="742">
        <f t="shared" si="28"/>
        <v>0</v>
      </c>
      <c r="T69" s="742">
        <f t="shared" si="28"/>
        <v>0</v>
      </c>
      <c r="U69" s="742">
        <f t="shared" si="28"/>
        <v>0</v>
      </c>
      <c r="V69" s="742">
        <f t="shared" si="28"/>
        <v>2.6688300000000001E-3</v>
      </c>
      <c r="W69" s="742">
        <f t="shared" si="28"/>
        <v>0</v>
      </c>
      <c r="X69" s="742">
        <f t="shared" si="28"/>
        <v>0.12754699999999999</v>
      </c>
      <c r="Y69" s="742">
        <f t="shared" si="28"/>
        <v>0</v>
      </c>
      <c r="Z69" s="742">
        <f t="shared" si="28"/>
        <v>0.15923300000000001</v>
      </c>
      <c r="AA69" s="742">
        <f t="shared" si="28"/>
        <v>8.8147000000000003E-2</v>
      </c>
      <c r="AB69" s="742">
        <f t="shared" si="28"/>
        <v>0</v>
      </c>
      <c r="AC69" s="742">
        <f t="shared" si="28"/>
        <v>0</v>
      </c>
      <c r="AD69" s="742">
        <f t="shared" si="28"/>
        <v>0</v>
      </c>
      <c r="AE69" s="742">
        <f t="shared" si="28"/>
        <v>0</v>
      </c>
      <c r="AF69" s="742">
        <f t="shared" si="28"/>
        <v>0</v>
      </c>
      <c r="AG69" s="742">
        <f t="shared" si="28"/>
        <v>0</v>
      </c>
      <c r="AH69" s="742">
        <f t="shared" si="28"/>
        <v>0</v>
      </c>
      <c r="AI69" s="742">
        <f t="shared" si="28"/>
        <v>0</v>
      </c>
      <c r="AJ69" s="742">
        <f t="shared" si="28"/>
        <v>0</v>
      </c>
      <c r="AK69" s="742">
        <f t="shared" si="28"/>
        <v>0</v>
      </c>
      <c r="AL69" s="742">
        <f t="shared" si="28"/>
        <v>0</v>
      </c>
      <c r="AM69" s="742">
        <f t="shared" si="28"/>
        <v>0</v>
      </c>
      <c r="AN69" s="742">
        <f t="shared" si="28"/>
        <v>0</v>
      </c>
      <c r="AO69" s="742">
        <f t="shared" si="28"/>
        <v>0</v>
      </c>
      <c r="AP69" s="742">
        <f t="shared" si="28"/>
        <v>0</v>
      </c>
      <c r="AQ69" s="742">
        <f t="shared" si="28"/>
        <v>0</v>
      </c>
      <c r="AR69" s="742">
        <f t="shared" si="28"/>
        <v>0</v>
      </c>
      <c r="AS69" s="742">
        <f t="shared" si="28"/>
        <v>0</v>
      </c>
    </row>
    <row r="70" spans="1:48 16376:16384" ht="15" customHeight="1" x14ac:dyDescent="0.3">
      <c r="A70" s="51"/>
      <c r="B70" s="51"/>
      <c r="C70" s="51"/>
      <c r="D70" s="51"/>
      <c r="E70" s="748" t="s">
        <v>708</v>
      </c>
      <c r="F70" s="748"/>
      <c r="G70" s="748" t="s">
        <v>346</v>
      </c>
      <c r="H70" s="748"/>
      <c r="I70" s="748">
        <f>SUM(K70:AU70)</f>
        <v>405.20391440999998</v>
      </c>
      <c r="J70" s="748">
        <f xml:space="preserve"> SUM(Q70:AV70)</f>
        <v>405.20391440999998</v>
      </c>
      <c r="K70" s="748"/>
      <c r="L70" s="748"/>
      <c r="M70" s="748"/>
      <c r="N70" s="748"/>
      <c r="O70" s="748"/>
      <c r="P70" s="748"/>
      <c r="Q70" s="748">
        <f t="shared" ref="Q70:AP70" si="29">SUM(Q67:Q69)</f>
        <v>0</v>
      </c>
      <c r="R70" s="748">
        <f t="shared" si="29"/>
        <v>5.8089999999999999E-3</v>
      </c>
      <c r="S70" s="748">
        <f t="shared" si="29"/>
        <v>0</v>
      </c>
      <c r="T70" s="748">
        <f t="shared" si="29"/>
        <v>0</v>
      </c>
      <c r="U70" s="748">
        <f t="shared" si="29"/>
        <v>4.0274999999999998E-3</v>
      </c>
      <c r="V70" s="748">
        <f t="shared" si="29"/>
        <v>1.1959910000000001E-2</v>
      </c>
      <c r="W70" s="748">
        <f t="shared" si="29"/>
        <v>13.112269</v>
      </c>
      <c r="X70" s="748">
        <f t="shared" si="29"/>
        <v>52.403418000000002</v>
      </c>
      <c r="Y70" s="748">
        <f t="shared" si="29"/>
        <v>25.225148999999998</v>
      </c>
      <c r="Z70" s="748">
        <f t="shared" si="29"/>
        <v>93.497153999999995</v>
      </c>
      <c r="AA70" s="748">
        <f t="shared" si="29"/>
        <v>220.94412799999998</v>
      </c>
      <c r="AB70" s="748">
        <f t="shared" si="29"/>
        <v>0</v>
      </c>
      <c r="AC70" s="748">
        <f t="shared" si="29"/>
        <v>0</v>
      </c>
      <c r="AD70" s="748">
        <f t="shared" si="29"/>
        <v>0</v>
      </c>
      <c r="AE70" s="748">
        <f t="shared" si="29"/>
        <v>0</v>
      </c>
      <c r="AF70" s="748">
        <f t="shared" si="29"/>
        <v>0</v>
      </c>
      <c r="AG70" s="748">
        <f t="shared" si="29"/>
        <v>0</v>
      </c>
      <c r="AH70" s="748">
        <f t="shared" si="29"/>
        <v>0</v>
      </c>
      <c r="AI70" s="748">
        <f t="shared" si="29"/>
        <v>0</v>
      </c>
      <c r="AJ70" s="748">
        <f t="shared" si="29"/>
        <v>0</v>
      </c>
      <c r="AK70" s="748">
        <f t="shared" si="29"/>
        <v>0</v>
      </c>
      <c r="AL70" s="748">
        <f t="shared" si="29"/>
        <v>0</v>
      </c>
      <c r="AM70" s="748">
        <f t="shared" si="29"/>
        <v>0</v>
      </c>
      <c r="AN70" s="748">
        <f t="shared" si="29"/>
        <v>0</v>
      </c>
      <c r="AO70" s="748">
        <f t="shared" si="29"/>
        <v>0</v>
      </c>
      <c r="AP70" s="748">
        <f t="shared" si="29"/>
        <v>0</v>
      </c>
      <c r="AQ70" s="748">
        <f t="shared" ref="AQ70:AS70" si="30">SUM(AQ67:AQ69)</f>
        <v>0</v>
      </c>
      <c r="AR70" s="748">
        <f t="shared" si="30"/>
        <v>0</v>
      </c>
      <c r="AS70" s="748">
        <f t="shared" si="30"/>
        <v>0</v>
      </c>
    </row>
    <row r="71" spans="1:48 16376:16384" ht="15" customHeight="1" x14ac:dyDescent="0.3">
      <c r="A71" s="749"/>
      <c r="B71" s="749"/>
      <c r="C71" s="750"/>
      <c r="D71" s="751"/>
      <c r="E71" s="752" t="str">
        <f xml:space="preserve"> COMMUS_Model!E$795</f>
        <v>CIT payable</v>
      </c>
      <c r="F71" s="752">
        <f xml:space="preserve"> COMMUS_Model!F$795</f>
        <v>0</v>
      </c>
      <c r="G71" s="752" t="str">
        <f xml:space="preserve"> COMMUS_Model!G$795</f>
        <v>$ mn</v>
      </c>
      <c r="H71" s="752">
        <f xml:space="preserve"> COMMUS_Model!H$795</f>
        <v>0</v>
      </c>
      <c r="I71" s="752">
        <f xml:space="preserve"> COMMUS_Model!I$795</f>
        <v>1297.2944426677445</v>
      </c>
      <c r="J71" s="752">
        <f xml:space="preserve"> COMMUS_Model!J$795</f>
        <v>0</v>
      </c>
      <c r="K71" s="752">
        <f xml:space="preserve"> COMMUS_Model!K$795</f>
        <v>0</v>
      </c>
      <c r="L71" s="752">
        <f xml:space="preserve"> COMMUS_Model!L$795</f>
        <v>0</v>
      </c>
      <c r="M71" s="752">
        <f xml:space="preserve"> COMMUS_Model!M$795</f>
        <v>0</v>
      </c>
      <c r="N71" s="752">
        <f xml:space="preserve"> COMMUS_Model!N$795</f>
        <v>0</v>
      </c>
      <c r="O71" s="752">
        <f xml:space="preserve"> COMMUS_Model!O$795</f>
        <v>0</v>
      </c>
      <c r="P71" s="752">
        <f xml:space="preserve"> COMMUS_Model!P$795</f>
        <v>0</v>
      </c>
      <c r="Q71" s="752">
        <f xml:space="preserve"> COMMUS_Model!Q$795</f>
        <v>0</v>
      </c>
      <c r="R71" s="752">
        <f xml:space="preserve"> COMMUS_Model!R$795</f>
        <v>0</v>
      </c>
      <c r="S71" s="752">
        <f xml:space="preserve"> COMMUS_Model!S$795</f>
        <v>0</v>
      </c>
      <c r="T71" s="752">
        <f xml:space="preserve"> COMMUS_Model!T$795</f>
        <v>0</v>
      </c>
      <c r="U71" s="752">
        <f xml:space="preserve"> COMMUS_Model!U$795</f>
        <v>0</v>
      </c>
      <c r="V71" s="752">
        <f xml:space="preserve"> COMMUS_Model!V$795</f>
        <v>1.0468060500000003</v>
      </c>
      <c r="W71" s="752">
        <f xml:space="preserve"> COMMUS_Model!W$795</f>
        <v>2.7512210799999997</v>
      </c>
      <c r="X71" s="752">
        <f xml:space="preserve"> COMMUS_Model!X$795</f>
        <v>33.206817816867449</v>
      </c>
      <c r="Y71" s="752">
        <f xml:space="preserve"> COMMUS_Model!Y$795</f>
        <v>91.036694725097149</v>
      </c>
      <c r="Z71" s="752">
        <f xml:space="preserve"> COMMUS_Model!Z$795</f>
        <v>229.8752354083783</v>
      </c>
      <c r="AA71" s="752">
        <f xml:space="preserve"> COMMUS_Model!AA$795</f>
        <v>119.32897273914344</v>
      </c>
      <c r="AB71" s="752">
        <f xml:space="preserve"> COMMUS_Model!AB$795</f>
        <v>129.2104604228746</v>
      </c>
      <c r="AC71" s="752">
        <f xml:space="preserve"> COMMUS_Model!AC$795</f>
        <v>13.921063440907346</v>
      </c>
      <c r="AD71" s="752">
        <f xml:space="preserve"> COMMUS_Model!AD$795</f>
        <v>103.64997645515984</v>
      </c>
      <c r="AE71" s="752">
        <f xml:space="preserve"> COMMUS_Model!AE$795</f>
        <v>106.97229478280092</v>
      </c>
      <c r="AF71" s="752">
        <f xml:space="preserve"> COMMUS_Model!AF$795</f>
        <v>103.82695725435919</v>
      </c>
      <c r="AG71" s="752">
        <f xml:space="preserve"> COMMUS_Model!AG$795</f>
        <v>103.5575318677414</v>
      </c>
      <c r="AH71" s="752">
        <f xml:space="preserve"> COMMUS_Model!AH$795</f>
        <v>104.80486722509302</v>
      </c>
      <c r="AI71" s="752">
        <f xml:space="preserve"> COMMUS_Model!AI$795</f>
        <v>63.926497242374566</v>
      </c>
      <c r="AJ71" s="752">
        <f xml:space="preserve"> COMMUS_Model!AJ$795</f>
        <v>81.125964306258666</v>
      </c>
      <c r="AK71" s="752">
        <f xml:space="preserve"> COMMUS_Model!AK$795</f>
        <v>9.0530818506887716</v>
      </c>
      <c r="AL71" s="752">
        <f xml:space="preserve"> COMMUS_Model!AL$795</f>
        <v>0</v>
      </c>
      <c r="AM71" s="752">
        <f xml:space="preserve"> COMMUS_Model!AM$795</f>
        <v>0</v>
      </c>
      <c r="AN71" s="752">
        <f xml:space="preserve"> COMMUS_Model!AN$795</f>
        <v>0</v>
      </c>
      <c r="AO71" s="752">
        <f xml:space="preserve"> COMMUS_Model!AO$795</f>
        <v>0</v>
      </c>
      <c r="AP71" s="752">
        <f xml:space="preserve"> COMMUS_Model!AP$795</f>
        <v>0</v>
      </c>
      <c r="AQ71" s="752">
        <f xml:space="preserve"> COMMUS_Model!AQ$795</f>
        <v>0</v>
      </c>
      <c r="AR71" s="752">
        <f xml:space="preserve"> COMMUS_Model!AR$795</f>
        <v>0</v>
      </c>
      <c r="AS71" s="752">
        <f xml:space="preserve"> COMMUS_Model!AS$795</f>
        <v>0</v>
      </c>
    </row>
    <row r="72" spans="1:48 16376:16384" ht="15" customHeight="1" x14ac:dyDescent="0.3">
      <c r="A72" s="398"/>
      <c r="B72" s="398"/>
      <c r="C72" s="421"/>
      <c r="D72" s="423"/>
      <c r="E72" s="423" t="s">
        <v>706</v>
      </c>
      <c r="F72" s="423"/>
      <c r="G72" s="423" t="s">
        <v>346</v>
      </c>
      <c r="H72" s="423"/>
      <c r="I72" s="424">
        <f>SUM(K72:AU72)</f>
        <v>-72.041833409486372</v>
      </c>
      <c r="J72" s="88">
        <f xml:space="preserve"> SUM(Q72:AV72)</f>
        <v>-72.041833409486372</v>
      </c>
      <c r="K72" s="51">
        <f t="shared" ref="K72:O72" si="31" xml:space="preserve"> IF(K70  &lt;&gt; 0, K70 - K71, 0)</f>
        <v>0</v>
      </c>
      <c r="L72" s="51">
        <f t="shared" si="31"/>
        <v>0</v>
      </c>
      <c r="M72" s="51">
        <f t="shared" si="31"/>
        <v>0</v>
      </c>
      <c r="N72" s="51">
        <f t="shared" si="31"/>
        <v>0</v>
      </c>
      <c r="O72" s="51">
        <f t="shared" si="31"/>
        <v>0</v>
      </c>
      <c r="P72" s="51">
        <f t="shared" ref="P72:U72" si="32" xml:space="preserve"> IF(P70  &lt;&gt; 0, P70 - P71, 0)</f>
        <v>0</v>
      </c>
      <c r="Q72" s="51">
        <f t="shared" si="32"/>
        <v>0</v>
      </c>
      <c r="R72" s="51">
        <f t="shared" si="32"/>
        <v>5.8089999999999999E-3</v>
      </c>
      <c r="S72" s="51">
        <f t="shared" si="32"/>
        <v>0</v>
      </c>
      <c r="T72" s="51">
        <f t="shared" si="32"/>
        <v>0</v>
      </c>
      <c r="U72" s="51">
        <f t="shared" si="32"/>
        <v>4.0274999999999998E-3</v>
      </c>
      <c r="V72" s="51">
        <f xml:space="preserve"> IF(V70  &lt;&gt; 0, V70 - V71, 0)</f>
        <v>-1.0348461400000002</v>
      </c>
      <c r="W72" s="51">
        <f t="shared" ref="W72:AP72" si="33" xml:space="preserve"> IF(W70  &lt;&gt; 0, W70 - W71, 0)</f>
        <v>10.361047920000001</v>
      </c>
      <c r="X72" s="51">
        <f t="shared" si="33"/>
        <v>19.196600183132553</v>
      </c>
      <c r="Y72" s="51">
        <f t="shared" si="33"/>
        <v>-65.811545725097147</v>
      </c>
      <c r="Z72" s="51">
        <f t="shared" si="33"/>
        <v>-136.37808140837831</v>
      </c>
      <c r="AA72" s="51">
        <f t="shared" si="33"/>
        <v>101.61515526085654</v>
      </c>
      <c r="AB72" s="51">
        <f t="shared" si="33"/>
        <v>0</v>
      </c>
      <c r="AC72" s="51">
        <f t="shared" si="33"/>
        <v>0</v>
      </c>
      <c r="AD72" s="51">
        <f t="shared" si="33"/>
        <v>0</v>
      </c>
      <c r="AE72" s="51">
        <f t="shared" si="33"/>
        <v>0</v>
      </c>
      <c r="AF72" s="51">
        <f t="shared" si="33"/>
        <v>0</v>
      </c>
      <c r="AG72" s="51">
        <f t="shared" si="33"/>
        <v>0</v>
      </c>
      <c r="AH72" s="51">
        <f t="shared" si="33"/>
        <v>0</v>
      </c>
      <c r="AI72" s="51">
        <f t="shared" si="33"/>
        <v>0</v>
      </c>
      <c r="AJ72" s="51">
        <f t="shared" si="33"/>
        <v>0</v>
      </c>
      <c r="AK72" s="51">
        <f t="shared" si="33"/>
        <v>0</v>
      </c>
      <c r="AL72" s="51">
        <f t="shared" si="33"/>
        <v>0</v>
      </c>
      <c r="AM72" s="51">
        <f t="shared" si="33"/>
        <v>0</v>
      </c>
      <c r="AN72" s="51">
        <f t="shared" si="33"/>
        <v>0</v>
      </c>
      <c r="AO72" s="51">
        <f t="shared" si="33"/>
        <v>0</v>
      </c>
      <c r="AP72" s="51">
        <f t="shared" si="33"/>
        <v>0</v>
      </c>
      <c r="AQ72" s="51">
        <f t="shared" ref="AQ72:AS72" si="34" xml:space="preserve"> IF(AQ70  &lt;&gt; 0, AQ70 - AQ71, 0)</f>
        <v>0</v>
      </c>
      <c r="AR72" s="51">
        <f t="shared" si="34"/>
        <v>0</v>
      </c>
      <c r="AS72" s="51">
        <f t="shared" si="34"/>
        <v>0</v>
      </c>
    </row>
    <row r="73" spans="1:48 16376:16384" ht="15" customHeight="1" x14ac:dyDescent="0.3">
      <c r="A73" s="753"/>
      <c r="B73" s="753"/>
      <c r="C73" s="754"/>
      <c r="D73" s="755"/>
      <c r="E73" s="755"/>
      <c r="F73" s="755"/>
      <c r="G73" s="755"/>
      <c r="H73" s="756"/>
      <c r="I73" s="755"/>
      <c r="J73" s="757"/>
      <c r="K73" s="755"/>
      <c r="L73" s="755"/>
      <c r="M73" s="755"/>
      <c r="N73" s="755"/>
      <c r="O73" s="755"/>
      <c r="P73" s="755"/>
      <c r="Q73" s="755"/>
      <c r="R73" s="755"/>
      <c r="S73" s="172"/>
      <c r="T73" s="172"/>
      <c r="U73" s="172"/>
      <c r="V73" s="172"/>
      <c r="W73" s="172"/>
      <c r="X73" s="172"/>
      <c r="Y73" s="172"/>
      <c r="Z73" s="172"/>
      <c r="AA73" s="172"/>
      <c r="AB73" s="172"/>
      <c r="AC73" s="331"/>
      <c r="AD73" s="331"/>
      <c r="AE73" s="172"/>
      <c r="AF73" s="172"/>
      <c r="AG73" s="172"/>
      <c r="AH73" s="172"/>
      <c r="AI73" s="172"/>
      <c r="AJ73" s="172"/>
      <c r="AK73" s="172"/>
      <c r="AL73" s="172"/>
      <c r="AM73" s="172"/>
      <c r="AN73" s="172"/>
      <c r="AO73" s="172"/>
      <c r="AP73" s="172"/>
      <c r="AQ73" s="172"/>
      <c r="AR73" s="172"/>
      <c r="AS73" s="172"/>
    </row>
    <row r="74" spans="1:48 16376:16384" ht="15" customHeight="1" x14ac:dyDescent="0.3">
      <c r="A74" s="753"/>
      <c r="B74" s="753"/>
      <c r="C74" s="754"/>
      <c r="D74" s="755"/>
      <c r="E74" s="423" t="s">
        <v>1060</v>
      </c>
      <c r="F74" s="423"/>
      <c r="G74" s="423" t="s">
        <v>1061</v>
      </c>
      <c r="H74" s="756"/>
      <c r="I74" s="755"/>
      <c r="J74" s="757"/>
      <c r="K74" s="755">
        <f t="shared" ref="K74:AS74" si="35" xml:space="preserve"> IF(AND(K2 &gt; 2017, K2 &lt; 2023), 1, 0)</f>
        <v>0</v>
      </c>
      <c r="L74" s="755">
        <f t="shared" si="35"/>
        <v>0</v>
      </c>
      <c r="M74" s="755">
        <f t="shared" si="35"/>
        <v>0</v>
      </c>
      <c r="N74" s="755">
        <f t="shared" si="35"/>
        <v>0</v>
      </c>
      <c r="O74" s="755">
        <f t="shared" si="35"/>
        <v>0</v>
      </c>
      <c r="P74" s="755">
        <f t="shared" si="35"/>
        <v>0</v>
      </c>
      <c r="Q74" s="755">
        <f t="shared" si="35"/>
        <v>0</v>
      </c>
      <c r="R74" s="755">
        <f t="shared" si="35"/>
        <v>0</v>
      </c>
      <c r="S74" s="755">
        <f t="shared" si="35"/>
        <v>0</v>
      </c>
      <c r="T74" s="755">
        <f t="shared" si="35"/>
        <v>0</v>
      </c>
      <c r="U74" s="755">
        <f t="shared" si="35"/>
        <v>0</v>
      </c>
      <c r="V74" s="755">
        <f t="shared" si="35"/>
        <v>0</v>
      </c>
      <c r="W74" s="755">
        <f t="shared" si="35"/>
        <v>1</v>
      </c>
      <c r="X74" s="755">
        <f t="shared" si="35"/>
        <v>1</v>
      </c>
      <c r="Y74" s="755">
        <f t="shared" si="35"/>
        <v>1</v>
      </c>
      <c r="Z74" s="755">
        <f t="shared" si="35"/>
        <v>1</v>
      </c>
      <c r="AA74" s="755">
        <f t="shared" si="35"/>
        <v>1</v>
      </c>
      <c r="AB74" s="755">
        <f t="shared" si="35"/>
        <v>0</v>
      </c>
      <c r="AC74" s="755">
        <f t="shared" si="35"/>
        <v>0</v>
      </c>
      <c r="AD74" s="755">
        <f t="shared" si="35"/>
        <v>0</v>
      </c>
      <c r="AE74" s="755">
        <f t="shared" si="35"/>
        <v>0</v>
      </c>
      <c r="AF74" s="755">
        <f t="shared" si="35"/>
        <v>0</v>
      </c>
      <c r="AG74" s="755">
        <f t="shared" si="35"/>
        <v>0</v>
      </c>
      <c r="AH74" s="755">
        <f t="shared" si="35"/>
        <v>0</v>
      </c>
      <c r="AI74" s="755">
        <f t="shared" si="35"/>
        <v>0</v>
      </c>
      <c r="AJ74" s="755">
        <f t="shared" si="35"/>
        <v>0</v>
      </c>
      <c r="AK74" s="755">
        <f t="shared" si="35"/>
        <v>0</v>
      </c>
      <c r="AL74" s="755">
        <f t="shared" si="35"/>
        <v>0</v>
      </c>
      <c r="AM74" s="755">
        <f t="shared" si="35"/>
        <v>0</v>
      </c>
      <c r="AN74" s="755">
        <f t="shared" si="35"/>
        <v>0</v>
      </c>
      <c r="AO74" s="755">
        <f t="shared" si="35"/>
        <v>0</v>
      </c>
      <c r="AP74" s="755">
        <f t="shared" si="35"/>
        <v>0</v>
      </c>
      <c r="AQ74" s="755">
        <f t="shared" si="35"/>
        <v>0</v>
      </c>
      <c r="AR74" s="755">
        <f t="shared" si="35"/>
        <v>0</v>
      </c>
      <c r="AS74" s="755">
        <f t="shared" si="35"/>
        <v>0</v>
      </c>
    </row>
    <row r="75" spans="1:48 16376:16384" s="70" customFormat="1" ht="15" customHeight="1" x14ac:dyDescent="0.3">
      <c r="A75" s="1108"/>
      <c r="B75" s="1108"/>
      <c r="C75" s="1109"/>
      <c r="D75" s="1110"/>
      <c r="E75" s="430" t="s">
        <v>1060</v>
      </c>
      <c r="F75" s="987">
        <f xml:space="preserve"> SUMPRODUCT(K74:AS74, K72:AS72)</f>
        <v>-71.016823769486365</v>
      </c>
      <c r="G75" s="430" t="s">
        <v>346</v>
      </c>
      <c r="H75" s="1080"/>
      <c r="I75" s="1110"/>
      <c r="J75" s="1110"/>
      <c r="K75" s="1110"/>
      <c r="L75" s="1110"/>
      <c r="M75" s="1110"/>
      <c r="N75" s="1110"/>
      <c r="O75" s="1110"/>
      <c r="P75" s="1110"/>
      <c r="Q75" s="1110"/>
      <c r="R75" s="1110"/>
      <c r="S75" s="562"/>
      <c r="T75" s="562"/>
      <c r="U75" s="562"/>
      <c r="V75" s="562"/>
      <c r="W75" s="562"/>
      <c r="X75" s="562"/>
      <c r="Y75" s="562"/>
      <c r="Z75" s="562"/>
      <c r="AA75" s="562"/>
      <c r="AB75" s="562"/>
      <c r="AC75" s="541"/>
      <c r="AD75" s="541"/>
      <c r="AE75" s="562"/>
      <c r="AF75" s="562"/>
      <c r="AG75" s="562"/>
      <c r="AH75" s="562"/>
      <c r="AI75" s="562"/>
      <c r="AJ75" s="562"/>
      <c r="AK75" s="562"/>
      <c r="AL75" s="562"/>
      <c r="AM75" s="562"/>
      <c r="AN75" s="562"/>
      <c r="AO75" s="562"/>
      <c r="AP75" s="562"/>
      <c r="AQ75" s="562"/>
      <c r="AR75" s="562"/>
      <c r="AS75" s="562"/>
    </row>
    <row r="76" spans="1:48 16376:16384" ht="15" customHeight="1" x14ac:dyDescent="0.3">
      <c r="A76" s="753"/>
      <c r="B76" s="753"/>
      <c r="C76" s="754"/>
      <c r="D76" s="755"/>
      <c r="E76" s="755"/>
      <c r="F76" s="755"/>
      <c r="G76" s="755"/>
      <c r="H76" s="756"/>
      <c r="I76" s="755"/>
      <c r="J76" s="757"/>
      <c r="K76" s="755"/>
      <c r="L76" s="755"/>
      <c r="M76" s="755"/>
      <c r="N76" s="755"/>
      <c r="O76" s="755"/>
      <c r="P76" s="755"/>
      <c r="Q76" s="755"/>
      <c r="R76" s="755"/>
      <c r="S76" s="172"/>
      <c r="T76" s="172"/>
      <c r="U76" s="172"/>
      <c r="V76" s="172"/>
      <c r="W76" s="172"/>
      <c r="X76" s="172"/>
      <c r="Y76" s="172"/>
      <c r="Z76" s="172"/>
      <c r="AA76" s="172"/>
      <c r="AB76" s="172"/>
      <c r="AC76" s="331"/>
      <c r="AD76" s="331"/>
      <c r="AE76" s="172"/>
      <c r="AF76" s="172"/>
      <c r="AG76" s="172"/>
      <c r="AH76" s="172"/>
      <c r="AI76" s="172"/>
      <c r="AJ76" s="172"/>
      <c r="AK76" s="172"/>
      <c r="AL76" s="172"/>
      <c r="AM76" s="172"/>
      <c r="AN76" s="172"/>
      <c r="AO76" s="172"/>
      <c r="AP76" s="172"/>
      <c r="AQ76" s="172"/>
      <c r="AR76" s="172"/>
      <c r="AS76" s="172"/>
    </row>
    <row r="77" spans="1:48 16376:16384" ht="15" customHeight="1" x14ac:dyDescent="0.3">
      <c r="A77" s="753"/>
      <c r="B77" s="753" t="s">
        <v>709</v>
      </c>
      <c r="C77" s="754"/>
      <c r="D77" s="755"/>
      <c r="E77" s="755"/>
      <c r="F77" s="755"/>
      <c r="G77" s="755"/>
      <c r="H77" s="756"/>
      <c r="I77" s="755"/>
      <c r="J77" s="757"/>
      <c r="K77" s="755"/>
      <c r="L77" s="755"/>
      <c r="M77" s="755"/>
      <c r="N77" s="755"/>
      <c r="O77" s="755"/>
      <c r="P77" s="755"/>
      <c r="Q77" s="755"/>
      <c r="R77" s="755"/>
      <c r="S77" s="172"/>
      <c r="T77" s="172"/>
      <c r="U77" s="172"/>
      <c r="V77" s="172"/>
      <c r="W77" s="172"/>
      <c r="X77" s="172"/>
      <c r="Y77" s="172"/>
      <c r="Z77" s="172"/>
      <c r="AA77" s="172"/>
      <c r="AB77" s="172"/>
      <c r="AC77" s="331"/>
      <c r="AD77" s="331"/>
      <c r="AE77" s="172"/>
      <c r="AF77" s="172"/>
      <c r="AG77" s="172"/>
      <c r="AH77" s="172"/>
      <c r="AI77" s="172"/>
      <c r="AJ77" s="172"/>
      <c r="AK77" s="172"/>
      <c r="AL77" s="172"/>
      <c r="AM77" s="172"/>
      <c r="AN77" s="172"/>
      <c r="AO77" s="172"/>
      <c r="AP77" s="172"/>
      <c r="AQ77" s="172"/>
      <c r="AR77" s="172"/>
      <c r="AS77" s="172"/>
    </row>
    <row r="78" spans="1:48 16376:16384" ht="15" customHeight="1" x14ac:dyDescent="0.3">
      <c r="A78" s="722"/>
      <c r="B78" s="722"/>
      <c r="C78" s="724"/>
      <c r="D78" s="725"/>
      <c r="E78" s="742" t="str">
        <f xml:space="preserve"> E$15</f>
        <v>Impôt mobilier (EITI)</v>
      </c>
      <c r="F78" s="742" t="str">
        <f t="shared" ref="F78:O78" si="36" xml:space="preserve"> F$15</f>
        <v>yes</v>
      </c>
      <c r="G78" s="742" t="str">
        <f t="shared" si="36"/>
        <v>$ mn</v>
      </c>
      <c r="H78" s="742">
        <f t="shared" si="36"/>
        <v>0</v>
      </c>
      <c r="I78" s="742">
        <f t="shared" si="36"/>
        <v>34.098045999999997</v>
      </c>
      <c r="J78" s="742">
        <f t="shared" si="36"/>
        <v>0</v>
      </c>
      <c r="K78" s="742">
        <f t="shared" si="36"/>
        <v>0</v>
      </c>
      <c r="L78" s="742">
        <f t="shared" si="36"/>
        <v>0</v>
      </c>
      <c r="M78" s="742">
        <f t="shared" si="36"/>
        <v>0</v>
      </c>
      <c r="N78" s="742">
        <f t="shared" si="36"/>
        <v>0</v>
      </c>
      <c r="O78" s="742">
        <f t="shared" si="36"/>
        <v>0</v>
      </c>
      <c r="P78" s="742">
        <f t="shared" ref="P78:AS78" si="37" xml:space="preserve"> P$15</f>
        <v>0</v>
      </c>
      <c r="Q78" s="742">
        <f t="shared" si="37"/>
        <v>0</v>
      </c>
      <c r="R78" s="742">
        <f t="shared" si="37"/>
        <v>0</v>
      </c>
      <c r="S78" s="742">
        <f t="shared" si="37"/>
        <v>0</v>
      </c>
      <c r="T78" s="742">
        <f t="shared" si="37"/>
        <v>0</v>
      </c>
      <c r="U78" s="742">
        <f t="shared" si="37"/>
        <v>0</v>
      </c>
      <c r="V78" s="742">
        <f t="shared" si="37"/>
        <v>0</v>
      </c>
      <c r="W78" s="742">
        <f t="shared" si="37"/>
        <v>0.21199200000000001</v>
      </c>
      <c r="X78" s="742">
        <f t="shared" si="37"/>
        <v>1.6162069999999999</v>
      </c>
      <c r="Y78" s="742">
        <f t="shared" si="37"/>
        <v>2.5616819999999998</v>
      </c>
      <c r="Z78" s="742">
        <f t="shared" si="37"/>
        <v>1.7397689999999999</v>
      </c>
      <c r="AA78" s="742">
        <f t="shared" si="37"/>
        <v>27.968395999999998</v>
      </c>
      <c r="AB78" s="742">
        <f t="shared" si="37"/>
        <v>0</v>
      </c>
      <c r="AC78" s="742">
        <f t="shared" si="37"/>
        <v>0</v>
      </c>
      <c r="AD78" s="742">
        <f t="shared" si="37"/>
        <v>0</v>
      </c>
      <c r="AE78" s="742">
        <f t="shared" si="37"/>
        <v>0</v>
      </c>
      <c r="AF78" s="742">
        <f t="shared" si="37"/>
        <v>0</v>
      </c>
      <c r="AG78" s="742">
        <f t="shared" si="37"/>
        <v>0</v>
      </c>
      <c r="AH78" s="742">
        <f t="shared" si="37"/>
        <v>0</v>
      </c>
      <c r="AI78" s="742">
        <f t="shared" si="37"/>
        <v>0</v>
      </c>
      <c r="AJ78" s="742">
        <f t="shared" si="37"/>
        <v>0</v>
      </c>
      <c r="AK78" s="742">
        <f t="shared" si="37"/>
        <v>0</v>
      </c>
      <c r="AL78" s="742">
        <f t="shared" si="37"/>
        <v>0</v>
      </c>
      <c r="AM78" s="742">
        <f t="shared" si="37"/>
        <v>0</v>
      </c>
      <c r="AN78" s="742">
        <f t="shared" si="37"/>
        <v>0</v>
      </c>
      <c r="AO78" s="742">
        <f t="shared" si="37"/>
        <v>0</v>
      </c>
      <c r="AP78" s="742">
        <f t="shared" si="37"/>
        <v>0</v>
      </c>
      <c r="AQ78" s="742">
        <f t="shared" si="37"/>
        <v>0</v>
      </c>
      <c r="AR78" s="742">
        <f t="shared" si="37"/>
        <v>0</v>
      </c>
      <c r="AS78" s="742">
        <f t="shared" si="37"/>
        <v>0</v>
      </c>
    </row>
    <row r="79" spans="1:48 16376:16384" ht="15" customHeight="1" x14ac:dyDescent="0.3">
      <c r="A79" s="753"/>
      <c r="B79" s="753"/>
      <c r="C79" s="754"/>
      <c r="D79" s="755"/>
      <c r="E79" s="752" t="str">
        <f xml:space="preserve"> COMMUS_Model!E$983</f>
        <v>Dividend withholding tax</v>
      </c>
      <c r="F79" s="752">
        <f xml:space="preserve"> COMMUS_Model!F$983</f>
        <v>0</v>
      </c>
      <c r="G79" s="752" t="str">
        <f xml:space="preserve"> COMMUS_Model!G$983</f>
        <v>$ mn</v>
      </c>
      <c r="H79" s="752">
        <f xml:space="preserve"> COMMUS_Model!H$983</f>
        <v>0</v>
      </c>
      <c r="I79" s="752">
        <f xml:space="preserve"> COMMUS_Model!I$983</f>
        <v>224.61815895215742</v>
      </c>
      <c r="J79" s="752">
        <f xml:space="preserve"> COMMUS_Model!J$983</f>
        <v>0</v>
      </c>
      <c r="K79" s="752">
        <f xml:space="preserve"> COMMUS_Model!K$983</f>
        <v>0</v>
      </c>
      <c r="L79" s="752">
        <f xml:space="preserve"> COMMUS_Model!L$983</f>
        <v>0</v>
      </c>
      <c r="M79" s="752">
        <f xml:space="preserve"> COMMUS_Model!M$983</f>
        <v>0</v>
      </c>
      <c r="N79" s="752">
        <f xml:space="preserve"> COMMUS_Model!N$983</f>
        <v>0</v>
      </c>
      <c r="O79" s="752">
        <f xml:space="preserve"> COMMUS_Model!O$983</f>
        <v>0</v>
      </c>
      <c r="P79" s="752">
        <f xml:space="preserve"> COMMUS_Model!P$983</f>
        <v>0</v>
      </c>
      <c r="Q79" s="752">
        <f xml:space="preserve"> COMMUS_Model!Q$983</f>
        <v>0</v>
      </c>
      <c r="R79" s="752">
        <f xml:space="preserve"> COMMUS_Model!R$983</f>
        <v>0</v>
      </c>
      <c r="S79" s="752">
        <f xml:space="preserve"> COMMUS_Model!S$983</f>
        <v>0</v>
      </c>
      <c r="T79" s="752">
        <f xml:space="preserve"> COMMUS_Model!T$983</f>
        <v>0</v>
      </c>
      <c r="U79" s="752">
        <f xml:space="preserve"> COMMUS_Model!U$983</f>
        <v>0</v>
      </c>
      <c r="V79" s="752">
        <f xml:space="preserve"> COMMUS_Model!V$983</f>
        <v>0</v>
      </c>
      <c r="W79" s="752">
        <f xml:space="preserve"> COMMUS_Model!W$983</f>
        <v>28.712273925940117</v>
      </c>
      <c r="X79" s="752">
        <f xml:space="preserve"> COMMUS_Model!X$983</f>
        <v>0</v>
      </c>
      <c r="Y79" s="752">
        <f xml:space="preserve"> COMMUS_Model!Y$983</f>
        <v>12.859494376943317</v>
      </c>
      <c r="Z79" s="752">
        <f xml:space="preserve"> COMMUS_Model!Z$983</f>
        <v>24.888187534151896</v>
      </c>
      <c r="AA79" s="752">
        <f xml:space="preserve"> COMMUS_Model!AA$983</f>
        <v>17.1209560194735</v>
      </c>
      <c r="AB79" s="752">
        <f xml:space="preserve"> COMMUS_Model!AB$983</f>
        <v>19.59615266395036</v>
      </c>
      <c r="AC79" s="752">
        <f xml:space="preserve"> COMMUS_Model!AC$983</f>
        <v>4.2520002565090707</v>
      </c>
      <c r="AD79" s="752">
        <f xml:space="preserve"> COMMUS_Model!AD$983</f>
        <v>19.553301604469887</v>
      </c>
      <c r="AE79" s="752">
        <f xml:space="preserve"> COMMUS_Model!AE$983</f>
        <v>18.653017899186221</v>
      </c>
      <c r="AF79" s="752">
        <f xml:space="preserve"> COMMUS_Model!AF$983</f>
        <v>19.12065732756238</v>
      </c>
      <c r="AG79" s="752">
        <f xml:space="preserve"> COMMUS_Model!AG$983</f>
        <v>18.2957410492299</v>
      </c>
      <c r="AH79" s="752">
        <f xml:space="preserve"> COMMUS_Model!AH$983</f>
        <v>17.530387391023734</v>
      </c>
      <c r="AI79" s="752">
        <f xml:space="preserve"> COMMUS_Model!AI$983</f>
        <v>10.173185274388651</v>
      </c>
      <c r="AJ79" s="752">
        <f xml:space="preserve"> COMMUS_Model!AJ$983</f>
        <v>12.51733128626965</v>
      </c>
      <c r="AK79" s="752">
        <f xml:space="preserve"> COMMUS_Model!AK$983</f>
        <v>1.3454723430587663</v>
      </c>
      <c r="AL79" s="752">
        <f xml:space="preserve"> COMMUS_Model!AL$983</f>
        <v>0</v>
      </c>
      <c r="AM79" s="752">
        <f xml:space="preserve"> COMMUS_Model!AM$983</f>
        <v>0</v>
      </c>
      <c r="AN79" s="752">
        <f xml:space="preserve"> COMMUS_Model!AN$983</f>
        <v>0</v>
      </c>
      <c r="AO79" s="752">
        <f xml:space="preserve"> COMMUS_Model!AO$983</f>
        <v>0</v>
      </c>
      <c r="AP79" s="752">
        <f xml:space="preserve"> COMMUS_Model!AP$983</f>
        <v>0</v>
      </c>
      <c r="AQ79" s="752">
        <f xml:space="preserve"> COMMUS_Model!AQ$983</f>
        <v>0</v>
      </c>
      <c r="AR79" s="752">
        <f xml:space="preserve"> COMMUS_Model!AR$983</f>
        <v>0</v>
      </c>
      <c r="AS79" s="752">
        <f xml:space="preserve"> COMMUS_Model!AS$983</f>
        <v>0</v>
      </c>
    </row>
    <row r="80" spans="1:48 16376:16384" ht="15" customHeight="1" x14ac:dyDescent="0.3">
      <c r="A80" s="398"/>
      <c r="B80" s="398"/>
      <c r="C80" s="421"/>
      <c r="D80" s="423"/>
      <c r="E80" s="423" t="s">
        <v>706</v>
      </c>
      <c r="F80" s="423"/>
      <c r="G80" s="423" t="s">
        <v>346</v>
      </c>
      <c r="H80" s="423"/>
      <c r="I80" s="424">
        <f>SUM(K80:AU80)</f>
        <v>-49.482865856508838</v>
      </c>
      <c r="J80" s="88">
        <f xml:space="preserve"> SUM(Q80:AV80)</f>
        <v>-49.482865856508838</v>
      </c>
      <c r="K80" s="51">
        <f xml:space="preserve"> IF(K78  &lt;&gt; 0, K78 - K79, 0)</f>
        <v>0</v>
      </c>
      <c r="L80" s="51">
        <f t="shared" ref="L80:O80" si="38" xml:space="preserve"> IF(L78  &lt;&gt; 0, L78 - L79, 0)</f>
        <v>0</v>
      </c>
      <c r="M80" s="51">
        <f t="shared" si="38"/>
        <v>0</v>
      </c>
      <c r="N80" s="51">
        <f t="shared" si="38"/>
        <v>0</v>
      </c>
      <c r="O80" s="51">
        <f t="shared" si="38"/>
        <v>0</v>
      </c>
      <c r="P80" s="51">
        <f t="shared" ref="P80:U80" si="39" xml:space="preserve"> IF(P78  &lt;&gt; 0, P78 - P79, 0)</f>
        <v>0</v>
      </c>
      <c r="Q80" s="51">
        <f t="shared" si="39"/>
        <v>0</v>
      </c>
      <c r="R80" s="51">
        <f xml:space="preserve"> IF(R78  &lt;&gt; 0, R78 - R79, 0)</f>
        <v>0</v>
      </c>
      <c r="S80" s="51">
        <f t="shared" si="39"/>
        <v>0</v>
      </c>
      <c r="T80" s="51">
        <f t="shared" si="39"/>
        <v>0</v>
      </c>
      <c r="U80" s="51">
        <f t="shared" si="39"/>
        <v>0</v>
      </c>
      <c r="V80" s="51">
        <f xml:space="preserve"> IF(V78  &lt;&gt; 0, V78 - V79, 0)</f>
        <v>0</v>
      </c>
      <c r="W80" s="51">
        <f t="shared" ref="W80:AS80" si="40" xml:space="preserve"> IF(W78  &lt;&gt; 0, W78 - W79, 0)</f>
        <v>-28.500281925940119</v>
      </c>
      <c r="X80" s="51">
        <f t="shared" si="40"/>
        <v>1.6162069999999999</v>
      </c>
      <c r="Y80" s="51">
        <f t="shared" si="40"/>
        <v>-10.297812376943318</v>
      </c>
      <c r="Z80" s="51">
        <f t="shared" si="40"/>
        <v>-23.148418534151897</v>
      </c>
      <c r="AA80" s="51">
        <f t="shared" si="40"/>
        <v>10.847439980526499</v>
      </c>
      <c r="AB80" s="51">
        <f t="shared" si="40"/>
        <v>0</v>
      </c>
      <c r="AC80" s="51">
        <f t="shared" si="40"/>
        <v>0</v>
      </c>
      <c r="AD80" s="51">
        <f t="shared" si="40"/>
        <v>0</v>
      </c>
      <c r="AE80" s="51">
        <f t="shared" si="40"/>
        <v>0</v>
      </c>
      <c r="AF80" s="51">
        <f t="shared" si="40"/>
        <v>0</v>
      </c>
      <c r="AG80" s="51">
        <f t="shared" si="40"/>
        <v>0</v>
      </c>
      <c r="AH80" s="51">
        <f t="shared" si="40"/>
        <v>0</v>
      </c>
      <c r="AI80" s="51">
        <f t="shared" si="40"/>
        <v>0</v>
      </c>
      <c r="AJ80" s="51">
        <f t="shared" si="40"/>
        <v>0</v>
      </c>
      <c r="AK80" s="51">
        <f t="shared" si="40"/>
        <v>0</v>
      </c>
      <c r="AL80" s="51">
        <f t="shared" si="40"/>
        <v>0</v>
      </c>
      <c r="AM80" s="51">
        <f t="shared" si="40"/>
        <v>0</v>
      </c>
      <c r="AN80" s="51">
        <f t="shared" si="40"/>
        <v>0</v>
      </c>
      <c r="AO80" s="51">
        <f t="shared" si="40"/>
        <v>0</v>
      </c>
      <c r="AP80" s="51">
        <f t="shared" si="40"/>
        <v>0</v>
      </c>
      <c r="AQ80" s="51">
        <f t="shared" si="40"/>
        <v>0</v>
      </c>
      <c r="AR80" s="51">
        <f t="shared" si="40"/>
        <v>0</v>
      </c>
      <c r="AS80" s="51">
        <f t="shared" si="40"/>
        <v>0</v>
      </c>
    </row>
    <row r="81" spans="1:48" ht="15" customHeight="1" x14ac:dyDescent="0.3">
      <c r="A81" s="753"/>
      <c r="B81" s="753"/>
      <c r="C81" s="754"/>
      <c r="D81" s="755"/>
      <c r="E81" s="755"/>
      <c r="F81" s="755"/>
      <c r="G81" s="755"/>
      <c r="H81" s="756"/>
      <c r="I81" s="755"/>
      <c r="J81" s="757"/>
      <c r="K81" s="755"/>
      <c r="L81" s="755"/>
      <c r="M81" s="755"/>
      <c r="N81" s="755"/>
      <c r="O81" s="755"/>
      <c r="P81" s="755"/>
      <c r="Q81" s="755"/>
      <c r="R81" s="755"/>
      <c r="S81" s="172"/>
      <c r="T81" s="172"/>
      <c r="U81" s="172"/>
      <c r="V81" s="172"/>
      <c r="W81" s="172"/>
      <c r="X81" s="172"/>
      <c r="Y81" s="172"/>
      <c r="Z81" s="172"/>
      <c r="AA81" s="172"/>
      <c r="AB81" s="172"/>
      <c r="AC81" s="331"/>
      <c r="AD81" s="331"/>
      <c r="AE81" s="172"/>
      <c r="AF81" s="172"/>
      <c r="AG81" s="172"/>
      <c r="AH81" s="172"/>
      <c r="AI81" s="172"/>
      <c r="AJ81" s="172"/>
      <c r="AK81" s="172"/>
      <c r="AL81" s="172"/>
      <c r="AM81" s="172"/>
      <c r="AN81" s="172"/>
      <c r="AO81" s="172"/>
      <c r="AP81" s="172"/>
      <c r="AQ81" s="172"/>
      <c r="AR81" s="172"/>
      <c r="AS81" s="172"/>
    </row>
    <row r="82" spans="1:48" ht="15" customHeight="1" x14ac:dyDescent="0.3">
      <c r="B82" s="446" t="s">
        <v>710</v>
      </c>
      <c r="AL82" s="448"/>
      <c r="AM82" s="448"/>
      <c r="AN82" s="448"/>
      <c r="AO82" s="448"/>
      <c r="AP82" s="448"/>
      <c r="AQ82" s="448"/>
      <c r="AR82" s="448"/>
      <c r="AS82" s="448"/>
    </row>
    <row r="83" spans="1:48" ht="15" customHeight="1" x14ac:dyDescent="0.3">
      <c r="A83" s="722"/>
      <c r="B83" s="722"/>
      <c r="C83" s="724"/>
      <c r="D83" s="725"/>
      <c r="E83" s="742" t="str">
        <f xml:space="preserve"> E$27</f>
        <v>Taxes a l'Importation (EITI)</v>
      </c>
      <c r="F83" s="742" t="str">
        <f t="shared" ref="F83:O83" si="41" xml:space="preserve"> F$27</f>
        <v>yes</v>
      </c>
      <c r="G83" s="742" t="str">
        <f t="shared" si="41"/>
        <v>$ mn</v>
      </c>
      <c r="H83" s="742">
        <f t="shared" si="41"/>
        <v>0</v>
      </c>
      <c r="I83" s="742">
        <f t="shared" si="41"/>
        <v>113.23984485</v>
      </c>
      <c r="J83" s="742">
        <f t="shared" si="41"/>
        <v>0</v>
      </c>
      <c r="K83" s="742">
        <f t="shared" si="41"/>
        <v>0</v>
      </c>
      <c r="L83" s="742">
        <f t="shared" si="41"/>
        <v>0</v>
      </c>
      <c r="M83" s="742">
        <f t="shared" si="41"/>
        <v>0</v>
      </c>
      <c r="N83" s="742">
        <f t="shared" si="41"/>
        <v>0</v>
      </c>
      <c r="O83" s="742">
        <f t="shared" si="41"/>
        <v>0</v>
      </c>
      <c r="P83" s="742">
        <f t="shared" ref="P83:AN83" si="42" xml:space="preserve"> P$27</f>
        <v>0</v>
      </c>
      <c r="Q83" s="742">
        <f t="shared" si="42"/>
        <v>0</v>
      </c>
      <c r="R83" s="742">
        <f t="shared" si="42"/>
        <v>2.3059999999999999E-3</v>
      </c>
      <c r="S83" s="742">
        <f t="shared" si="42"/>
        <v>0</v>
      </c>
      <c r="T83" s="742">
        <f t="shared" si="42"/>
        <v>0.68107099999999998</v>
      </c>
      <c r="U83" s="742">
        <f t="shared" si="42"/>
        <v>5.3135076100000003</v>
      </c>
      <c r="V83" s="742">
        <f t="shared" si="42"/>
        <v>4.9504272399999998</v>
      </c>
      <c r="W83" s="742">
        <f t="shared" si="42"/>
        <v>18.157969999999999</v>
      </c>
      <c r="X83" s="742">
        <f t="shared" si="42"/>
        <v>40.621609999999997</v>
      </c>
      <c r="Y83" s="742">
        <f t="shared" si="42"/>
        <v>3.393662</v>
      </c>
      <c r="Z83" s="742">
        <f t="shared" si="42"/>
        <v>0</v>
      </c>
      <c r="AA83" s="742">
        <f t="shared" si="42"/>
        <v>40.119290999999997</v>
      </c>
      <c r="AB83" s="742">
        <f t="shared" si="42"/>
        <v>0</v>
      </c>
      <c r="AC83" s="742">
        <f t="shared" si="42"/>
        <v>0</v>
      </c>
      <c r="AD83" s="742">
        <f t="shared" si="42"/>
        <v>0</v>
      </c>
      <c r="AE83" s="742">
        <f t="shared" si="42"/>
        <v>0</v>
      </c>
      <c r="AF83" s="742">
        <f t="shared" si="42"/>
        <v>0</v>
      </c>
      <c r="AG83" s="742">
        <f t="shared" si="42"/>
        <v>0</v>
      </c>
      <c r="AH83" s="742">
        <f t="shared" si="42"/>
        <v>0</v>
      </c>
      <c r="AI83" s="742">
        <f t="shared" si="42"/>
        <v>0</v>
      </c>
      <c r="AJ83" s="742">
        <f t="shared" si="42"/>
        <v>0</v>
      </c>
      <c r="AK83" s="742">
        <f t="shared" si="42"/>
        <v>0</v>
      </c>
      <c r="AL83" s="742">
        <f t="shared" si="42"/>
        <v>0</v>
      </c>
      <c r="AM83" s="742">
        <f t="shared" si="42"/>
        <v>0</v>
      </c>
      <c r="AN83" s="742">
        <f t="shared" si="42"/>
        <v>0</v>
      </c>
      <c r="AO83" s="742">
        <f t="shared" ref="AO83:AS83" si="43" xml:space="preserve"> AO$27</f>
        <v>0</v>
      </c>
      <c r="AP83" s="742">
        <f t="shared" si="43"/>
        <v>0</v>
      </c>
      <c r="AQ83" s="742">
        <f t="shared" si="43"/>
        <v>0</v>
      </c>
      <c r="AR83" s="742">
        <f t="shared" si="43"/>
        <v>0</v>
      </c>
      <c r="AS83" s="742">
        <f t="shared" si="43"/>
        <v>0</v>
      </c>
    </row>
    <row r="84" spans="1:48" ht="15" customHeight="1" x14ac:dyDescent="0.3">
      <c r="A84" s="722"/>
      <c r="B84" s="722"/>
      <c r="C84" s="724"/>
      <c r="D84" s="725"/>
      <c r="E84" s="594" t="str">
        <f xml:space="preserve"> COMMUS_Model!E$520</f>
        <v>Operating costs, including Sens.</v>
      </c>
      <c r="F84" s="594" t="str">
        <f xml:space="preserve"> COMMUS_Model!F$520</f>
        <v>FS</v>
      </c>
      <c r="G84" s="594" t="str">
        <f xml:space="preserve"> COMMUS_Model!G$520</f>
        <v>$ mn</v>
      </c>
      <c r="H84" s="594">
        <f xml:space="preserve"> COMMUS_Model!H$520</f>
        <v>0</v>
      </c>
      <c r="I84" s="594">
        <f xml:space="preserve"> COMMUS_Model!I$520</f>
        <v>6417.4732060838423</v>
      </c>
      <c r="J84" s="594">
        <f xml:space="preserve"> COMMUS_Model!J$520</f>
        <v>0</v>
      </c>
      <c r="K84" s="594">
        <f xml:space="preserve"> COMMUS_Model!K$520</f>
        <v>0</v>
      </c>
      <c r="L84" s="594">
        <f xml:space="preserve"> COMMUS_Model!L$520</f>
        <v>0</v>
      </c>
      <c r="M84" s="594">
        <f xml:space="preserve"> COMMUS_Model!M$520</f>
        <v>0</v>
      </c>
      <c r="N84" s="594">
        <f xml:space="preserve"> COMMUS_Model!N$520</f>
        <v>0</v>
      </c>
      <c r="O84" s="594">
        <f xml:space="preserve"> COMMUS_Model!O$520</f>
        <v>0</v>
      </c>
      <c r="P84" s="594">
        <f xml:space="preserve"> COMMUS_Model!P$520</f>
        <v>0</v>
      </c>
      <c r="Q84" s="594">
        <f xml:space="preserve"> COMMUS_Model!Q$520</f>
        <v>0</v>
      </c>
      <c r="R84" s="594">
        <f xml:space="preserve"> COMMUS_Model!R$520</f>
        <v>0</v>
      </c>
      <c r="S84" s="594">
        <f xml:space="preserve"> COMMUS_Model!S$520</f>
        <v>0</v>
      </c>
      <c r="T84" s="594">
        <f xml:space="preserve"> COMMUS_Model!T$520</f>
        <v>0</v>
      </c>
      <c r="U84" s="594">
        <f xml:space="preserve"> COMMUS_Model!U$520</f>
        <v>0</v>
      </c>
      <c r="V84" s="594">
        <f xml:space="preserve"> COMMUS_Model!V$520</f>
        <v>92.547447899999995</v>
      </c>
      <c r="W84" s="594">
        <f xml:space="preserve"> COMMUS_Model!W$520</f>
        <v>111.20828203000001</v>
      </c>
      <c r="X84" s="594">
        <f xml:space="preserve"> COMMUS_Model!X$520</f>
        <v>222.95433410956798</v>
      </c>
      <c r="Y84" s="594">
        <f xml:space="preserve"> COMMUS_Model!Y$520</f>
        <v>275.07933724392001</v>
      </c>
      <c r="Z84" s="594">
        <f xml:space="preserve"> COMMUS_Model!Z$520</f>
        <v>236.842377442112</v>
      </c>
      <c r="AA84" s="594">
        <f xml:space="preserve"> COMMUS_Model!AA$520</f>
        <v>521.23181416247598</v>
      </c>
      <c r="AB84" s="594">
        <f xml:space="preserve"> COMMUS_Model!AB$520</f>
        <v>458.85614080454303</v>
      </c>
      <c r="AC84" s="594">
        <f xml:space="preserve"> COMMUS_Model!AC$520</f>
        <v>498.26409575079998</v>
      </c>
      <c r="AD84" s="594">
        <f xml:space="preserve"> COMMUS_Model!AD$520</f>
        <v>499.39449196549901</v>
      </c>
      <c r="AE84" s="594">
        <f xml:space="preserve"> COMMUS_Model!AE$520</f>
        <v>511.64191424046072</v>
      </c>
      <c r="AF84" s="594">
        <f xml:space="preserve"> COMMUS_Model!AF$520</f>
        <v>522.47681812965493</v>
      </c>
      <c r="AG84" s="594">
        <f xml:space="preserve"> COMMUS_Model!AG$520</f>
        <v>533.79306524069909</v>
      </c>
      <c r="AH84" s="594">
        <f xml:space="preserve"> COMMUS_Model!AH$520</f>
        <v>545.3125501316897</v>
      </c>
      <c r="AI84" s="594">
        <f xml:space="preserve"> COMMUS_Model!AI$520</f>
        <v>563.04437690960037</v>
      </c>
      <c r="AJ84" s="594">
        <f xml:space="preserve"> COMMUS_Model!AJ$520</f>
        <v>520.87013281239911</v>
      </c>
      <c r="AK84" s="594">
        <f xml:space="preserve"> COMMUS_Model!AK$520</f>
        <v>303.9560272104207</v>
      </c>
      <c r="AL84" s="594">
        <f xml:space="preserve"> COMMUS_Model!AL$520</f>
        <v>0</v>
      </c>
      <c r="AM84" s="594">
        <f xml:space="preserve"> COMMUS_Model!AM$520</f>
        <v>0</v>
      </c>
      <c r="AN84" s="594">
        <f xml:space="preserve"> COMMUS_Model!AN$520</f>
        <v>0</v>
      </c>
      <c r="AO84" s="594">
        <f xml:space="preserve"> COMMUS_Model!AO$520</f>
        <v>0</v>
      </c>
      <c r="AP84" s="594">
        <f xml:space="preserve"> COMMUS_Model!AP$520</f>
        <v>0</v>
      </c>
      <c r="AQ84" s="594">
        <f xml:space="preserve"> COMMUS_Model!AQ$520</f>
        <v>0</v>
      </c>
      <c r="AR84" s="594">
        <f xml:space="preserve"> COMMUS_Model!AR$520</f>
        <v>0</v>
      </c>
      <c r="AS84" s="594">
        <f xml:space="preserve"> COMMUS_Model!AS$520</f>
        <v>0</v>
      </c>
    </row>
    <row r="85" spans="1:48" ht="15" customHeight="1" x14ac:dyDescent="0.3">
      <c r="A85" s="722"/>
      <c r="B85" s="722"/>
      <c r="C85" s="724"/>
      <c r="D85" s="725"/>
      <c r="E85" s="594" t="str">
        <f xml:space="preserve"> COMMUS_Model!E$566</f>
        <v>Capital costs, including Sens.</v>
      </c>
      <c r="F85" s="594" t="str">
        <f xml:space="preserve"> COMMUS_Model!F$566</f>
        <v>FS</v>
      </c>
      <c r="G85" s="594" t="str">
        <f xml:space="preserve"> COMMUS_Model!G$566</f>
        <v>$ mn</v>
      </c>
      <c r="H85" s="594">
        <f xml:space="preserve"> COMMUS_Model!H$566</f>
        <v>0</v>
      </c>
      <c r="I85" s="594">
        <f xml:space="preserve"> COMMUS_Model!I$566</f>
        <v>831.24520052188814</v>
      </c>
      <c r="J85" s="594">
        <f xml:space="preserve"> COMMUS_Model!J$566</f>
        <v>0</v>
      </c>
      <c r="K85" s="594">
        <f xml:space="preserve"> COMMUS_Model!K$566</f>
        <v>0</v>
      </c>
      <c r="L85" s="594">
        <f xml:space="preserve"> COMMUS_Model!L$566</f>
        <v>0</v>
      </c>
      <c r="M85" s="594">
        <f xml:space="preserve"> COMMUS_Model!M$566</f>
        <v>0</v>
      </c>
      <c r="N85" s="594">
        <f xml:space="preserve"> COMMUS_Model!N$566</f>
        <v>0</v>
      </c>
      <c r="O85" s="594">
        <f xml:space="preserve"> COMMUS_Model!O$566</f>
        <v>0</v>
      </c>
      <c r="P85" s="594">
        <f xml:space="preserve"> COMMUS_Model!P$566</f>
        <v>0</v>
      </c>
      <c r="Q85" s="594">
        <f xml:space="preserve"> COMMUS_Model!Q$566</f>
        <v>0</v>
      </c>
      <c r="R85" s="594">
        <f xml:space="preserve"> COMMUS_Model!R$566</f>
        <v>0</v>
      </c>
      <c r="S85" s="594">
        <f xml:space="preserve"> COMMUS_Model!S$566</f>
        <v>0</v>
      </c>
      <c r="T85" s="594">
        <f xml:space="preserve"> COMMUS_Model!T$566</f>
        <v>0</v>
      </c>
      <c r="U85" s="594">
        <f xml:space="preserve"> COMMUS_Model!U$566</f>
        <v>0</v>
      </c>
      <c r="V85" s="594">
        <f xml:space="preserve"> COMMUS_Model!V$566</f>
        <v>245.02819335000001</v>
      </c>
      <c r="W85" s="594">
        <f xml:space="preserve"> COMMUS_Model!W$566</f>
        <v>111.33372773000001</v>
      </c>
      <c r="X85" s="594">
        <f xml:space="preserve"> COMMUS_Model!X$566</f>
        <v>148.28970892000001</v>
      </c>
      <c r="Y85" s="594">
        <f xml:space="preserve"> COMMUS_Model!Y$566</f>
        <v>4.7877627</v>
      </c>
      <c r="Z85" s="594">
        <f xml:space="preserve"> COMMUS_Model!Z$566</f>
        <v>81.812290399999995</v>
      </c>
      <c r="AA85" s="594">
        <f xml:space="preserve"> COMMUS_Model!AA$566</f>
        <v>100.30613584</v>
      </c>
      <c r="AB85" s="594">
        <f xml:space="preserve"> COMMUS_Model!AB$566</f>
        <v>103.88373304536523</v>
      </c>
      <c r="AC85" s="594">
        <f xml:space="preserve"> COMMUS_Model!AC$566</f>
        <v>35.80364853652285</v>
      </c>
      <c r="AD85" s="594">
        <f xml:space="preserve"> COMMUS_Model!AD$566</f>
        <v>0</v>
      </c>
      <c r="AE85" s="594">
        <f xml:space="preserve"> COMMUS_Model!AE$566</f>
        <v>0</v>
      </c>
      <c r="AF85" s="594">
        <f xml:space="preserve"> COMMUS_Model!AF$566</f>
        <v>0</v>
      </c>
      <c r="AG85" s="594">
        <f xml:space="preserve"> COMMUS_Model!AG$566</f>
        <v>0</v>
      </c>
      <c r="AH85" s="594">
        <f xml:space="preserve"> COMMUS_Model!AH$566</f>
        <v>0</v>
      </c>
      <c r="AI85" s="594">
        <f xml:space="preserve"> COMMUS_Model!AI$566</f>
        <v>0</v>
      </c>
      <c r="AJ85" s="594">
        <f xml:space="preserve"> COMMUS_Model!AJ$566</f>
        <v>0</v>
      </c>
      <c r="AK85" s="594">
        <f xml:space="preserve"> COMMUS_Model!AK$566</f>
        <v>0</v>
      </c>
      <c r="AL85" s="594">
        <f xml:space="preserve"> COMMUS_Model!AL$566</f>
        <v>0</v>
      </c>
      <c r="AM85" s="594">
        <f xml:space="preserve"> COMMUS_Model!AM$566</f>
        <v>0</v>
      </c>
      <c r="AN85" s="594">
        <f xml:space="preserve"> COMMUS_Model!AN$566</f>
        <v>0</v>
      </c>
      <c r="AO85" s="594">
        <f xml:space="preserve"> COMMUS_Model!AO$566</f>
        <v>0</v>
      </c>
      <c r="AP85" s="594">
        <f xml:space="preserve"> COMMUS_Model!AP$566</f>
        <v>0</v>
      </c>
      <c r="AQ85" s="594">
        <f xml:space="preserve"> COMMUS_Model!AQ$566</f>
        <v>0</v>
      </c>
      <c r="AR85" s="594">
        <f xml:space="preserve"> COMMUS_Model!AR$566</f>
        <v>0</v>
      </c>
      <c r="AS85" s="594">
        <f xml:space="preserve"> COMMUS_Model!AS$566</f>
        <v>0</v>
      </c>
    </row>
    <row r="86" spans="1:48" ht="15" customHeight="1" x14ac:dyDescent="0.3">
      <c r="A86" s="722"/>
      <c r="B86" s="722"/>
      <c r="C86" s="724"/>
      <c r="D86" s="725"/>
      <c r="E86" s="594" t="str">
        <f xml:space="preserve"> COMMUS_Model!E$655</f>
        <v>Project costs</v>
      </c>
      <c r="F86" s="594">
        <f xml:space="preserve"> COMMUS_Model!F$655</f>
        <v>0</v>
      </c>
      <c r="G86" s="594" t="str">
        <f xml:space="preserve"> COMMUS_Model!G$655</f>
        <v>$ mn</v>
      </c>
      <c r="H86" s="594">
        <f xml:space="preserve"> COMMUS_Model!H$655</f>
        <v>0</v>
      </c>
      <c r="I86" s="594">
        <f xml:space="preserve"> COMMUS_Model!I$655</f>
        <v>7248.7184066057316</v>
      </c>
      <c r="J86" s="594">
        <f xml:space="preserve"> COMMUS_Model!J$655</f>
        <v>0</v>
      </c>
      <c r="K86" s="594">
        <f xml:space="preserve"> COMMUS_Model!K$655</f>
        <v>0</v>
      </c>
      <c r="L86" s="594">
        <f xml:space="preserve"> COMMUS_Model!L$655</f>
        <v>0</v>
      </c>
      <c r="M86" s="594">
        <f xml:space="preserve"> COMMUS_Model!M$655</f>
        <v>0</v>
      </c>
      <c r="N86" s="594">
        <f xml:space="preserve"> COMMUS_Model!N$655</f>
        <v>0</v>
      </c>
      <c r="O86" s="594">
        <f xml:space="preserve"> COMMUS_Model!O$655</f>
        <v>0</v>
      </c>
      <c r="P86" s="594">
        <f xml:space="preserve"> COMMUS_Model!P$655</f>
        <v>0</v>
      </c>
      <c r="Q86" s="594">
        <f xml:space="preserve"> COMMUS_Model!Q$655</f>
        <v>0</v>
      </c>
      <c r="R86" s="594">
        <f xml:space="preserve"> COMMUS_Model!R$655</f>
        <v>0</v>
      </c>
      <c r="S86" s="594">
        <f xml:space="preserve"> COMMUS_Model!S$655</f>
        <v>0</v>
      </c>
      <c r="T86" s="594">
        <f xml:space="preserve"> COMMUS_Model!T$655</f>
        <v>0</v>
      </c>
      <c r="U86" s="594">
        <f xml:space="preserve"> COMMUS_Model!U$655</f>
        <v>0</v>
      </c>
      <c r="V86" s="594">
        <f xml:space="preserve"> COMMUS_Model!V$655</f>
        <v>337.57564124999999</v>
      </c>
      <c r="W86" s="594">
        <f xml:space="preserve"> COMMUS_Model!W$655</f>
        <v>222.54200976000001</v>
      </c>
      <c r="X86" s="594">
        <f xml:space="preserve"> COMMUS_Model!X$655</f>
        <v>371.24404302956799</v>
      </c>
      <c r="Y86" s="594">
        <f xml:space="preserve"> COMMUS_Model!Y$655</f>
        <v>279.86709994391998</v>
      </c>
      <c r="Z86" s="594">
        <f xml:space="preserve"> COMMUS_Model!Z$655</f>
        <v>318.65466784211196</v>
      </c>
      <c r="AA86" s="594">
        <f xml:space="preserve"> COMMUS_Model!AA$655</f>
        <v>621.53795000247601</v>
      </c>
      <c r="AB86" s="594">
        <f xml:space="preserve"> COMMUS_Model!AB$655</f>
        <v>562.73987384990824</v>
      </c>
      <c r="AC86" s="594">
        <f xml:space="preserve"> COMMUS_Model!AC$655</f>
        <v>534.06774428732285</v>
      </c>
      <c r="AD86" s="594">
        <f xml:space="preserve"> COMMUS_Model!AD$655</f>
        <v>499.39449196549901</v>
      </c>
      <c r="AE86" s="594">
        <f xml:space="preserve"> COMMUS_Model!AE$655</f>
        <v>511.64191424046072</v>
      </c>
      <c r="AF86" s="594">
        <f xml:space="preserve"> COMMUS_Model!AF$655</f>
        <v>522.47681812965493</v>
      </c>
      <c r="AG86" s="594">
        <f xml:space="preserve"> COMMUS_Model!AG$655</f>
        <v>533.79306524069909</v>
      </c>
      <c r="AH86" s="594">
        <f xml:space="preserve"> COMMUS_Model!AH$655</f>
        <v>545.3125501316897</v>
      </c>
      <c r="AI86" s="594">
        <f xml:space="preserve"> COMMUS_Model!AI$655</f>
        <v>563.04437690960037</v>
      </c>
      <c r="AJ86" s="594">
        <f xml:space="preserve"> COMMUS_Model!AJ$655</f>
        <v>520.87013281239911</v>
      </c>
      <c r="AK86" s="594">
        <f xml:space="preserve"> COMMUS_Model!AK$655</f>
        <v>303.9560272104207</v>
      </c>
      <c r="AL86" s="594">
        <f xml:space="preserve"> COMMUS_Model!AL$655</f>
        <v>0</v>
      </c>
      <c r="AM86" s="594">
        <f xml:space="preserve"> COMMUS_Model!AM$655</f>
        <v>0</v>
      </c>
      <c r="AN86" s="594">
        <f xml:space="preserve"> COMMUS_Model!AN$655</f>
        <v>0</v>
      </c>
      <c r="AO86" s="594">
        <f xml:space="preserve"> COMMUS_Model!AO$655</f>
        <v>0</v>
      </c>
      <c r="AP86" s="594">
        <f xml:space="preserve"> COMMUS_Model!AP$655</f>
        <v>0</v>
      </c>
      <c r="AQ86" s="594">
        <f xml:space="preserve"> COMMUS_Model!AQ$655</f>
        <v>0</v>
      </c>
      <c r="AR86" s="594">
        <f xml:space="preserve"> COMMUS_Model!AR$655</f>
        <v>0</v>
      </c>
      <c r="AS86" s="594">
        <f xml:space="preserve"> COMMUS_Model!AS$655</f>
        <v>0</v>
      </c>
    </row>
    <row r="87" spans="1:48" ht="15" customHeight="1" x14ac:dyDescent="0.3">
      <c r="A87" s="761"/>
      <c r="B87" s="761"/>
      <c r="C87" s="623"/>
      <c r="D87" s="168"/>
      <c r="E87" s="168" t="s">
        <v>713</v>
      </c>
      <c r="F87" s="168"/>
      <c r="G87" s="168" t="s">
        <v>160</v>
      </c>
      <c r="H87" s="168"/>
      <c r="I87" s="465"/>
      <c r="J87" s="168">
        <f xml:space="preserve"> SUM(Q87:AV87)</f>
        <v>8</v>
      </c>
      <c r="K87" s="465"/>
      <c r="L87" s="465"/>
      <c r="M87" s="465"/>
      <c r="N87" s="465"/>
      <c r="O87" s="465"/>
      <c r="P87" s="465"/>
      <c r="Q87" s="168">
        <f xml:space="preserve"> (Q83 &gt; 0) * 1</f>
        <v>0</v>
      </c>
      <c r="R87" s="168">
        <f t="shared" ref="R87:AN87" si="44" xml:space="preserve"> (R83 &gt; 0) * 1</f>
        <v>1</v>
      </c>
      <c r="S87" s="168">
        <f t="shared" si="44"/>
        <v>0</v>
      </c>
      <c r="T87" s="168">
        <f t="shared" si="44"/>
        <v>1</v>
      </c>
      <c r="U87" s="168">
        <f t="shared" si="44"/>
        <v>1</v>
      </c>
      <c r="V87" s="168">
        <f t="shared" si="44"/>
        <v>1</v>
      </c>
      <c r="W87" s="168">
        <f t="shared" si="44"/>
        <v>1</v>
      </c>
      <c r="X87" s="168">
        <f t="shared" si="44"/>
        <v>1</v>
      </c>
      <c r="Y87" s="168">
        <f t="shared" si="44"/>
        <v>1</v>
      </c>
      <c r="Z87" s="168">
        <f t="shared" si="44"/>
        <v>0</v>
      </c>
      <c r="AA87" s="168">
        <f t="shared" si="44"/>
        <v>1</v>
      </c>
      <c r="AB87" s="168">
        <f t="shared" si="44"/>
        <v>0</v>
      </c>
      <c r="AC87" s="168">
        <f t="shared" si="44"/>
        <v>0</v>
      </c>
      <c r="AD87" s="168">
        <f t="shared" si="44"/>
        <v>0</v>
      </c>
      <c r="AE87" s="168">
        <f t="shared" si="44"/>
        <v>0</v>
      </c>
      <c r="AF87" s="168">
        <f t="shared" si="44"/>
        <v>0</v>
      </c>
      <c r="AG87" s="168">
        <f t="shared" si="44"/>
        <v>0</v>
      </c>
      <c r="AH87" s="168">
        <f t="shared" si="44"/>
        <v>0</v>
      </c>
      <c r="AI87" s="168">
        <f t="shared" si="44"/>
        <v>0</v>
      </c>
      <c r="AJ87" s="168">
        <f t="shared" si="44"/>
        <v>0</v>
      </c>
      <c r="AK87" s="168">
        <f t="shared" si="44"/>
        <v>0</v>
      </c>
      <c r="AL87" s="168">
        <f t="shared" si="44"/>
        <v>0</v>
      </c>
      <c r="AM87" s="168">
        <f t="shared" si="44"/>
        <v>0</v>
      </c>
      <c r="AN87" s="168">
        <f t="shared" si="44"/>
        <v>0</v>
      </c>
      <c r="AO87" s="168">
        <f t="shared" ref="AO87:AS87" si="45" xml:space="preserve"> (AO83 &gt; 0) * 1</f>
        <v>0</v>
      </c>
      <c r="AP87" s="168">
        <f t="shared" si="45"/>
        <v>0</v>
      </c>
      <c r="AQ87" s="168">
        <f t="shared" si="45"/>
        <v>0</v>
      </c>
      <c r="AR87" s="168">
        <f t="shared" si="45"/>
        <v>0</v>
      </c>
      <c r="AS87" s="168">
        <f t="shared" si="45"/>
        <v>0</v>
      </c>
    </row>
    <row r="88" spans="1:48" ht="15" customHeight="1" x14ac:dyDescent="0.3">
      <c r="A88" s="722"/>
      <c r="B88" s="722"/>
      <c r="C88" s="724"/>
      <c r="D88" s="725"/>
      <c r="E88" s="742"/>
      <c r="F88" s="742"/>
      <c r="G88" s="742"/>
      <c r="H88" s="742"/>
      <c r="I88" s="742"/>
      <c r="J88" s="742"/>
      <c r="K88" s="742"/>
      <c r="L88" s="742"/>
      <c r="M88" s="742"/>
      <c r="N88" s="742"/>
      <c r="O88" s="742"/>
      <c r="P88" s="742"/>
      <c r="Q88" s="742"/>
      <c r="R88" s="742"/>
      <c r="S88" s="742"/>
      <c r="T88" s="742"/>
      <c r="U88" s="742"/>
      <c r="V88" s="742"/>
      <c r="W88" s="742"/>
      <c r="X88" s="742"/>
      <c r="Y88" s="742"/>
      <c r="Z88" s="742"/>
      <c r="AA88" s="742"/>
      <c r="AB88" s="742"/>
      <c r="AC88" s="742"/>
      <c r="AD88" s="742"/>
      <c r="AE88" s="742"/>
      <c r="AF88" s="742"/>
      <c r="AG88" s="742"/>
      <c r="AH88" s="742"/>
      <c r="AI88" s="742"/>
      <c r="AJ88" s="742"/>
      <c r="AK88" s="742"/>
      <c r="AL88" s="742"/>
      <c r="AM88" s="742"/>
      <c r="AN88" s="742"/>
      <c r="AO88" s="742"/>
      <c r="AP88" s="742"/>
      <c r="AQ88" s="742"/>
      <c r="AR88" s="742"/>
      <c r="AS88" s="742"/>
    </row>
    <row r="89" spans="1:48" ht="15" customHeight="1" x14ac:dyDescent="0.3">
      <c r="A89" s="761"/>
      <c r="B89" s="761"/>
      <c r="C89" s="623" t="s">
        <v>714</v>
      </c>
      <c r="D89" s="168"/>
      <c r="E89" s="168"/>
      <c r="F89" s="168"/>
      <c r="G89" s="168"/>
      <c r="H89" s="168"/>
      <c r="I89" s="465"/>
      <c r="J89" s="168"/>
      <c r="K89" s="465"/>
      <c r="L89" s="465"/>
      <c r="M89" s="465"/>
      <c r="N89" s="465"/>
      <c r="O89" s="465"/>
      <c r="P89" s="465"/>
      <c r="Q89" s="168"/>
      <c r="R89" s="168"/>
      <c r="S89" s="168"/>
      <c r="T89" s="168"/>
      <c r="U89" s="168"/>
      <c r="V89" s="168"/>
      <c r="W89" s="168"/>
      <c r="X89" s="168"/>
      <c r="Y89" s="168"/>
      <c r="Z89" s="168"/>
      <c r="AA89" s="168"/>
      <c r="AB89" s="168"/>
      <c r="AC89" s="168"/>
      <c r="AD89" s="168"/>
      <c r="AE89" s="168"/>
      <c r="AF89" s="168"/>
      <c r="AG89" s="168"/>
      <c r="AH89" s="168"/>
      <c r="AI89" s="168"/>
      <c r="AJ89" s="168"/>
      <c r="AK89" s="168"/>
      <c r="AL89" s="168"/>
      <c r="AM89" s="168"/>
      <c r="AN89" s="168"/>
      <c r="AO89" s="168"/>
      <c r="AP89" s="168"/>
      <c r="AQ89" s="168"/>
      <c r="AR89" s="168"/>
      <c r="AS89" s="168"/>
    </row>
    <row r="90" spans="1:48" ht="15" customHeight="1" x14ac:dyDescent="0.3">
      <c r="A90" s="761"/>
      <c r="B90" s="761"/>
      <c r="C90" s="623"/>
      <c r="D90" s="168"/>
      <c r="E90" s="168" t="s">
        <v>715</v>
      </c>
      <c r="F90" s="168"/>
      <c r="G90" s="168" t="s">
        <v>34</v>
      </c>
      <c r="H90" s="168"/>
      <c r="I90" s="465"/>
      <c r="J90" s="168"/>
      <c r="K90" s="777">
        <f t="shared" ref="K90:P90" si="46" xml:space="preserve"> IFERROR(K83 / K84, 0)</f>
        <v>0</v>
      </c>
      <c r="L90" s="777">
        <f t="shared" si="46"/>
        <v>0</v>
      </c>
      <c r="M90" s="777">
        <f t="shared" si="46"/>
        <v>0</v>
      </c>
      <c r="N90" s="777">
        <f t="shared" si="46"/>
        <v>0</v>
      </c>
      <c r="O90" s="777">
        <f t="shared" si="46"/>
        <v>0</v>
      </c>
      <c r="P90" s="777">
        <f t="shared" si="46"/>
        <v>0</v>
      </c>
      <c r="Q90" s="777">
        <f t="shared" ref="Q90:AN90" si="47" xml:space="preserve"> IFERROR(Q83 / Q84, 0)</f>
        <v>0</v>
      </c>
      <c r="R90" s="777">
        <f t="shared" si="47"/>
        <v>0</v>
      </c>
      <c r="S90" s="777">
        <f t="shared" si="47"/>
        <v>0</v>
      </c>
      <c r="T90" s="777">
        <f t="shared" si="47"/>
        <v>0</v>
      </c>
      <c r="U90" s="777">
        <f t="shared" si="47"/>
        <v>0</v>
      </c>
      <c r="V90" s="777">
        <f t="shared" si="47"/>
        <v>5.3490694258247616E-2</v>
      </c>
      <c r="W90" s="777">
        <f t="shared" si="47"/>
        <v>0.16327893632150192</v>
      </c>
      <c r="X90" s="777">
        <f t="shared" si="47"/>
        <v>0.18219699635907075</v>
      </c>
      <c r="Y90" s="777">
        <f t="shared" si="47"/>
        <v>1.2337029869280045E-2</v>
      </c>
      <c r="Z90" s="777">
        <f t="shared" si="47"/>
        <v>0</v>
      </c>
      <c r="AA90" s="777">
        <f t="shared" si="47"/>
        <v>7.6970150151836655E-2</v>
      </c>
      <c r="AB90" s="777">
        <f t="shared" si="47"/>
        <v>0</v>
      </c>
      <c r="AC90" s="777">
        <f t="shared" si="47"/>
        <v>0</v>
      </c>
      <c r="AD90" s="777">
        <f t="shared" si="47"/>
        <v>0</v>
      </c>
      <c r="AE90" s="777">
        <f t="shared" si="47"/>
        <v>0</v>
      </c>
      <c r="AF90" s="777">
        <f t="shared" si="47"/>
        <v>0</v>
      </c>
      <c r="AG90" s="777">
        <f t="shared" si="47"/>
        <v>0</v>
      </c>
      <c r="AH90" s="777">
        <f t="shared" si="47"/>
        <v>0</v>
      </c>
      <c r="AI90" s="777">
        <f t="shared" si="47"/>
        <v>0</v>
      </c>
      <c r="AJ90" s="777">
        <f t="shared" si="47"/>
        <v>0</v>
      </c>
      <c r="AK90" s="777">
        <f t="shared" si="47"/>
        <v>0</v>
      </c>
      <c r="AL90" s="777">
        <f t="shared" si="47"/>
        <v>0</v>
      </c>
      <c r="AM90" s="777">
        <f t="shared" si="47"/>
        <v>0</v>
      </c>
      <c r="AN90" s="777">
        <f t="shared" si="47"/>
        <v>0</v>
      </c>
      <c r="AO90" s="777">
        <f t="shared" ref="AO90:AS90" si="48" xml:space="preserve"> IFERROR(AO83 / AO84, 0)</f>
        <v>0</v>
      </c>
      <c r="AP90" s="777">
        <f t="shared" si="48"/>
        <v>0</v>
      </c>
      <c r="AQ90" s="777">
        <f t="shared" si="48"/>
        <v>0</v>
      </c>
      <c r="AR90" s="777">
        <f t="shared" si="48"/>
        <v>0</v>
      </c>
      <c r="AS90" s="777">
        <f t="shared" si="48"/>
        <v>0</v>
      </c>
    </row>
    <row r="91" spans="1:48" ht="15" customHeight="1" x14ac:dyDescent="0.3">
      <c r="A91" s="761"/>
      <c r="B91" s="761"/>
      <c r="C91" s="623"/>
      <c r="D91" s="168"/>
      <c r="E91" s="168" t="s">
        <v>716</v>
      </c>
      <c r="F91" s="168"/>
      <c r="G91" s="168" t="s">
        <v>34</v>
      </c>
      <c r="H91" s="168"/>
      <c r="I91" s="465"/>
      <c r="J91" s="168"/>
      <c r="K91" s="777">
        <f t="shared" ref="K91:P91" si="49" xml:space="preserve"> IFERROR(K83 / K85, 0)</f>
        <v>0</v>
      </c>
      <c r="L91" s="777">
        <f t="shared" si="49"/>
        <v>0</v>
      </c>
      <c r="M91" s="777">
        <f t="shared" si="49"/>
        <v>0</v>
      </c>
      <c r="N91" s="777">
        <f t="shared" si="49"/>
        <v>0</v>
      </c>
      <c r="O91" s="777">
        <f t="shared" si="49"/>
        <v>0</v>
      </c>
      <c r="P91" s="777">
        <f t="shared" si="49"/>
        <v>0</v>
      </c>
      <c r="Q91" s="777">
        <f t="shared" ref="Q91:AN91" si="50" xml:space="preserve"> IFERROR(Q83 / Q85, 0)</f>
        <v>0</v>
      </c>
      <c r="R91" s="777">
        <f t="shared" si="50"/>
        <v>0</v>
      </c>
      <c r="S91" s="777">
        <f t="shared" si="50"/>
        <v>0</v>
      </c>
      <c r="T91" s="777">
        <f t="shared" si="50"/>
        <v>0</v>
      </c>
      <c r="U91" s="777">
        <f t="shared" si="50"/>
        <v>0</v>
      </c>
      <c r="V91" s="777">
        <f t="shared" si="50"/>
        <v>2.0203500553623126E-2</v>
      </c>
      <c r="W91" s="777">
        <f t="shared" si="50"/>
        <v>0.1630949611606973</v>
      </c>
      <c r="X91" s="777">
        <f t="shared" si="50"/>
        <v>0.27393411380903526</v>
      </c>
      <c r="Y91" s="777">
        <f t="shared" si="50"/>
        <v>0.70882000897830633</v>
      </c>
      <c r="Z91" s="777">
        <f t="shared" si="50"/>
        <v>0</v>
      </c>
      <c r="AA91" s="777">
        <f t="shared" si="50"/>
        <v>0.39996846318549201</v>
      </c>
      <c r="AB91" s="777">
        <f t="shared" si="50"/>
        <v>0</v>
      </c>
      <c r="AC91" s="777">
        <f t="shared" si="50"/>
        <v>0</v>
      </c>
      <c r="AD91" s="777">
        <f t="shared" si="50"/>
        <v>0</v>
      </c>
      <c r="AE91" s="777">
        <f t="shared" si="50"/>
        <v>0</v>
      </c>
      <c r="AF91" s="777">
        <f t="shared" si="50"/>
        <v>0</v>
      </c>
      <c r="AG91" s="777">
        <f t="shared" si="50"/>
        <v>0</v>
      </c>
      <c r="AH91" s="777">
        <f t="shared" si="50"/>
        <v>0</v>
      </c>
      <c r="AI91" s="777">
        <f t="shared" si="50"/>
        <v>0</v>
      </c>
      <c r="AJ91" s="777">
        <f t="shared" si="50"/>
        <v>0</v>
      </c>
      <c r="AK91" s="777">
        <f t="shared" si="50"/>
        <v>0</v>
      </c>
      <c r="AL91" s="777">
        <f t="shared" si="50"/>
        <v>0</v>
      </c>
      <c r="AM91" s="777">
        <f t="shared" si="50"/>
        <v>0</v>
      </c>
      <c r="AN91" s="777">
        <f t="shared" si="50"/>
        <v>0</v>
      </c>
      <c r="AO91" s="777">
        <f t="shared" ref="AO91:AS91" si="51" xml:space="preserve"> IFERROR(AO83 / AO85, 0)</f>
        <v>0</v>
      </c>
      <c r="AP91" s="777">
        <f t="shared" si="51"/>
        <v>0</v>
      </c>
      <c r="AQ91" s="777">
        <f t="shared" si="51"/>
        <v>0</v>
      </c>
      <c r="AR91" s="777">
        <f t="shared" si="51"/>
        <v>0</v>
      </c>
      <c r="AS91" s="777">
        <f t="shared" si="51"/>
        <v>0</v>
      </c>
    </row>
    <row r="92" spans="1:48" s="143" customFormat="1" ht="15" customHeight="1" x14ac:dyDescent="0.3">
      <c r="A92" s="761"/>
      <c r="B92" s="761"/>
      <c r="C92" s="623"/>
      <c r="D92" s="168"/>
      <c r="E92" s="168" t="s">
        <v>717</v>
      </c>
      <c r="F92" s="168"/>
      <c r="G92" s="168" t="s">
        <v>34</v>
      </c>
      <c r="H92" s="168"/>
      <c r="I92" s="465"/>
      <c r="J92" s="168"/>
      <c r="K92" s="777">
        <f t="shared" ref="K92:P92" si="52" xml:space="preserve"> IFERROR(K83 / K86, 0)</f>
        <v>0</v>
      </c>
      <c r="L92" s="777">
        <f t="shared" si="52"/>
        <v>0</v>
      </c>
      <c r="M92" s="777">
        <f t="shared" si="52"/>
        <v>0</v>
      </c>
      <c r="N92" s="777">
        <f t="shared" si="52"/>
        <v>0</v>
      </c>
      <c r="O92" s="777">
        <f t="shared" si="52"/>
        <v>0</v>
      </c>
      <c r="P92" s="777">
        <f t="shared" si="52"/>
        <v>0</v>
      </c>
      <c r="Q92" s="777">
        <f t="shared" ref="Q92:AN92" si="53" xml:space="preserve"> IFERROR(Q83 / Q86, 0)</f>
        <v>0</v>
      </c>
      <c r="R92" s="777">
        <f t="shared" si="53"/>
        <v>0</v>
      </c>
      <c r="S92" s="777">
        <f t="shared" si="53"/>
        <v>0</v>
      </c>
      <c r="T92" s="777">
        <f t="shared" si="53"/>
        <v>0</v>
      </c>
      <c r="U92" s="777">
        <f t="shared" si="53"/>
        <v>0</v>
      </c>
      <c r="V92" s="777">
        <f t="shared" si="53"/>
        <v>1.4664645889938007E-2</v>
      </c>
      <c r="W92" s="777">
        <f t="shared" si="53"/>
        <v>8.1593448444104669E-2</v>
      </c>
      <c r="X92" s="777">
        <f t="shared" si="53"/>
        <v>0.10942023383999366</v>
      </c>
      <c r="Y92" s="777">
        <f t="shared" si="53"/>
        <v>1.2125976939340226E-2</v>
      </c>
      <c r="Z92" s="777">
        <f t="shared" si="53"/>
        <v>0</v>
      </c>
      <c r="AA92" s="777">
        <f t="shared" si="53"/>
        <v>6.4548417357041796E-2</v>
      </c>
      <c r="AB92" s="777">
        <f t="shared" si="53"/>
        <v>0</v>
      </c>
      <c r="AC92" s="777">
        <f t="shared" si="53"/>
        <v>0</v>
      </c>
      <c r="AD92" s="777">
        <f t="shared" si="53"/>
        <v>0</v>
      </c>
      <c r="AE92" s="777">
        <f t="shared" si="53"/>
        <v>0</v>
      </c>
      <c r="AF92" s="777">
        <f t="shared" si="53"/>
        <v>0</v>
      </c>
      <c r="AG92" s="777">
        <f t="shared" si="53"/>
        <v>0</v>
      </c>
      <c r="AH92" s="777">
        <f t="shared" si="53"/>
        <v>0</v>
      </c>
      <c r="AI92" s="777">
        <f t="shared" si="53"/>
        <v>0</v>
      </c>
      <c r="AJ92" s="777">
        <f t="shared" si="53"/>
        <v>0</v>
      </c>
      <c r="AK92" s="777">
        <f t="shared" si="53"/>
        <v>0</v>
      </c>
      <c r="AL92" s="777">
        <f t="shared" si="53"/>
        <v>0</v>
      </c>
      <c r="AM92" s="777">
        <f t="shared" si="53"/>
        <v>0</v>
      </c>
      <c r="AN92" s="777">
        <f t="shared" si="53"/>
        <v>0</v>
      </c>
      <c r="AO92" s="777">
        <f t="shared" ref="AO92:AS92" si="54" xml:space="preserve"> IFERROR(AO83 / AO86, 0)</f>
        <v>0</v>
      </c>
      <c r="AP92" s="777">
        <f t="shared" si="54"/>
        <v>0</v>
      </c>
      <c r="AQ92" s="777">
        <f t="shared" si="54"/>
        <v>0</v>
      </c>
      <c r="AR92" s="777">
        <f t="shared" si="54"/>
        <v>0</v>
      </c>
      <c r="AS92" s="777">
        <f t="shared" si="54"/>
        <v>0</v>
      </c>
      <c r="AT92"/>
      <c r="AU92"/>
      <c r="AV92"/>
    </row>
    <row r="93" spans="1:48" ht="15" customHeight="1" x14ac:dyDescent="0.3">
      <c r="A93" s="761"/>
      <c r="B93" s="761"/>
      <c r="C93" s="623"/>
      <c r="D93" s="168"/>
      <c r="E93" s="168"/>
      <c r="F93" s="168"/>
      <c r="G93" s="168"/>
      <c r="H93" s="168"/>
      <c r="I93" s="465"/>
      <c r="J93" s="168"/>
      <c r="K93" s="465"/>
      <c r="L93" s="465"/>
      <c r="M93" s="465"/>
      <c r="N93" s="465"/>
      <c r="O93" s="465"/>
      <c r="P93" s="465"/>
      <c r="Q93" s="777"/>
      <c r="R93" s="777"/>
      <c r="S93" s="777"/>
      <c r="T93" s="777"/>
      <c r="U93" s="777"/>
      <c r="V93" s="777"/>
      <c r="W93" s="777"/>
      <c r="X93" s="777"/>
      <c r="Y93" s="777"/>
      <c r="Z93" s="777"/>
      <c r="AA93" s="777"/>
      <c r="AB93" s="777"/>
      <c r="AC93" s="777"/>
      <c r="AD93" s="777"/>
      <c r="AE93" s="777"/>
      <c r="AF93" s="777"/>
      <c r="AG93" s="777"/>
      <c r="AH93" s="777"/>
      <c r="AI93" s="777"/>
      <c r="AJ93" s="777"/>
      <c r="AK93" s="777"/>
      <c r="AL93" s="777"/>
      <c r="AM93" s="777"/>
      <c r="AN93" s="777"/>
      <c r="AO93" s="777"/>
      <c r="AP93" s="777"/>
      <c r="AQ93" s="777"/>
      <c r="AR93" s="777"/>
      <c r="AS93" s="777"/>
    </row>
    <row r="94" spans="1:48" ht="15" customHeight="1" x14ac:dyDescent="0.3">
      <c r="A94" s="761"/>
      <c r="B94" s="761"/>
      <c r="C94" s="623" t="s">
        <v>718</v>
      </c>
      <c r="D94" s="168"/>
      <c r="E94" s="168"/>
      <c r="AL94" s="448"/>
      <c r="AM94" s="448"/>
      <c r="AN94" s="448"/>
      <c r="AO94" s="448"/>
      <c r="AP94" s="448"/>
      <c r="AQ94" s="448"/>
      <c r="AR94" s="448"/>
      <c r="AS94" s="448"/>
    </row>
    <row r="95" spans="1:48" ht="15" customHeight="1" x14ac:dyDescent="0.3">
      <c r="A95" s="722"/>
      <c r="B95" s="722"/>
      <c r="C95" s="724"/>
      <c r="D95" s="725"/>
      <c r="E95" s="742" t="str">
        <f xml:space="preserve"> E$27</f>
        <v>Taxes a l'Importation (EITI)</v>
      </c>
      <c r="F95" s="742" t="str">
        <f t="shared" ref="F95:O95" si="55" xml:space="preserve"> F$27</f>
        <v>yes</v>
      </c>
      <c r="G95" s="742" t="str">
        <f t="shared" si="55"/>
        <v>$ mn</v>
      </c>
      <c r="H95" s="742">
        <f t="shared" si="55"/>
        <v>0</v>
      </c>
      <c r="I95" s="742">
        <f t="shared" si="55"/>
        <v>113.23984485</v>
      </c>
      <c r="J95" s="742">
        <f t="shared" si="55"/>
        <v>0</v>
      </c>
      <c r="K95" s="742">
        <f t="shared" si="55"/>
        <v>0</v>
      </c>
      <c r="L95" s="742">
        <f t="shared" si="55"/>
        <v>0</v>
      </c>
      <c r="M95" s="742">
        <f t="shared" si="55"/>
        <v>0</v>
      </c>
      <c r="N95" s="742">
        <f t="shared" si="55"/>
        <v>0</v>
      </c>
      <c r="O95" s="742">
        <f t="shared" si="55"/>
        <v>0</v>
      </c>
      <c r="P95" s="742">
        <f t="shared" ref="P95:AN95" si="56" xml:space="preserve"> P$27</f>
        <v>0</v>
      </c>
      <c r="Q95" s="742">
        <f t="shared" si="56"/>
        <v>0</v>
      </c>
      <c r="R95" s="742">
        <f t="shared" si="56"/>
        <v>2.3059999999999999E-3</v>
      </c>
      <c r="S95" s="742">
        <f t="shared" si="56"/>
        <v>0</v>
      </c>
      <c r="T95" s="742">
        <f t="shared" si="56"/>
        <v>0.68107099999999998</v>
      </c>
      <c r="U95" s="742">
        <f t="shared" si="56"/>
        <v>5.3135076100000003</v>
      </c>
      <c r="V95" s="742">
        <f t="shared" si="56"/>
        <v>4.9504272399999998</v>
      </c>
      <c r="W95" s="742">
        <f t="shared" si="56"/>
        <v>18.157969999999999</v>
      </c>
      <c r="X95" s="742">
        <f t="shared" si="56"/>
        <v>40.621609999999997</v>
      </c>
      <c r="Y95" s="742">
        <f t="shared" si="56"/>
        <v>3.393662</v>
      </c>
      <c r="Z95" s="742">
        <f t="shared" si="56"/>
        <v>0</v>
      </c>
      <c r="AA95" s="742">
        <f t="shared" si="56"/>
        <v>40.119290999999997</v>
      </c>
      <c r="AB95" s="742">
        <f t="shared" si="56"/>
        <v>0</v>
      </c>
      <c r="AC95" s="742">
        <f t="shared" si="56"/>
        <v>0</v>
      </c>
      <c r="AD95" s="742">
        <f t="shared" si="56"/>
        <v>0</v>
      </c>
      <c r="AE95" s="742">
        <f t="shared" si="56"/>
        <v>0</v>
      </c>
      <c r="AF95" s="742">
        <f t="shared" si="56"/>
        <v>0</v>
      </c>
      <c r="AG95" s="742">
        <f t="shared" si="56"/>
        <v>0</v>
      </c>
      <c r="AH95" s="742">
        <f t="shared" si="56"/>
        <v>0</v>
      </c>
      <c r="AI95" s="742">
        <f t="shared" si="56"/>
        <v>0</v>
      </c>
      <c r="AJ95" s="742">
        <f t="shared" si="56"/>
        <v>0</v>
      </c>
      <c r="AK95" s="742">
        <f t="shared" si="56"/>
        <v>0</v>
      </c>
      <c r="AL95" s="742">
        <f t="shared" si="56"/>
        <v>0</v>
      </c>
      <c r="AM95" s="742">
        <f t="shared" si="56"/>
        <v>0</v>
      </c>
      <c r="AN95" s="742">
        <f t="shared" si="56"/>
        <v>0</v>
      </c>
      <c r="AO95" s="742">
        <f t="shared" ref="AO95:AS95" si="57" xml:space="preserve"> AO$27</f>
        <v>0</v>
      </c>
      <c r="AP95" s="742">
        <f t="shared" si="57"/>
        <v>0</v>
      </c>
      <c r="AQ95" s="742">
        <f t="shared" si="57"/>
        <v>0</v>
      </c>
      <c r="AR95" s="742">
        <f t="shared" si="57"/>
        <v>0</v>
      </c>
      <c r="AS95" s="742">
        <f t="shared" si="57"/>
        <v>0</v>
      </c>
    </row>
    <row r="96" spans="1:48" ht="15" customHeight="1" x14ac:dyDescent="0.3">
      <c r="A96" s="761"/>
      <c r="B96" s="761"/>
      <c r="C96" s="623"/>
      <c r="D96" s="168"/>
      <c r="E96" s="656" t="str">
        <f xml:space="preserve"> COMMUS_Model!E$823</f>
        <v>Import duties (included in costs)</v>
      </c>
      <c r="F96" s="656">
        <f xml:space="preserve"> COMMUS_Model!F$823</f>
        <v>0</v>
      </c>
      <c r="G96" s="656" t="str">
        <f xml:space="preserve"> COMMUS_Model!G$823</f>
        <v>$ mn</v>
      </c>
      <c r="H96" s="656">
        <f xml:space="preserve"> COMMUS_Model!H$823</f>
        <v>0</v>
      </c>
      <c r="I96" s="656">
        <f xml:space="preserve"> COMMUS_Model!I$823</f>
        <v>378.04054337098842</v>
      </c>
      <c r="J96" s="656">
        <f xml:space="preserve"> COMMUS_Model!J$823</f>
        <v>378.04054337098842</v>
      </c>
      <c r="K96" s="656">
        <f xml:space="preserve"> COMMUS_Model!K$823</f>
        <v>0</v>
      </c>
      <c r="L96" s="656">
        <f xml:space="preserve"> COMMUS_Model!L$823</f>
        <v>0</v>
      </c>
      <c r="M96" s="656">
        <f xml:space="preserve"> COMMUS_Model!M$823</f>
        <v>0</v>
      </c>
      <c r="N96" s="656">
        <f xml:space="preserve"> COMMUS_Model!N$823</f>
        <v>0</v>
      </c>
      <c r="O96" s="656">
        <f xml:space="preserve"> COMMUS_Model!O$823</f>
        <v>0</v>
      </c>
      <c r="P96" s="656">
        <f xml:space="preserve"> COMMUS_Model!P$823</f>
        <v>0</v>
      </c>
      <c r="Q96" s="656">
        <f xml:space="preserve"> COMMUS_Model!Q$823</f>
        <v>0</v>
      </c>
      <c r="R96" s="656">
        <f xml:space="preserve"> COMMUS_Model!R$823</f>
        <v>0</v>
      </c>
      <c r="S96" s="656">
        <f xml:space="preserve"> COMMUS_Model!S$823</f>
        <v>0</v>
      </c>
      <c r="T96" s="656">
        <f xml:space="preserve"> COMMUS_Model!T$823</f>
        <v>0</v>
      </c>
      <c r="U96" s="656">
        <f xml:space="preserve"> COMMUS_Model!U$823</f>
        <v>0</v>
      </c>
      <c r="V96" s="656">
        <f xml:space="preserve"> COMMUS_Model!V$823</f>
        <v>4.9504272399999998</v>
      </c>
      <c r="W96" s="656">
        <f xml:space="preserve"> COMMUS_Model!W$823</f>
        <v>18.157969999999999</v>
      </c>
      <c r="X96" s="656">
        <f xml:space="preserve"> COMMUS_Model!X$823</f>
        <v>40.621609999999997</v>
      </c>
      <c r="Y96" s="656">
        <f xml:space="preserve"> COMMUS_Model!Y$823</f>
        <v>3.393662</v>
      </c>
      <c r="Z96" s="656">
        <f xml:space="preserve"> COMMUS_Model!Z$823</f>
        <v>15.932733392105598</v>
      </c>
      <c r="AA96" s="656">
        <f xml:space="preserve"> COMMUS_Model!AA$823</f>
        <v>40.119290999999997</v>
      </c>
      <c r="AB96" s="656">
        <f xml:space="preserve"> COMMUS_Model!AB$823</f>
        <v>28.136993692495412</v>
      </c>
      <c r="AC96" s="656">
        <f xml:space="preserve"> COMMUS_Model!AC$823</f>
        <v>26.703387214366145</v>
      </c>
      <c r="AD96" s="656">
        <f xml:space="preserve"> COMMUS_Model!AD$823</f>
        <v>24.969724598274951</v>
      </c>
      <c r="AE96" s="656">
        <f xml:space="preserve"> COMMUS_Model!AE$823</f>
        <v>25.582095712023037</v>
      </c>
      <c r="AF96" s="656">
        <f xml:space="preserve"> COMMUS_Model!AF$823</f>
        <v>26.123840906482748</v>
      </c>
      <c r="AG96" s="656">
        <f xml:space="preserve"> COMMUS_Model!AG$823</f>
        <v>26.689653262034955</v>
      </c>
      <c r="AH96" s="656">
        <f xml:space="preserve"> COMMUS_Model!AH$823</f>
        <v>27.265627506584487</v>
      </c>
      <c r="AI96" s="656">
        <f xml:space="preserve"> COMMUS_Model!AI$823</f>
        <v>28.152218845480022</v>
      </c>
      <c r="AJ96" s="656">
        <f xml:space="preserve"> COMMUS_Model!AJ$823</f>
        <v>26.043506640619956</v>
      </c>
      <c r="AK96" s="656">
        <f xml:space="preserve"> COMMUS_Model!AK$823</f>
        <v>15.197801360521035</v>
      </c>
      <c r="AL96" s="656">
        <f xml:space="preserve"> COMMUS_Model!AL$823</f>
        <v>0</v>
      </c>
      <c r="AM96" s="656">
        <f xml:space="preserve"> COMMUS_Model!AM$823</f>
        <v>0</v>
      </c>
      <c r="AN96" s="656">
        <f xml:space="preserve"> COMMUS_Model!AN$823</f>
        <v>0</v>
      </c>
      <c r="AO96" s="656">
        <f xml:space="preserve"> COMMUS_Model!AO$823</f>
        <v>0</v>
      </c>
      <c r="AP96" s="656">
        <f xml:space="preserve"> COMMUS_Model!AP$823</f>
        <v>0</v>
      </c>
      <c r="AQ96" s="656">
        <f xml:space="preserve"> COMMUS_Model!AQ$823</f>
        <v>0</v>
      </c>
      <c r="AR96" s="656">
        <f xml:space="preserve"> COMMUS_Model!AR$823</f>
        <v>0</v>
      </c>
      <c r="AS96" s="656">
        <f xml:space="preserve"> COMMUS_Model!AS$823</f>
        <v>0</v>
      </c>
    </row>
    <row r="97" spans="1:48" ht="15" customHeight="1" x14ac:dyDescent="0.3">
      <c r="A97" s="398"/>
      <c r="B97" s="398"/>
      <c r="C97" s="421"/>
      <c r="D97" s="423"/>
      <c r="E97" s="423" t="s">
        <v>706</v>
      </c>
      <c r="F97" s="423"/>
      <c r="G97" s="423" t="s">
        <v>346</v>
      </c>
      <c r="H97" s="423"/>
      <c r="I97" s="424">
        <f>SUM(K97:AU97)</f>
        <v>5.9968846100000004</v>
      </c>
      <c r="J97" s="88">
        <f xml:space="preserve"> SUM(Q97:AV97)</f>
        <v>5.9968846100000004</v>
      </c>
      <c r="K97" s="51">
        <f t="shared" ref="K97:O97" si="58" xml:space="preserve"> IF(K95  &lt;&gt; 0, K95 - K96, 0)</f>
        <v>0</v>
      </c>
      <c r="L97" s="51">
        <f t="shared" si="58"/>
        <v>0</v>
      </c>
      <c r="M97" s="51">
        <f t="shared" si="58"/>
        <v>0</v>
      </c>
      <c r="N97" s="51">
        <f t="shared" si="58"/>
        <v>0</v>
      </c>
      <c r="O97" s="51">
        <f t="shared" si="58"/>
        <v>0</v>
      </c>
      <c r="P97" s="51">
        <f t="shared" ref="P97:U97" si="59" xml:space="preserve"> IF(P95  &lt;&gt; 0, P95 - P96, 0)</f>
        <v>0</v>
      </c>
      <c r="Q97" s="51">
        <f t="shared" si="59"/>
        <v>0</v>
      </c>
      <c r="R97" s="51">
        <f t="shared" si="59"/>
        <v>2.3059999999999999E-3</v>
      </c>
      <c r="S97" s="51">
        <f t="shared" si="59"/>
        <v>0</v>
      </c>
      <c r="T97" s="51">
        <f t="shared" si="59"/>
        <v>0.68107099999999998</v>
      </c>
      <c r="U97" s="51">
        <f t="shared" si="59"/>
        <v>5.3135076100000003</v>
      </c>
      <c r="V97" s="51">
        <f xml:space="preserve"> IF(V95  &lt;&gt; 0, V95 - V96, 0)</f>
        <v>0</v>
      </c>
      <c r="W97" s="51">
        <f t="shared" ref="W97:AN97" si="60" xml:space="preserve"> IF(W95  &lt;&gt; 0, W95 - W96, 0)</f>
        <v>0</v>
      </c>
      <c r="X97" s="51">
        <f t="shared" si="60"/>
        <v>0</v>
      </c>
      <c r="Y97" s="51">
        <f t="shared" si="60"/>
        <v>0</v>
      </c>
      <c r="Z97" s="51">
        <f t="shared" si="60"/>
        <v>0</v>
      </c>
      <c r="AA97" s="51">
        <f t="shared" si="60"/>
        <v>0</v>
      </c>
      <c r="AB97" s="51">
        <f t="shared" si="60"/>
        <v>0</v>
      </c>
      <c r="AC97" s="51">
        <f t="shared" si="60"/>
        <v>0</v>
      </c>
      <c r="AD97" s="51">
        <f t="shared" si="60"/>
        <v>0</v>
      </c>
      <c r="AE97" s="51">
        <f t="shared" si="60"/>
        <v>0</v>
      </c>
      <c r="AF97" s="51">
        <f t="shared" si="60"/>
        <v>0</v>
      </c>
      <c r="AG97" s="51">
        <f t="shared" si="60"/>
        <v>0</v>
      </c>
      <c r="AH97" s="51">
        <f t="shared" si="60"/>
        <v>0</v>
      </c>
      <c r="AI97" s="51">
        <f t="shared" si="60"/>
        <v>0</v>
      </c>
      <c r="AJ97" s="51">
        <f t="shared" si="60"/>
        <v>0</v>
      </c>
      <c r="AK97" s="51">
        <f t="shared" si="60"/>
        <v>0</v>
      </c>
      <c r="AL97" s="51">
        <f t="shared" si="60"/>
        <v>0</v>
      </c>
      <c r="AM97" s="51">
        <f t="shared" si="60"/>
        <v>0</v>
      </c>
      <c r="AN97" s="51">
        <f t="shared" si="60"/>
        <v>0</v>
      </c>
      <c r="AO97" s="51">
        <f t="shared" ref="AO97:AS97" si="61" xml:space="preserve"> IF(AO95  &lt;&gt; 0, AO95 - AO96, 0)</f>
        <v>0</v>
      </c>
      <c r="AP97" s="51">
        <f t="shared" si="61"/>
        <v>0</v>
      </c>
      <c r="AQ97" s="51">
        <f t="shared" si="61"/>
        <v>0</v>
      </c>
      <c r="AR97" s="51">
        <f t="shared" si="61"/>
        <v>0</v>
      </c>
      <c r="AS97" s="51">
        <f t="shared" si="61"/>
        <v>0</v>
      </c>
    </row>
    <row r="98" spans="1:48" ht="15" customHeight="1" x14ac:dyDescent="0.3">
      <c r="A98" s="761"/>
      <c r="B98" s="761"/>
      <c r="C98" s="623"/>
      <c r="D98" s="168"/>
      <c r="E98" s="168"/>
      <c r="AL98" s="448"/>
      <c r="AM98" s="448"/>
      <c r="AN98" s="448"/>
      <c r="AO98" s="448"/>
      <c r="AP98" s="448"/>
      <c r="AQ98" s="448"/>
      <c r="AR98" s="448"/>
      <c r="AS98" s="448"/>
    </row>
    <row r="99" spans="1:48" ht="15" customHeight="1" x14ac:dyDescent="0.3">
      <c r="A99" s="761"/>
      <c r="B99" s="761" t="s">
        <v>723</v>
      </c>
      <c r="C99" s="623"/>
      <c r="D99" s="168"/>
      <c r="E99" s="168"/>
      <c r="AL99" s="448"/>
      <c r="AM99" s="448"/>
      <c r="AN99" s="448"/>
      <c r="AO99" s="448"/>
      <c r="AP99" s="448"/>
      <c r="AQ99" s="448"/>
      <c r="AR99" s="448"/>
      <c r="AS99" s="448"/>
    </row>
    <row r="100" spans="1:48" ht="15" customHeight="1" x14ac:dyDescent="0.3">
      <c r="A100" s="722"/>
      <c r="B100" s="722"/>
      <c r="C100" s="724"/>
      <c r="D100" s="725"/>
      <c r="E100" s="742" t="str">
        <f xml:space="preserve"> E$17</f>
        <v>IPR / IER (EITI)</v>
      </c>
      <c r="F100" s="742" t="str">
        <f t="shared" ref="F100:O100" si="62" xml:space="preserve"> F$17</f>
        <v>yes</v>
      </c>
      <c r="G100" s="742" t="str">
        <f t="shared" si="62"/>
        <v>$ mn</v>
      </c>
      <c r="H100" s="742">
        <f t="shared" si="62"/>
        <v>0</v>
      </c>
      <c r="I100" s="742">
        <f t="shared" si="62"/>
        <v>16.798678090000003</v>
      </c>
      <c r="J100" s="742">
        <f t="shared" si="62"/>
        <v>0</v>
      </c>
      <c r="K100" s="742">
        <f t="shared" si="62"/>
        <v>0</v>
      </c>
      <c r="L100" s="742">
        <f t="shared" si="62"/>
        <v>0</v>
      </c>
      <c r="M100" s="742">
        <f t="shared" si="62"/>
        <v>0</v>
      </c>
      <c r="N100" s="742">
        <f t="shared" si="62"/>
        <v>0</v>
      </c>
      <c r="O100" s="742">
        <f t="shared" si="62"/>
        <v>0</v>
      </c>
      <c r="P100" s="742">
        <f t="shared" ref="P100:AN100" si="63" xml:space="preserve"> P$17</f>
        <v>0</v>
      </c>
      <c r="Q100" s="742">
        <f t="shared" si="63"/>
        <v>7.7244999999999994E-2</v>
      </c>
      <c r="R100" s="742">
        <f t="shared" si="63"/>
        <v>5.4310000000000001E-3</v>
      </c>
      <c r="S100" s="742">
        <f t="shared" si="63"/>
        <v>2.8563999999999999E-2</v>
      </c>
      <c r="T100" s="742">
        <f t="shared" si="63"/>
        <v>7.8185000000000004E-2</v>
      </c>
      <c r="U100" s="742">
        <f t="shared" si="63"/>
        <v>0.20886592000000001</v>
      </c>
      <c r="V100" s="742">
        <f t="shared" si="63"/>
        <v>0.58512717000000003</v>
      </c>
      <c r="W100" s="742">
        <f t="shared" si="63"/>
        <v>1.1656899999999999</v>
      </c>
      <c r="X100" s="742">
        <f t="shared" si="63"/>
        <v>2.2463299999999999</v>
      </c>
      <c r="Y100" s="742">
        <f t="shared" si="63"/>
        <v>3.377011</v>
      </c>
      <c r="Z100" s="742">
        <f t="shared" si="63"/>
        <v>4.9324320000000004</v>
      </c>
      <c r="AA100" s="742">
        <f t="shared" si="63"/>
        <v>4.0937970000000004</v>
      </c>
      <c r="AB100" s="742">
        <f t="shared" si="63"/>
        <v>0</v>
      </c>
      <c r="AC100" s="742">
        <f t="shared" si="63"/>
        <v>0</v>
      </c>
      <c r="AD100" s="742">
        <f t="shared" si="63"/>
        <v>0</v>
      </c>
      <c r="AE100" s="742">
        <f t="shared" si="63"/>
        <v>0</v>
      </c>
      <c r="AF100" s="742">
        <f t="shared" si="63"/>
        <v>0</v>
      </c>
      <c r="AG100" s="742">
        <f t="shared" si="63"/>
        <v>0</v>
      </c>
      <c r="AH100" s="742">
        <f t="shared" si="63"/>
        <v>0</v>
      </c>
      <c r="AI100" s="742">
        <f t="shared" si="63"/>
        <v>0</v>
      </c>
      <c r="AJ100" s="742">
        <f t="shared" si="63"/>
        <v>0</v>
      </c>
      <c r="AK100" s="742">
        <f t="shared" si="63"/>
        <v>0</v>
      </c>
      <c r="AL100" s="742">
        <f t="shared" si="63"/>
        <v>0</v>
      </c>
      <c r="AM100" s="742">
        <f t="shared" si="63"/>
        <v>0</v>
      </c>
      <c r="AN100" s="742">
        <f t="shared" si="63"/>
        <v>0</v>
      </c>
      <c r="AO100" s="742">
        <f t="shared" ref="AO100:AS100" si="64" xml:space="preserve"> AO$17</f>
        <v>0</v>
      </c>
      <c r="AP100" s="742">
        <f t="shared" si="64"/>
        <v>0</v>
      </c>
      <c r="AQ100" s="742">
        <f t="shared" si="64"/>
        <v>0</v>
      </c>
      <c r="AR100" s="742">
        <f t="shared" si="64"/>
        <v>0</v>
      </c>
      <c r="AS100" s="742">
        <f t="shared" si="64"/>
        <v>0</v>
      </c>
    </row>
    <row r="101" spans="1:48" ht="15" customHeight="1" x14ac:dyDescent="0.3">
      <c r="A101" s="722"/>
      <c r="B101" s="722"/>
      <c r="C101" s="724"/>
      <c r="D101" s="725"/>
      <c r="E101" s="594" t="str">
        <f xml:space="preserve"> COMMUS_Model!E$520</f>
        <v>Operating costs, including Sens.</v>
      </c>
      <c r="F101" s="594" t="str">
        <f xml:space="preserve"> COMMUS_Model!F$520</f>
        <v>FS</v>
      </c>
      <c r="G101" s="594" t="str">
        <f xml:space="preserve"> COMMUS_Model!G$520</f>
        <v>$ mn</v>
      </c>
      <c r="H101" s="594">
        <f xml:space="preserve"> COMMUS_Model!H$520</f>
        <v>0</v>
      </c>
      <c r="I101" s="594">
        <f xml:space="preserve"> COMMUS_Model!I$520</f>
        <v>6417.4732060838423</v>
      </c>
      <c r="J101" s="594">
        <f xml:space="preserve"> COMMUS_Model!J$520</f>
        <v>0</v>
      </c>
      <c r="K101" s="594">
        <f xml:space="preserve"> COMMUS_Model!K$520</f>
        <v>0</v>
      </c>
      <c r="L101" s="594">
        <f xml:space="preserve"> COMMUS_Model!L$520</f>
        <v>0</v>
      </c>
      <c r="M101" s="594">
        <f xml:space="preserve"> COMMUS_Model!M$520</f>
        <v>0</v>
      </c>
      <c r="N101" s="594">
        <f xml:space="preserve"> COMMUS_Model!N$520</f>
        <v>0</v>
      </c>
      <c r="O101" s="594">
        <f xml:space="preserve"> COMMUS_Model!O$520</f>
        <v>0</v>
      </c>
      <c r="P101" s="594">
        <f xml:space="preserve"> COMMUS_Model!P$520</f>
        <v>0</v>
      </c>
      <c r="Q101" s="594">
        <f xml:space="preserve"> COMMUS_Model!Q$520</f>
        <v>0</v>
      </c>
      <c r="R101" s="594">
        <f xml:space="preserve"> COMMUS_Model!R$520</f>
        <v>0</v>
      </c>
      <c r="S101" s="594">
        <f xml:space="preserve"> COMMUS_Model!S$520</f>
        <v>0</v>
      </c>
      <c r="T101" s="594">
        <f xml:space="preserve"> COMMUS_Model!T$520</f>
        <v>0</v>
      </c>
      <c r="U101" s="594">
        <f xml:space="preserve"> COMMUS_Model!U$520</f>
        <v>0</v>
      </c>
      <c r="V101" s="594">
        <f xml:space="preserve"> COMMUS_Model!V$520</f>
        <v>92.547447899999995</v>
      </c>
      <c r="W101" s="594">
        <f xml:space="preserve"> COMMUS_Model!W$520</f>
        <v>111.20828203000001</v>
      </c>
      <c r="X101" s="594">
        <f xml:space="preserve"> COMMUS_Model!X$520</f>
        <v>222.95433410956798</v>
      </c>
      <c r="Y101" s="594">
        <f xml:space="preserve"> COMMUS_Model!Y$520</f>
        <v>275.07933724392001</v>
      </c>
      <c r="Z101" s="594">
        <f xml:space="preserve"> COMMUS_Model!Z$520</f>
        <v>236.842377442112</v>
      </c>
      <c r="AA101" s="594">
        <f xml:space="preserve"> COMMUS_Model!AA$520</f>
        <v>521.23181416247598</v>
      </c>
      <c r="AB101" s="594">
        <f xml:space="preserve"> COMMUS_Model!AB$520</f>
        <v>458.85614080454303</v>
      </c>
      <c r="AC101" s="594">
        <f xml:space="preserve"> COMMUS_Model!AC$520</f>
        <v>498.26409575079998</v>
      </c>
      <c r="AD101" s="594">
        <f xml:space="preserve"> COMMUS_Model!AD$520</f>
        <v>499.39449196549901</v>
      </c>
      <c r="AE101" s="594">
        <f xml:space="preserve"> COMMUS_Model!AE$520</f>
        <v>511.64191424046072</v>
      </c>
      <c r="AF101" s="594">
        <f xml:space="preserve"> COMMUS_Model!AF$520</f>
        <v>522.47681812965493</v>
      </c>
      <c r="AG101" s="594">
        <f xml:space="preserve"> COMMUS_Model!AG$520</f>
        <v>533.79306524069909</v>
      </c>
      <c r="AH101" s="594">
        <f xml:space="preserve"> COMMUS_Model!AH$520</f>
        <v>545.3125501316897</v>
      </c>
      <c r="AI101" s="594">
        <f xml:space="preserve"> COMMUS_Model!AI$520</f>
        <v>563.04437690960037</v>
      </c>
      <c r="AJ101" s="594">
        <f xml:space="preserve"> COMMUS_Model!AJ$520</f>
        <v>520.87013281239911</v>
      </c>
      <c r="AK101" s="594">
        <f xml:space="preserve"> COMMUS_Model!AK$520</f>
        <v>303.9560272104207</v>
      </c>
      <c r="AL101" s="594">
        <f xml:space="preserve"> COMMUS_Model!AL$520</f>
        <v>0</v>
      </c>
      <c r="AM101" s="594">
        <f xml:space="preserve"> COMMUS_Model!AM$520</f>
        <v>0</v>
      </c>
      <c r="AN101" s="594">
        <f xml:space="preserve"> COMMUS_Model!AN$520</f>
        <v>0</v>
      </c>
      <c r="AO101" s="594">
        <f xml:space="preserve"> COMMUS_Model!AO$520</f>
        <v>0</v>
      </c>
      <c r="AP101" s="594">
        <f xml:space="preserve"> COMMUS_Model!AP$520</f>
        <v>0</v>
      </c>
      <c r="AQ101" s="594">
        <f xml:space="preserve"> COMMUS_Model!AQ$520</f>
        <v>0</v>
      </c>
      <c r="AR101" s="594">
        <f xml:space="preserve"> COMMUS_Model!AR$520</f>
        <v>0</v>
      </c>
      <c r="AS101" s="594">
        <f xml:space="preserve"> COMMUS_Model!AS$520</f>
        <v>0</v>
      </c>
    </row>
    <row r="102" spans="1:48" s="168" customFormat="1" ht="15" customHeight="1" x14ac:dyDescent="0.3">
      <c r="A102" s="761"/>
      <c r="B102" s="761"/>
      <c r="C102" s="623"/>
      <c r="E102" s="168" t="s">
        <v>724</v>
      </c>
      <c r="G102" s="168" t="s">
        <v>34</v>
      </c>
      <c r="K102" s="784">
        <f t="shared" ref="K102:P102" si="65" xml:space="preserve"> IFERROR(K100 / K101, 0)</f>
        <v>0</v>
      </c>
      <c r="L102" s="784">
        <f t="shared" si="65"/>
        <v>0</v>
      </c>
      <c r="M102" s="784">
        <f t="shared" si="65"/>
        <v>0</v>
      </c>
      <c r="N102" s="784">
        <f t="shared" si="65"/>
        <v>0</v>
      </c>
      <c r="O102" s="784">
        <f t="shared" si="65"/>
        <v>0</v>
      </c>
      <c r="P102" s="784">
        <f t="shared" si="65"/>
        <v>0</v>
      </c>
      <c r="Q102" s="784">
        <f t="shared" ref="Q102:AN102" si="66" xml:space="preserve"> IFERROR(Q100 / Q101, 0)</f>
        <v>0</v>
      </c>
      <c r="R102" s="784">
        <f t="shared" si="66"/>
        <v>0</v>
      </c>
      <c r="S102" s="784">
        <f t="shared" si="66"/>
        <v>0</v>
      </c>
      <c r="T102" s="784">
        <f t="shared" si="66"/>
        <v>0</v>
      </c>
      <c r="U102" s="784">
        <f t="shared" si="66"/>
        <v>0</v>
      </c>
      <c r="V102" s="784">
        <f t="shared" si="66"/>
        <v>6.3224560296059771E-3</v>
      </c>
      <c r="W102" s="784">
        <f t="shared" si="66"/>
        <v>1.0482043052203059E-2</v>
      </c>
      <c r="X102" s="784">
        <f t="shared" si="66"/>
        <v>1.0075291915590529E-2</v>
      </c>
      <c r="Y102" s="784">
        <f t="shared" si="66"/>
        <v>1.2276498241689148E-2</v>
      </c>
      <c r="Z102" s="784">
        <f t="shared" si="66"/>
        <v>2.0825800066989971E-2</v>
      </c>
      <c r="AA102" s="784">
        <f t="shared" si="66"/>
        <v>7.8540812144745654E-3</v>
      </c>
      <c r="AB102" s="784">
        <f t="shared" si="66"/>
        <v>0</v>
      </c>
      <c r="AC102" s="784">
        <f t="shared" si="66"/>
        <v>0</v>
      </c>
      <c r="AD102" s="784">
        <f t="shared" si="66"/>
        <v>0</v>
      </c>
      <c r="AE102" s="784">
        <f t="shared" si="66"/>
        <v>0</v>
      </c>
      <c r="AF102" s="784">
        <f t="shared" si="66"/>
        <v>0</v>
      </c>
      <c r="AG102" s="784">
        <f t="shared" si="66"/>
        <v>0</v>
      </c>
      <c r="AH102" s="784">
        <f t="shared" si="66"/>
        <v>0</v>
      </c>
      <c r="AI102" s="784">
        <f t="shared" si="66"/>
        <v>0</v>
      </c>
      <c r="AJ102" s="784">
        <f t="shared" si="66"/>
        <v>0</v>
      </c>
      <c r="AK102" s="784">
        <f t="shared" si="66"/>
        <v>0</v>
      </c>
      <c r="AL102" s="784">
        <f t="shared" si="66"/>
        <v>0</v>
      </c>
      <c r="AM102" s="784">
        <f t="shared" si="66"/>
        <v>0</v>
      </c>
      <c r="AN102" s="784">
        <f t="shared" si="66"/>
        <v>0</v>
      </c>
      <c r="AO102" s="784">
        <f t="shared" ref="AO102:AS102" si="67" xml:space="preserve"> IFERROR(AO100 / AO101, 0)</f>
        <v>0</v>
      </c>
      <c r="AP102" s="784">
        <f t="shared" si="67"/>
        <v>0</v>
      </c>
      <c r="AQ102" s="784">
        <f t="shared" si="67"/>
        <v>0</v>
      </c>
      <c r="AR102" s="784">
        <f t="shared" si="67"/>
        <v>0</v>
      </c>
      <c r="AS102" s="784">
        <f t="shared" si="67"/>
        <v>0</v>
      </c>
      <c r="AT102"/>
      <c r="AU102"/>
      <c r="AV102"/>
    </row>
    <row r="103" spans="1:48" ht="15" customHeight="1" x14ac:dyDescent="0.3">
      <c r="A103" s="761"/>
      <c r="B103" s="761"/>
      <c r="C103" s="623"/>
      <c r="D103" s="168"/>
      <c r="E103" s="168"/>
      <c r="AL103" s="448"/>
      <c r="AM103" s="448"/>
      <c r="AN103" s="448"/>
      <c r="AO103" s="448"/>
      <c r="AP103" s="448"/>
      <c r="AQ103" s="448"/>
      <c r="AR103" s="448"/>
      <c r="AS103" s="448"/>
    </row>
    <row r="104" spans="1:48" ht="15" customHeight="1" x14ac:dyDescent="0.3">
      <c r="A104" s="761"/>
      <c r="B104" s="761"/>
      <c r="C104" s="623"/>
      <c r="D104" s="168"/>
      <c r="E104" s="497" t="str">
        <f xml:space="preserve"> Inputs_Con!E$115</f>
        <v>Payroll taxes as % of opex</v>
      </c>
      <c r="F104" s="786">
        <f xml:space="preserve"> Inputs_Con!F$115</f>
        <v>0.04</v>
      </c>
      <c r="G104" s="704" t="str">
        <f xml:space="preserve"> Inputs_Con!G$115</f>
        <v xml:space="preserve"> %</v>
      </c>
      <c r="AL104" s="448"/>
      <c r="AM104" s="448"/>
      <c r="AN104" s="448"/>
      <c r="AO104" s="448"/>
      <c r="AP104" s="448"/>
      <c r="AQ104" s="448"/>
      <c r="AR104" s="448"/>
      <c r="AS104" s="448"/>
    </row>
    <row r="105" spans="1:48" ht="15" customHeight="1" x14ac:dyDescent="0.3">
      <c r="A105" s="761"/>
      <c r="B105" s="761"/>
      <c r="C105" s="623"/>
      <c r="D105" s="168"/>
      <c r="E105" s="168"/>
      <c r="AL105" s="448"/>
      <c r="AM105" s="448"/>
      <c r="AN105" s="448"/>
      <c r="AO105" s="448"/>
      <c r="AP105" s="448"/>
      <c r="AQ105" s="448"/>
      <c r="AR105" s="448"/>
      <c r="AS105" s="448"/>
    </row>
    <row r="106" spans="1:48" ht="15" customHeight="1" x14ac:dyDescent="0.3">
      <c r="A106" s="761"/>
      <c r="B106" s="761"/>
      <c r="C106" s="623" t="s">
        <v>718</v>
      </c>
      <c r="D106" s="168"/>
      <c r="E106" s="168"/>
      <c r="AL106" s="448"/>
      <c r="AM106" s="448"/>
      <c r="AN106" s="448"/>
      <c r="AO106" s="448"/>
      <c r="AP106" s="448"/>
      <c r="AQ106" s="448"/>
      <c r="AR106" s="448"/>
      <c r="AS106" s="448"/>
    </row>
    <row r="107" spans="1:48" ht="15" customHeight="1" x14ac:dyDescent="0.3">
      <c r="A107" s="722"/>
      <c r="B107" s="722"/>
      <c r="C107" s="724"/>
      <c r="D107" s="725"/>
      <c r="E107" s="742" t="str">
        <f xml:space="preserve"> E$17</f>
        <v>IPR / IER (EITI)</v>
      </c>
      <c r="F107" s="742" t="str">
        <f t="shared" ref="F107:O107" si="68" xml:space="preserve"> F$17</f>
        <v>yes</v>
      </c>
      <c r="G107" s="742" t="str">
        <f t="shared" si="68"/>
        <v>$ mn</v>
      </c>
      <c r="H107" s="742">
        <f t="shared" si="68"/>
        <v>0</v>
      </c>
      <c r="I107" s="742">
        <f t="shared" si="68"/>
        <v>16.798678090000003</v>
      </c>
      <c r="J107" s="742">
        <f t="shared" si="68"/>
        <v>0</v>
      </c>
      <c r="K107" s="742">
        <f t="shared" si="68"/>
        <v>0</v>
      </c>
      <c r="L107" s="742">
        <f t="shared" si="68"/>
        <v>0</v>
      </c>
      <c r="M107" s="742">
        <f t="shared" si="68"/>
        <v>0</v>
      </c>
      <c r="N107" s="742">
        <f t="shared" si="68"/>
        <v>0</v>
      </c>
      <c r="O107" s="742">
        <f t="shared" si="68"/>
        <v>0</v>
      </c>
      <c r="P107" s="742">
        <f t="shared" ref="P107:AN107" si="69" xml:space="preserve"> P$17</f>
        <v>0</v>
      </c>
      <c r="Q107" s="742">
        <f t="shared" si="69"/>
        <v>7.7244999999999994E-2</v>
      </c>
      <c r="R107" s="742">
        <f t="shared" si="69"/>
        <v>5.4310000000000001E-3</v>
      </c>
      <c r="S107" s="742">
        <f t="shared" si="69"/>
        <v>2.8563999999999999E-2</v>
      </c>
      <c r="T107" s="742">
        <f t="shared" si="69"/>
        <v>7.8185000000000004E-2</v>
      </c>
      <c r="U107" s="742">
        <f t="shared" si="69"/>
        <v>0.20886592000000001</v>
      </c>
      <c r="V107" s="742">
        <f t="shared" si="69"/>
        <v>0.58512717000000003</v>
      </c>
      <c r="W107" s="742">
        <f t="shared" si="69"/>
        <v>1.1656899999999999</v>
      </c>
      <c r="X107" s="742">
        <f t="shared" si="69"/>
        <v>2.2463299999999999</v>
      </c>
      <c r="Y107" s="742">
        <f t="shared" si="69"/>
        <v>3.377011</v>
      </c>
      <c r="Z107" s="742">
        <f t="shared" si="69"/>
        <v>4.9324320000000004</v>
      </c>
      <c r="AA107" s="742">
        <f t="shared" si="69"/>
        <v>4.0937970000000004</v>
      </c>
      <c r="AB107" s="742">
        <f t="shared" si="69"/>
        <v>0</v>
      </c>
      <c r="AC107" s="742">
        <f t="shared" si="69"/>
        <v>0</v>
      </c>
      <c r="AD107" s="742">
        <f t="shared" si="69"/>
        <v>0</v>
      </c>
      <c r="AE107" s="742">
        <f t="shared" si="69"/>
        <v>0</v>
      </c>
      <c r="AF107" s="742">
        <f t="shared" si="69"/>
        <v>0</v>
      </c>
      <c r="AG107" s="742">
        <f t="shared" si="69"/>
        <v>0</v>
      </c>
      <c r="AH107" s="742">
        <f t="shared" si="69"/>
        <v>0</v>
      </c>
      <c r="AI107" s="742">
        <f t="shared" si="69"/>
        <v>0</v>
      </c>
      <c r="AJ107" s="742">
        <f t="shared" si="69"/>
        <v>0</v>
      </c>
      <c r="AK107" s="742">
        <f t="shared" si="69"/>
        <v>0</v>
      </c>
      <c r="AL107" s="742">
        <f t="shared" si="69"/>
        <v>0</v>
      </c>
      <c r="AM107" s="742">
        <f t="shared" si="69"/>
        <v>0</v>
      </c>
      <c r="AN107" s="742">
        <f t="shared" si="69"/>
        <v>0</v>
      </c>
      <c r="AO107" s="742">
        <f t="shared" ref="AO107:AS107" si="70" xml:space="preserve"> AO$17</f>
        <v>0</v>
      </c>
      <c r="AP107" s="742">
        <f t="shared" si="70"/>
        <v>0</v>
      </c>
      <c r="AQ107" s="742">
        <f t="shared" si="70"/>
        <v>0</v>
      </c>
      <c r="AR107" s="742">
        <f t="shared" si="70"/>
        <v>0</v>
      </c>
      <c r="AS107" s="742">
        <f t="shared" si="70"/>
        <v>0</v>
      </c>
    </row>
    <row r="108" spans="1:48" ht="15" customHeight="1" x14ac:dyDescent="0.3">
      <c r="A108" s="761"/>
      <c r="B108" s="761"/>
      <c r="C108" s="623"/>
      <c r="D108" s="168"/>
      <c r="E108" s="177" t="str">
        <f xml:space="preserve"> COMMUS_Model!E$858</f>
        <v>Payroll taxes (included in costs)</v>
      </c>
      <c r="F108" s="177">
        <f xml:space="preserve"> COMMUS_Model!F$858</f>
        <v>0</v>
      </c>
      <c r="G108" s="177" t="str">
        <f xml:space="preserve"> COMMUS_Model!G$858</f>
        <v>$ mn</v>
      </c>
      <c r="H108" s="177">
        <f xml:space="preserve"> COMMUS_Model!H$858</f>
        <v>0</v>
      </c>
      <c r="I108" s="177">
        <f xml:space="preserve"> COMMUS_Model!I$858</f>
        <v>256.69892824335369</v>
      </c>
      <c r="J108" s="177">
        <f xml:space="preserve"> COMMUS_Model!J$858</f>
        <v>0</v>
      </c>
      <c r="K108" s="177">
        <f xml:space="preserve"> COMMUS_Model!K$858</f>
        <v>0</v>
      </c>
      <c r="L108" s="177">
        <f xml:space="preserve"> COMMUS_Model!L$858</f>
        <v>0</v>
      </c>
      <c r="M108" s="177">
        <f xml:space="preserve"> COMMUS_Model!M$858</f>
        <v>0</v>
      </c>
      <c r="N108" s="177">
        <f xml:space="preserve"> COMMUS_Model!N$858</f>
        <v>0</v>
      </c>
      <c r="O108" s="177">
        <f xml:space="preserve"> COMMUS_Model!O$858</f>
        <v>0</v>
      </c>
      <c r="P108" s="177">
        <f xml:space="preserve"> COMMUS_Model!P$858</f>
        <v>0</v>
      </c>
      <c r="Q108" s="177">
        <f xml:space="preserve"> COMMUS_Model!Q$858</f>
        <v>0</v>
      </c>
      <c r="R108" s="177">
        <f xml:space="preserve"> COMMUS_Model!R$858</f>
        <v>0</v>
      </c>
      <c r="S108" s="177">
        <f xml:space="preserve"> COMMUS_Model!S$858</f>
        <v>0</v>
      </c>
      <c r="T108" s="177">
        <f xml:space="preserve"> COMMUS_Model!T$858</f>
        <v>0</v>
      </c>
      <c r="U108" s="177">
        <f xml:space="preserve"> COMMUS_Model!U$858</f>
        <v>0</v>
      </c>
      <c r="V108" s="177">
        <f xml:space="preserve"> COMMUS_Model!V$858</f>
        <v>3.7018979160000001</v>
      </c>
      <c r="W108" s="177">
        <f xml:space="preserve"> COMMUS_Model!W$858</f>
        <v>4.4483312812000007</v>
      </c>
      <c r="X108" s="177">
        <f xml:space="preserve"> COMMUS_Model!X$858</f>
        <v>8.918173364382719</v>
      </c>
      <c r="Y108" s="177">
        <f xml:space="preserve"> COMMUS_Model!Y$858</f>
        <v>11.003173489756801</v>
      </c>
      <c r="Z108" s="177">
        <f xml:space="preserve"> COMMUS_Model!Z$858</f>
        <v>9.4736950976844803</v>
      </c>
      <c r="AA108" s="177">
        <f xml:space="preserve"> COMMUS_Model!AA$858</f>
        <v>20.849272566499039</v>
      </c>
      <c r="AB108" s="177">
        <f xml:space="preserve"> COMMUS_Model!AB$858</f>
        <v>18.354245632181723</v>
      </c>
      <c r="AC108" s="177">
        <f xml:space="preserve"> COMMUS_Model!AC$858</f>
        <v>19.930563830032</v>
      </c>
      <c r="AD108" s="177">
        <f xml:space="preserve"> COMMUS_Model!AD$858</f>
        <v>19.975779678619961</v>
      </c>
      <c r="AE108" s="177">
        <f xml:space="preserve"> COMMUS_Model!AE$858</f>
        <v>20.465676569618431</v>
      </c>
      <c r="AF108" s="177">
        <f xml:space="preserve"> COMMUS_Model!AF$858</f>
        <v>20.899072725186198</v>
      </c>
      <c r="AG108" s="177">
        <f xml:space="preserve"> COMMUS_Model!AG$858</f>
        <v>21.351722609627963</v>
      </c>
      <c r="AH108" s="177">
        <f xml:space="preserve"> COMMUS_Model!AH$858</f>
        <v>21.812502005267589</v>
      </c>
      <c r="AI108" s="177">
        <f xml:space="preserve"> COMMUS_Model!AI$858</f>
        <v>22.521775076384014</v>
      </c>
      <c r="AJ108" s="177">
        <f xml:space="preserve"> COMMUS_Model!AJ$858</f>
        <v>20.834805312495966</v>
      </c>
      <c r="AK108" s="177">
        <f xml:space="preserve"> COMMUS_Model!AK$858</f>
        <v>12.158241088416828</v>
      </c>
      <c r="AL108" s="177">
        <f xml:space="preserve"> COMMUS_Model!AL$858</f>
        <v>0</v>
      </c>
      <c r="AM108" s="177">
        <f xml:space="preserve"> COMMUS_Model!AM$858</f>
        <v>0</v>
      </c>
      <c r="AN108" s="177">
        <f xml:space="preserve"> COMMUS_Model!AN$858</f>
        <v>0</v>
      </c>
      <c r="AO108" s="177">
        <f xml:space="preserve"> COMMUS_Model!AO$858</f>
        <v>0</v>
      </c>
      <c r="AP108" s="177">
        <f xml:space="preserve"> COMMUS_Model!AP$858</f>
        <v>0</v>
      </c>
      <c r="AQ108" s="177">
        <f xml:space="preserve"> COMMUS_Model!AQ$858</f>
        <v>0</v>
      </c>
      <c r="AR108" s="177">
        <f xml:space="preserve"> COMMUS_Model!AR$858</f>
        <v>0</v>
      </c>
      <c r="AS108" s="177">
        <f xml:space="preserve"> COMMUS_Model!AS$858</f>
        <v>0</v>
      </c>
    </row>
    <row r="109" spans="1:48" ht="15" customHeight="1" x14ac:dyDescent="0.3">
      <c r="A109" s="398"/>
      <c r="B109" s="398"/>
      <c r="C109" s="421"/>
      <c r="D109" s="423"/>
      <c r="E109" s="423" t="s">
        <v>706</v>
      </c>
      <c r="F109" s="423"/>
      <c r="G109" s="423" t="s">
        <v>346</v>
      </c>
      <c r="H109" s="423"/>
      <c r="I109" s="424">
        <f>SUM(K109:AU109)</f>
        <v>-41.595865625523039</v>
      </c>
      <c r="J109" s="88">
        <f xml:space="preserve"> SUM(Q109:AV109)</f>
        <v>-41.595865625523039</v>
      </c>
      <c r="K109" s="51">
        <f t="shared" ref="K109:O109" si="71" xml:space="preserve"> IF(K107  &lt;&gt; 0, K107 - K108, 0)</f>
        <v>0</v>
      </c>
      <c r="L109" s="51">
        <f t="shared" si="71"/>
        <v>0</v>
      </c>
      <c r="M109" s="51">
        <f t="shared" si="71"/>
        <v>0</v>
      </c>
      <c r="N109" s="51">
        <f t="shared" si="71"/>
        <v>0</v>
      </c>
      <c r="O109" s="51">
        <f t="shared" si="71"/>
        <v>0</v>
      </c>
      <c r="P109" s="51">
        <f t="shared" ref="P109:U109" si="72" xml:space="preserve"> IF(P107  &lt;&gt; 0, P107 - P108, 0)</f>
        <v>0</v>
      </c>
      <c r="Q109" s="51">
        <f t="shared" si="72"/>
        <v>7.7244999999999994E-2</v>
      </c>
      <c r="R109" s="51">
        <f t="shared" si="72"/>
        <v>5.4310000000000001E-3</v>
      </c>
      <c r="S109" s="51">
        <f t="shared" si="72"/>
        <v>2.8563999999999999E-2</v>
      </c>
      <c r="T109" s="51">
        <f t="shared" si="72"/>
        <v>7.8185000000000004E-2</v>
      </c>
      <c r="U109" s="51">
        <f t="shared" si="72"/>
        <v>0.20886592000000001</v>
      </c>
      <c r="V109" s="51">
        <f xml:space="preserve"> IF(V107  &lt;&gt; 0, V107 - V108, 0)</f>
        <v>-3.1167707460000003</v>
      </c>
      <c r="W109" s="51">
        <f t="shared" ref="W109:AN109" si="73" xml:space="preserve"> IF(W107  &lt;&gt; 0, W107 - W108, 0)</f>
        <v>-3.282641281200001</v>
      </c>
      <c r="X109" s="51">
        <f t="shared" si="73"/>
        <v>-6.6718433643827186</v>
      </c>
      <c r="Y109" s="51">
        <f t="shared" si="73"/>
        <v>-7.6261624897568012</v>
      </c>
      <c r="Z109" s="51">
        <f t="shared" si="73"/>
        <v>-4.5412630976844799</v>
      </c>
      <c r="AA109" s="51">
        <f t="shared" si="73"/>
        <v>-16.755475566499037</v>
      </c>
      <c r="AB109" s="51">
        <f t="shared" si="73"/>
        <v>0</v>
      </c>
      <c r="AC109" s="51">
        <f t="shared" si="73"/>
        <v>0</v>
      </c>
      <c r="AD109" s="51">
        <f t="shared" si="73"/>
        <v>0</v>
      </c>
      <c r="AE109" s="51">
        <f t="shared" si="73"/>
        <v>0</v>
      </c>
      <c r="AF109" s="51">
        <f t="shared" si="73"/>
        <v>0</v>
      </c>
      <c r="AG109" s="51">
        <f t="shared" si="73"/>
        <v>0</v>
      </c>
      <c r="AH109" s="51">
        <f t="shared" si="73"/>
        <v>0</v>
      </c>
      <c r="AI109" s="51">
        <f t="shared" si="73"/>
        <v>0</v>
      </c>
      <c r="AJ109" s="51">
        <f t="shared" si="73"/>
        <v>0</v>
      </c>
      <c r="AK109" s="51">
        <f t="shared" si="73"/>
        <v>0</v>
      </c>
      <c r="AL109" s="51">
        <f t="shared" si="73"/>
        <v>0</v>
      </c>
      <c r="AM109" s="51">
        <f t="shared" si="73"/>
        <v>0</v>
      </c>
      <c r="AN109" s="51">
        <f t="shared" si="73"/>
        <v>0</v>
      </c>
      <c r="AO109" s="51">
        <f t="shared" ref="AO109:AS109" si="74" xml:space="preserve"> IF(AO107  &lt;&gt; 0, AO107 - AO108, 0)</f>
        <v>0</v>
      </c>
      <c r="AP109" s="51">
        <f t="shared" si="74"/>
        <v>0</v>
      </c>
      <c r="AQ109" s="51">
        <f t="shared" si="74"/>
        <v>0</v>
      </c>
      <c r="AR109" s="51">
        <f t="shared" si="74"/>
        <v>0</v>
      </c>
      <c r="AS109" s="51">
        <f t="shared" si="74"/>
        <v>0</v>
      </c>
    </row>
    <row r="110" spans="1:48" ht="15" customHeight="1" x14ac:dyDescent="0.3">
      <c r="A110" s="761"/>
      <c r="B110" s="761"/>
      <c r="C110" s="623"/>
      <c r="D110" s="168"/>
      <c r="E110" s="168"/>
      <c r="AL110" s="448"/>
      <c r="AM110" s="448"/>
      <c r="AN110" s="448"/>
      <c r="AO110" s="448"/>
      <c r="AP110" s="448"/>
      <c r="AQ110" s="448"/>
      <c r="AR110" s="448"/>
      <c r="AS110" s="448"/>
    </row>
    <row r="111" spans="1:48" ht="15" customHeight="1" x14ac:dyDescent="0.3">
      <c r="A111" s="761"/>
      <c r="B111" s="761"/>
      <c r="C111" s="623"/>
      <c r="D111" s="168"/>
      <c r="E111" s="168"/>
      <c r="AL111" s="448"/>
      <c r="AM111" s="448"/>
      <c r="AN111" s="448"/>
      <c r="AO111" s="448"/>
      <c r="AP111" s="448"/>
      <c r="AQ111" s="448"/>
      <c r="AR111" s="448"/>
      <c r="AS111" s="448"/>
    </row>
    <row r="112" spans="1:48" ht="15" customHeight="1" x14ac:dyDescent="0.3">
      <c r="B112" s="446" t="s">
        <v>711</v>
      </c>
      <c r="AL112" s="448"/>
      <c r="AM112" s="448"/>
      <c r="AN112" s="448"/>
      <c r="AO112" s="448"/>
      <c r="AP112" s="448"/>
      <c r="AQ112" s="448"/>
      <c r="AR112" s="448"/>
      <c r="AS112" s="448"/>
    </row>
    <row r="113" spans="1:45" ht="15" customHeight="1" x14ac:dyDescent="0.3">
      <c r="A113" s="722"/>
      <c r="B113" s="722"/>
      <c r="C113" s="724"/>
      <c r="D113" s="725"/>
      <c r="E113" s="742" t="str">
        <f xml:space="preserve"> E$11</f>
        <v>Dividendes SOC (EITI)</v>
      </c>
      <c r="F113" s="742" t="str">
        <f t="shared" ref="F113:O113" si="75" xml:space="preserve"> F$11</f>
        <v>yes</v>
      </c>
      <c r="G113" s="742" t="str">
        <f t="shared" si="75"/>
        <v>$ mn</v>
      </c>
      <c r="H113" s="742">
        <f t="shared" si="75"/>
        <v>0</v>
      </c>
      <c r="I113" s="742">
        <f t="shared" si="75"/>
        <v>119.576379</v>
      </c>
      <c r="J113" s="742">
        <f t="shared" si="75"/>
        <v>0</v>
      </c>
      <c r="K113" s="742">
        <f t="shared" si="75"/>
        <v>0</v>
      </c>
      <c r="L113" s="742">
        <f t="shared" si="75"/>
        <v>0</v>
      </c>
      <c r="M113" s="742">
        <f t="shared" si="75"/>
        <v>0</v>
      </c>
      <c r="N113" s="742">
        <f t="shared" si="75"/>
        <v>0</v>
      </c>
      <c r="O113" s="742">
        <f t="shared" si="75"/>
        <v>0</v>
      </c>
      <c r="P113" s="742">
        <f t="shared" ref="P113:AS113" si="76" xml:space="preserve"> P$11</f>
        <v>0</v>
      </c>
      <c r="Q113" s="742">
        <f t="shared" si="76"/>
        <v>0</v>
      </c>
      <c r="R113" s="742">
        <f t="shared" si="76"/>
        <v>0</v>
      </c>
      <c r="S113" s="742">
        <f t="shared" si="76"/>
        <v>0</v>
      </c>
      <c r="T113" s="742">
        <f t="shared" si="76"/>
        <v>0</v>
      </c>
      <c r="U113" s="742">
        <f t="shared" si="76"/>
        <v>0</v>
      </c>
      <c r="V113" s="742">
        <f t="shared" si="76"/>
        <v>0.31061100000000003</v>
      </c>
      <c r="W113" s="742">
        <f t="shared" si="76"/>
        <v>5.1169770000000003</v>
      </c>
      <c r="X113" s="742">
        <f t="shared" si="76"/>
        <v>12.851286</v>
      </c>
      <c r="Y113" s="742">
        <f t="shared" si="76"/>
        <v>1.7122949999999999</v>
      </c>
      <c r="Z113" s="742">
        <f t="shared" si="76"/>
        <v>7.3715529999999996</v>
      </c>
      <c r="AA113" s="742">
        <f t="shared" si="76"/>
        <v>92.213656999999998</v>
      </c>
      <c r="AB113" s="742">
        <f t="shared" si="76"/>
        <v>0</v>
      </c>
      <c r="AC113" s="742">
        <f t="shared" si="76"/>
        <v>0</v>
      </c>
      <c r="AD113" s="742">
        <f t="shared" si="76"/>
        <v>0</v>
      </c>
      <c r="AE113" s="742">
        <f t="shared" si="76"/>
        <v>0</v>
      </c>
      <c r="AF113" s="742">
        <f t="shared" si="76"/>
        <v>0</v>
      </c>
      <c r="AG113" s="742">
        <f t="shared" si="76"/>
        <v>0</v>
      </c>
      <c r="AH113" s="742">
        <f t="shared" si="76"/>
        <v>0</v>
      </c>
      <c r="AI113" s="742">
        <f t="shared" si="76"/>
        <v>0</v>
      </c>
      <c r="AJ113" s="742">
        <f t="shared" si="76"/>
        <v>0</v>
      </c>
      <c r="AK113" s="742">
        <f t="shared" si="76"/>
        <v>0</v>
      </c>
      <c r="AL113" s="742">
        <f t="shared" si="76"/>
        <v>0</v>
      </c>
      <c r="AM113" s="742">
        <f t="shared" si="76"/>
        <v>0</v>
      </c>
      <c r="AN113" s="742">
        <f t="shared" si="76"/>
        <v>0</v>
      </c>
      <c r="AO113" s="742">
        <f t="shared" si="76"/>
        <v>0</v>
      </c>
      <c r="AP113" s="742">
        <f t="shared" si="76"/>
        <v>0</v>
      </c>
      <c r="AQ113" s="742">
        <f t="shared" si="76"/>
        <v>0</v>
      </c>
      <c r="AR113" s="742">
        <f t="shared" si="76"/>
        <v>0</v>
      </c>
      <c r="AS113" s="742">
        <f t="shared" si="76"/>
        <v>0</v>
      </c>
    </row>
    <row r="114" spans="1:45" ht="15" customHeight="1" x14ac:dyDescent="0.3">
      <c r="A114" s="759"/>
      <c r="B114" s="759"/>
      <c r="C114" s="760"/>
      <c r="D114" s="598"/>
      <c r="E114" s="704" t="str">
        <f xml:space="preserve"> COMMUS_Model!E$971</f>
        <v>Gecamines share of cashflows after repaying loan</v>
      </c>
      <c r="F114" s="704">
        <f xml:space="preserve"> COMMUS_Model!F$971</f>
        <v>0</v>
      </c>
      <c r="G114" s="704" t="str">
        <f xml:space="preserve"> COMMUS_Model!G$971</f>
        <v>$ mn</v>
      </c>
      <c r="H114" s="704">
        <f xml:space="preserve"> COMMUS_Model!H$971</f>
        <v>0</v>
      </c>
      <c r="I114" s="704">
        <f xml:space="preserve"> COMMUS_Model!I$971</f>
        <v>921.83851310159503</v>
      </c>
      <c r="J114" s="704">
        <f xml:space="preserve"> COMMUS_Model!J$971</f>
        <v>0</v>
      </c>
      <c r="K114" s="704">
        <f xml:space="preserve"> COMMUS_Model!K$971</f>
        <v>0</v>
      </c>
      <c r="L114" s="704">
        <f xml:space="preserve"> COMMUS_Model!L$971</f>
        <v>0</v>
      </c>
      <c r="M114" s="704">
        <f xml:space="preserve"> COMMUS_Model!M$971</f>
        <v>0</v>
      </c>
      <c r="N114" s="704">
        <f xml:space="preserve"> COMMUS_Model!N$971</f>
        <v>0</v>
      </c>
      <c r="O114" s="704">
        <f xml:space="preserve"> COMMUS_Model!O$971</f>
        <v>0</v>
      </c>
      <c r="P114" s="704">
        <f xml:space="preserve"> COMMUS_Model!P$971</f>
        <v>0</v>
      </c>
      <c r="Q114" s="704">
        <f xml:space="preserve"> COMMUS_Model!Q$971</f>
        <v>0</v>
      </c>
      <c r="R114" s="704">
        <f xml:space="preserve"> COMMUS_Model!R$971</f>
        <v>0</v>
      </c>
      <c r="S114" s="704">
        <f xml:space="preserve"> COMMUS_Model!S$971</f>
        <v>0</v>
      </c>
      <c r="T114" s="704">
        <f xml:space="preserve"> COMMUS_Model!T$971</f>
        <v>0</v>
      </c>
      <c r="U114" s="704">
        <f xml:space="preserve"> COMMUS_Model!U$971</f>
        <v>0</v>
      </c>
      <c r="V114" s="704">
        <f xml:space="preserve"> COMMUS_Model!V$971</f>
        <v>0</v>
      </c>
      <c r="W114" s="704">
        <f xml:space="preserve"> COMMUS_Model!W$971</f>
        <v>55.314913606598815</v>
      </c>
      <c r="X114" s="704">
        <f xml:space="preserve"> COMMUS_Model!X$971</f>
        <v>0</v>
      </c>
      <c r="Y114" s="704">
        <f xml:space="preserve"> COMMUS_Model!Y$971</f>
        <v>28.804743620437343</v>
      </c>
      <c r="Z114" s="704">
        <f xml:space="preserve"> COMMUS_Model!Z$971</f>
        <v>96.787395966146264</v>
      </c>
      <c r="AA114" s="704">
        <f xml:space="preserve"> COMMUS_Model!AA$971</f>
        <v>66.581495631285847</v>
      </c>
      <c r="AB114" s="704">
        <f xml:space="preserve"> COMMUS_Model!AB$971</f>
        <v>76.207260359806966</v>
      </c>
      <c r="AC114" s="704">
        <f xml:space="preserve"> COMMUS_Model!AC$971</f>
        <v>20.942687830567063</v>
      </c>
      <c r="AD114" s="704">
        <f xml:space="preserve"> COMMUS_Model!AD$971</f>
        <v>96.307306410075569</v>
      </c>
      <c r="AE114" s="704">
        <f xml:space="preserve"> COMMUS_Model!AE$971</f>
        <v>91.873073234797815</v>
      </c>
      <c r="AF114" s="704">
        <f xml:space="preserve"> COMMUS_Model!AF$971</f>
        <v>94.176371911874412</v>
      </c>
      <c r="AG114" s="704">
        <f xml:space="preserve"> COMMUS_Model!AG$971</f>
        <v>90.113351436505482</v>
      </c>
      <c r="AH114" s="704">
        <f xml:space="preserve"> COMMUS_Model!AH$971</f>
        <v>86.3436990901169</v>
      </c>
      <c r="AI114" s="704">
        <f xml:space="preserve"> COMMUS_Model!AI$971</f>
        <v>50.106733441018733</v>
      </c>
      <c r="AJ114" s="704">
        <f xml:space="preserve"> COMMUS_Model!AJ$971</f>
        <v>61.652527230880366</v>
      </c>
      <c r="AK114" s="704">
        <f xml:space="preserve"> COMMUS_Model!AK$971</f>
        <v>6.6269533314834765</v>
      </c>
      <c r="AL114" s="704">
        <f xml:space="preserve"> COMMUS_Model!AL$971</f>
        <v>0</v>
      </c>
      <c r="AM114" s="704">
        <f xml:space="preserve"> COMMUS_Model!AM$971</f>
        <v>0</v>
      </c>
      <c r="AN114" s="704">
        <f xml:space="preserve"> COMMUS_Model!AN$971</f>
        <v>0</v>
      </c>
      <c r="AO114" s="704">
        <f xml:space="preserve"> COMMUS_Model!AO$971</f>
        <v>0</v>
      </c>
      <c r="AP114" s="704">
        <f xml:space="preserve"> COMMUS_Model!AP$971</f>
        <v>0</v>
      </c>
      <c r="AQ114" s="704">
        <f xml:space="preserve"> COMMUS_Model!AQ$971</f>
        <v>0</v>
      </c>
      <c r="AR114" s="704">
        <f xml:space="preserve"> COMMUS_Model!AR$971</f>
        <v>0</v>
      </c>
      <c r="AS114" s="704">
        <f xml:space="preserve"> COMMUS_Model!AS$971</f>
        <v>0</v>
      </c>
    </row>
    <row r="115" spans="1:45" ht="15" customHeight="1" x14ac:dyDescent="0.3">
      <c r="A115" s="761"/>
      <c r="B115" s="761"/>
      <c r="C115" s="623"/>
      <c r="D115" s="168"/>
      <c r="E115" s="168" t="s">
        <v>706</v>
      </c>
      <c r="F115" s="168"/>
      <c r="G115" s="168" t="s">
        <v>346</v>
      </c>
      <c r="H115" s="168"/>
      <c r="I115" s="168">
        <f>SUM(K115:AS115)</f>
        <v>-127.91216982446826</v>
      </c>
      <c r="J115" s="168">
        <f xml:space="preserve"> SUM(Q115:AV115)</f>
        <v>-127.91216982446826</v>
      </c>
      <c r="K115" s="168">
        <f t="shared" ref="K115:P115" si="77" xml:space="preserve"> (K113 - K114) * (K113 &gt; 0)</f>
        <v>0</v>
      </c>
      <c r="L115" s="168">
        <f t="shared" si="77"/>
        <v>0</v>
      </c>
      <c r="M115" s="168">
        <f t="shared" si="77"/>
        <v>0</v>
      </c>
      <c r="N115" s="168">
        <f t="shared" si="77"/>
        <v>0</v>
      </c>
      <c r="O115" s="168">
        <f t="shared" si="77"/>
        <v>0</v>
      </c>
      <c r="P115" s="168">
        <f t="shared" si="77"/>
        <v>0</v>
      </c>
      <c r="Q115" s="168">
        <f t="shared" ref="Q115:AP115" si="78" xml:space="preserve"> (Q113 - Q114) * (Q113 &gt; 0)</f>
        <v>0</v>
      </c>
      <c r="R115" s="168">
        <f t="shared" si="78"/>
        <v>0</v>
      </c>
      <c r="S115" s="168">
        <f t="shared" si="78"/>
        <v>0</v>
      </c>
      <c r="T115" s="168">
        <f t="shared" si="78"/>
        <v>0</v>
      </c>
      <c r="U115" s="168">
        <f t="shared" si="78"/>
        <v>0</v>
      </c>
      <c r="V115" s="168">
        <f t="shared" si="78"/>
        <v>0.31061100000000003</v>
      </c>
      <c r="W115" s="168">
        <f t="shared" si="78"/>
        <v>-50.197936606598816</v>
      </c>
      <c r="X115" s="168">
        <f t="shared" si="78"/>
        <v>12.851286</v>
      </c>
      <c r="Y115" s="168">
        <f t="shared" si="78"/>
        <v>-27.092448620437342</v>
      </c>
      <c r="Z115" s="168">
        <f t="shared" si="78"/>
        <v>-89.415842966146258</v>
      </c>
      <c r="AA115" s="168">
        <f t="shared" si="78"/>
        <v>25.632161368714151</v>
      </c>
      <c r="AB115" s="168">
        <f t="shared" si="78"/>
        <v>0</v>
      </c>
      <c r="AC115" s="168">
        <f t="shared" si="78"/>
        <v>0</v>
      </c>
      <c r="AD115" s="168">
        <f t="shared" si="78"/>
        <v>0</v>
      </c>
      <c r="AE115" s="168">
        <f t="shared" si="78"/>
        <v>0</v>
      </c>
      <c r="AF115" s="168">
        <f t="shared" si="78"/>
        <v>0</v>
      </c>
      <c r="AG115" s="168">
        <f t="shared" si="78"/>
        <v>0</v>
      </c>
      <c r="AH115" s="168">
        <f t="shared" si="78"/>
        <v>0</v>
      </c>
      <c r="AI115" s="168">
        <f t="shared" si="78"/>
        <v>0</v>
      </c>
      <c r="AJ115" s="168">
        <f t="shared" si="78"/>
        <v>0</v>
      </c>
      <c r="AK115" s="168">
        <f t="shared" si="78"/>
        <v>0</v>
      </c>
      <c r="AL115" s="168">
        <f t="shared" si="78"/>
        <v>0</v>
      </c>
      <c r="AM115" s="168">
        <f t="shared" si="78"/>
        <v>0</v>
      </c>
      <c r="AN115" s="168">
        <f t="shared" si="78"/>
        <v>0</v>
      </c>
      <c r="AO115" s="168">
        <f t="shared" si="78"/>
        <v>0</v>
      </c>
      <c r="AP115" s="168">
        <f t="shared" si="78"/>
        <v>0</v>
      </c>
      <c r="AQ115" s="168">
        <f t="shared" ref="AQ115:AS115" si="79" xml:space="preserve"> (AQ113 - AQ114) * (AQ113 &gt; 0)</f>
        <v>0</v>
      </c>
      <c r="AR115" s="168">
        <f t="shared" si="79"/>
        <v>0</v>
      </c>
      <c r="AS115" s="168">
        <f t="shared" si="79"/>
        <v>0</v>
      </c>
    </row>
    <row r="116" spans="1:45" ht="15" customHeight="1" x14ac:dyDescent="0.3">
      <c r="AL116" s="448"/>
      <c r="AM116" s="448"/>
      <c r="AN116" s="448"/>
    </row>
  </sheetData>
  <conditionalFormatting sqref="F2">
    <cfRule type="cellIs" dxfId="69" priority="7" stopIfTrue="1" operator="notEqual">
      <formula>0</formula>
    </cfRule>
    <cfRule type="cellIs" dxfId="68" priority="8" stopIfTrue="1" operator="equal">
      <formula>""</formula>
    </cfRule>
  </conditionalFormatting>
  <conditionalFormatting sqref="F3">
    <cfRule type="cellIs" dxfId="67" priority="9" stopIfTrue="1" operator="notEqual">
      <formula>0</formula>
    </cfRule>
    <cfRule type="cellIs" dxfId="66" priority="10" stopIfTrue="1" operator="equal">
      <formula>""</formula>
    </cfRule>
  </conditionalFormatting>
  <conditionalFormatting sqref="K3:AS3">
    <cfRule type="cellIs" dxfId="65" priority="1" stopIfTrue="1" operator="equal">
      <formula>#REF!</formula>
    </cfRule>
    <cfRule type="cellIs" dxfId="64" priority="2" stopIfTrue="1" operator="equal">
      <formula>#REF!</formula>
    </cfRule>
    <cfRule type="cellIs" dxfId="63" priority="3" operator="equal">
      <formula>#REF!</formula>
    </cfRule>
    <cfRule type="cellIs" dxfId="62" priority="4" operator="equal">
      <formula>#REF!</formula>
    </cfRule>
    <cfRule type="cellIs" dxfId="61" priority="5" stopIfTrue="1" operator="equal">
      <formula>#REF!</formula>
    </cfRule>
    <cfRule type="cellIs" dxfId="60" priority="6" stopIfTrue="1" operator="equal">
      <formula>#REF!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AD85DF-6314-4DEC-B2B5-7848802C9D3D}">
  <sheetPr codeName="Sheet10"/>
  <dimension ref="A1:AV467"/>
  <sheetViews>
    <sheetView zoomScale="115" zoomScaleNormal="115" workbookViewId="0">
      <pane xSplit="10" ySplit="4" topLeftCell="K14" activePane="bottomRight" state="frozen"/>
      <selection pane="topRight" activeCell="K1" sqref="K1"/>
      <selection pane="bottomLeft" activeCell="A5" sqref="A5"/>
      <selection pane="bottomRight" activeCell="E49" sqref="E49"/>
    </sheetView>
  </sheetViews>
  <sheetFormatPr defaultColWidth="0" defaultRowHeight="13.8" x14ac:dyDescent="0.3"/>
  <cols>
    <col min="1" max="4" width="1.33203125" customWidth="1"/>
    <col min="5" max="5" width="50.6640625" customWidth="1"/>
    <col min="6" max="6" width="12.6640625" customWidth="1"/>
    <col min="7" max="7" width="20.6640625" customWidth="1"/>
    <col min="8" max="8" width="25.109375" customWidth="1"/>
    <col min="9" max="9" width="12.6640625" customWidth="1" collapsed="1"/>
    <col min="10" max="10" width="1.6640625" customWidth="1"/>
    <col min="11" max="13" width="10.6640625" customWidth="1"/>
    <col min="14" max="14" width="12.44140625" bestFit="1" customWidth="1"/>
    <col min="15" max="37" width="10.6640625" customWidth="1"/>
    <col min="38" max="45" width="11.88671875" customWidth="1"/>
    <col min="46" max="16384" width="11.88671875" hidden="1"/>
  </cols>
  <sheetData>
    <row r="1" spans="1:45" ht="26.25" customHeight="1" x14ac:dyDescent="0.3">
      <c r="A1" s="396" t="str">
        <f ca="1" xml:space="preserve"> RIGHT(CELL("filename", $A$3), LEN(CELL("filename", $A$3)) - SEARCH("]", CELL("filename", $A$3)))</f>
        <v>T&amp;E</v>
      </c>
      <c r="B1" s="1"/>
      <c r="C1" s="2"/>
      <c r="D1" s="3"/>
      <c r="E1" s="3"/>
      <c r="F1" s="4"/>
      <c r="G1" s="3"/>
      <c r="H1" s="5"/>
      <c r="I1" s="3"/>
      <c r="J1" s="21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  <c r="Y1" s="45"/>
      <c r="Z1" s="45"/>
      <c r="AA1" s="45"/>
      <c r="AB1" s="45"/>
      <c r="AC1" s="45"/>
      <c r="AD1" s="45"/>
      <c r="AE1" s="45"/>
      <c r="AF1" s="45"/>
      <c r="AG1" s="45"/>
      <c r="AH1" s="45"/>
      <c r="AI1" s="45"/>
      <c r="AJ1" s="45"/>
      <c r="AK1" s="3"/>
      <c r="AL1" s="3"/>
      <c r="AM1" s="3"/>
      <c r="AN1" s="3"/>
    </row>
    <row r="2" spans="1:45" ht="15" customHeight="1" x14ac:dyDescent="0.3">
      <c r="A2" s="45"/>
      <c r="B2" s="45"/>
      <c r="C2" s="2"/>
      <c r="D2" s="3"/>
      <c r="E2" s="3"/>
      <c r="F2" s="883">
        <f xml:space="preserve"> Inputs_TS!F$2</f>
        <v>0</v>
      </c>
      <c r="G2" s="7" t="s">
        <v>0</v>
      </c>
      <c r="H2" s="5"/>
      <c r="I2" s="3"/>
      <c r="J2" s="21"/>
      <c r="K2" s="47">
        <f>'T&amp;E'!K$9</f>
        <v>2006</v>
      </c>
      <c r="L2" s="47">
        <f>'T&amp;E'!L$9</f>
        <v>2007</v>
      </c>
      <c r="M2" s="47">
        <f>'T&amp;E'!M$9</f>
        <v>2008</v>
      </c>
      <c r="N2" s="47">
        <f>'T&amp;E'!N$9</f>
        <v>2009</v>
      </c>
      <c r="O2" s="47">
        <f>'T&amp;E'!O$9</f>
        <v>2010</v>
      </c>
      <c r="P2" s="47">
        <f>'T&amp;E'!P$9</f>
        <v>2011</v>
      </c>
      <c r="Q2" s="47">
        <f>'T&amp;E'!Q$9</f>
        <v>2012</v>
      </c>
      <c r="R2" s="47">
        <f>'T&amp;E'!R$9</f>
        <v>2013</v>
      </c>
      <c r="S2" s="47">
        <f>'T&amp;E'!S$9</f>
        <v>2014</v>
      </c>
      <c r="T2" s="47">
        <f>'T&amp;E'!T$9</f>
        <v>2015</v>
      </c>
      <c r="U2" s="47">
        <f>'T&amp;E'!U$9</f>
        <v>2016</v>
      </c>
      <c r="V2" s="47">
        <f>'T&amp;E'!V$9</f>
        <v>2017</v>
      </c>
      <c r="W2" s="47">
        <f>'T&amp;E'!W$9</f>
        <v>2018</v>
      </c>
      <c r="X2" s="47">
        <f>'T&amp;E'!X$9</f>
        <v>2019</v>
      </c>
      <c r="Y2" s="47">
        <f>'T&amp;E'!Y$9</f>
        <v>2020</v>
      </c>
      <c r="Z2" s="47">
        <f>'T&amp;E'!Z$9</f>
        <v>2021</v>
      </c>
      <c r="AA2" s="47">
        <f>'T&amp;E'!AA$9</f>
        <v>2022</v>
      </c>
      <c r="AB2" s="47">
        <f>'T&amp;E'!AB$9</f>
        <v>2023</v>
      </c>
      <c r="AC2" s="47">
        <f>'T&amp;E'!AC$9</f>
        <v>2024</v>
      </c>
      <c r="AD2" s="47">
        <f>'T&amp;E'!AD$9</f>
        <v>2025</v>
      </c>
      <c r="AE2" s="47">
        <f>'T&amp;E'!AE$9</f>
        <v>2026</v>
      </c>
      <c r="AF2" s="47">
        <f>'T&amp;E'!AF$9</f>
        <v>2027</v>
      </c>
      <c r="AG2" s="47">
        <f>'T&amp;E'!AG$9</f>
        <v>2028</v>
      </c>
      <c r="AH2" s="47">
        <f>'T&amp;E'!AH$9</f>
        <v>2029</v>
      </c>
      <c r="AI2" s="47">
        <f>'T&amp;E'!AI$9</f>
        <v>2030</v>
      </c>
      <c r="AJ2" s="47">
        <f>'T&amp;E'!AJ$9</f>
        <v>2031</v>
      </c>
      <c r="AK2" s="47">
        <f>'T&amp;E'!AK$9</f>
        <v>2032</v>
      </c>
      <c r="AL2" s="47">
        <f>'T&amp;E'!AL$9</f>
        <v>2033</v>
      </c>
      <c r="AM2" s="47">
        <f>'T&amp;E'!AM$9</f>
        <v>2034</v>
      </c>
      <c r="AN2" s="47">
        <f>'T&amp;E'!AN$9</f>
        <v>2035</v>
      </c>
      <c r="AO2" s="47">
        <f>'T&amp;E'!AO$9</f>
        <v>2036</v>
      </c>
      <c r="AP2" s="47">
        <f>'T&amp;E'!AP$9</f>
        <v>2037</v>
      </c>
      <c r="AQ2" s="47">
        <f>'T&amp;E'!AQ$9</f>
        <v>2038</v>
      </c>
      <c r="AR2" s="47">
        <f>'T&amp;E'!AR$9</f>
        <v>2039</v>
      </c>
      <c r="AS2" s="47">
        <f>'T&amp;E'!AS$9</f>
        <v>2040</v>
      </c>
    </row>
    <row r="3" spans="1:45" ht="15" customHeight="1" x14ac:dyDescent="0.3">
      <c r="A3" s="1"/>
      <c r="B3" s="1"/>
      <c r="C3" s="2"/>
      <c r="D3" s="3"/>
      <c r="E3" s="3"/>
      <c r="F3" s="881">
        <f xml:space="preserve"> Inputs_Con!F$3</f>
        <v>0</v>
      </c>
      <c r="G3" s="9" t="s">
        <v>1</v>
      </c>
      <c r="H3" s="5"/>
      <c r="I3" s="3"/>
      <c r="J3" s="21"/>
      <c r="K3" s="49" t="s">
        <v>2</v>
      </c>
      <c r="L3" s="49" t="s">
        <v>2</v>
      </c>
      <c r="M3" s="49" t="s">
        <v>2</v>
      </c>
      <c r="N3" s="49" t="s">
        <v>2</v>
      </c>
      <c r="O3" s="49" t="s">
        <v>2</v>
      </c>
      <c r="P3" s="49" t="s">
        <v>2</v>
      </c>
      <c r="Q3" s="49" t="s">
        <v>2</v>
      </c>
      <c r="R3" s="49" t="s">
        <v>2</v>
      </c>
      <c r="S3" s="49" t="s">
        <v>2</v>
      </c>
      <c r="T3" s="49" t="s">
        <v>2</v>
      </c>
      <c r="U3" s="49" t="s">
        <v>2</v>
      </c>
      <c r="V3" s="49" t="s">
        <v>2</v>
      </c>
      <c r="W3" s="49" t="s">
        <v>2</v>
      </c>
      <c r="X3" s="49" t="s">
        <v>2</v>
      </c>
      <c r="Y3" s="49" t="s">
        <v>2</v>
      </c>
      <c r="Z3" s="49" t="s">
        <v>2</v>
      </c>
      <c r="AA3" s="49" t="s">
        <v>2</v>
      </c>
      <c r="AB3" s="49" t="s">
        <v>2</v>
      </c>
      <c r="AC3" s="49" t="s">
        <v>2</v>
      </c>
      <c r="AD3" s="49" t="s">
        <v>3</v>
      </c>
      <c r="AE3" s="49" t="s">
        <v>3</v>
      </c>
      <c r="AF3" s="49" t="s">
        <v>3</v>
      </c>
      <c r="AG3" s="49" t="s">
        <v>3</v>
      </c>
      <c r="AH3" s="49" t="s">
        <v>3</v>
      </c>
      <c r="AI3" s="49" t="s">
        <v>3</v>
      </c>
      <c r="AJ3" s="49" t="s">
        <v>3</v>
      </c>
      <c r="AK3" s="49" t="s">
        <v>3</v>
      </c>
      <c r="AL3" s="49" t="s">
        <v>3</v>
      </c>
      <c r="AM3" s="49" t="s">
        <v>3</v>
      </c>
      <c r="AN3" s="49" t="s">
        <v>3</v>
      </c>
      <c r="AO3" s="49" t="s">
        <v>3</v>
      </c>
      <c r="AP3" s="49" t="s">
        <v>3</v>
      </c>
      <c r="AQ3" s="49" t="s">
        <v>3</v>
      </c>
      <c r="AR3" s="49" t="s">
        <v>3</v>
      </c>
      <c r="AS3" s="49" t="s">
        <v>3</v>
      </c>
    </row>
    <row r="4" spans="1:45" ht="15" customHeight="1" x14ac:dyDescent="0.3">
      <c r="A4" s="1"/>
      <c r="B4" s="1"/>
      <c r="C4" s="2"/>
      <c r="D4" s="3"/>
      <c r="E4" s="3"/>
      <c r="F4" s="397" t="s">
        <v>4</v>
      </c>
      <c r="G4" s="398" t="s">
        <v>5</v>
      </c>
      <c r="H4" s="399" t="s">
        <v>6</v>
      </c>
      <c r="I4" s="13"/>
      <c r="J4" s="21"/>
      <c r="K4" s="45">
        <f>'T&amp;E'!K$11</f>
        <v>1</v>
      </c>
      <c r="L4" s="45">
        <f>'T&amp;E'!L$11</f>
        <v>2</v>
      </c>
      <c r="M4" s="45">
        <f>'T&amp;E'!M$11</f>
        <v>3</v>
      </c>
      <c r="N4" s="45">
        <f>'T&amp;E'!N$11</f>
        <v>4</v>
      </c>
      <c r="O4" s="45">
        <f>'T&amp;E'!O$11</f>
        <v>5</v>
      </c>
      <c r="P4" s="45">
        <f>'T&amp;E'!P$11</f>
        <v>6</v>
      </c>
      <c r="Q4" s="45">
        <f>'T&amp;E'!Q$11</f>
        <v>7</v>
      </c>
      <c r="R4" s="45">
        <f>'T&amp;E'!R$11</f>
        <v>8</v>
      </c>
      <c r="S4" s="45">
        <f>'T&amp;E'!S$11</f>
        <v>9</v>
      </c>
      <c r="T4" s="45">
        <f>'T&amp;E'!T$11</f>
        <v>10</v>
      </c>
      <c r="U4" s="45">
        <f>'T&amp;E'!U$11</f>
        <v>11</v>
      </c>
      <c r="V4" s="45">
        <f>'T&amp;E'!V$11</f>
        <v>12</v>
      </c>
      <c r="W4" s="45">
        <f>'T&amp;E'!W$11</f>
        <v>13</v>
      </c>
      <c r="X4" s="45">
        <f>'T&amp;E'!X$11</f>
        <v>14</v>
      </c>
      <c r="Y4" s="45">
        <f>'T&amp;E'!Y$11</f>
        <v>15</v>
      </c>
      <c r="Z4" s="45">
        <f>'T&amp;E'!Z$11</f>
        <v>16</v>
      </c>
      <c r="AA4" s="45">
        <f>'T&amp;E'!AA$11</f>
        <v>17</v>
      </c>
      <c r="AB4" s="45">
        <f>'T&amp;E'!AB$11</f>
        <v>18</v>
      </c>
      <c r="AC4" s="45">
        <f>'T&amp;E'!AC$11</f>
        <v>19</v>
      </c>
      <c r="AD4" s="45">
        <f>'T&amp;E'!AD$11</f>
        <v>20</v>
      </c>
      <c r="AE4" s="45">
        <f>'T&amp;E'!AE$11</f>
        <v>21</v>
      </c>
      <c r="AF4" s="45">
        <f>'T&amp;E'!AF$11</f>
        <v>22</v>
      </c>
      <c r="AG4" s="45">
        <f>'T&amp;E'!AG$11</f>
        <v>23</v>
      </c>
      <c r="AH4" s="45">
        <f>'T&amp;E'!AH$11</f>
        <v>24</v>
      </c>
      <c r="AI4" s="45">
        <f>'T&amp;E'!AI$11</f>
        <v>25</v>
      </c>
      <c r="AJ4" s="45">
        <f>'T&amp;E'!AJ$11</f>
        <v>26</v>
      </c>
      <c r="AK4" s="45">
        <f>'T&amp;E'!AK$11</f>
        <v>27</v>
      </c>
      <c r="AL4" s="45">
        <f>'T&amp;E'!AL$11</f>
        <v>28</v>
      </c>
      <c r="AM4" s="45">
        <f>'T&amp;E'!AM$11</f>
        <v>29</v>
      </c>
      <c r="AN4" s="45">
        <f>'T&amp;E'!AN$11</f>
        <v>30</v>
      </c>
      <c r="AO4" s="45">
        <f>'T&amp;E'!AO$11</f>
        <v>31</v>
      </c>
      <c r="AP4" s="45">
        <f>'T&amp;E'!AP$11</f>
        <v>32</v>
      </c>
      <c r="AQ4" s="45">
        <f>'T&amp;E'!AQ$11</f>
        <v>33</v>
      </c>
      <c r="AR4" s="45">
        <f>'T&amp;E'!AR$11</f>
        <v>34</v>
      </c>
      <c r="AS4" s="45">
        <f>'T&amp;E'!AS$11</f>
        <v>35</v>
      </c>
    </row>
    <row r="5" spans="1:45" ht="15" customHeight="1" x14ac:dyDescent="0.3">
      <c r="A5" s="1"/>
      <c r="B5" s="1"/>
      <c r="C5" s="2"/>
      <c r="D5" s="3"/>
      <c r="E5" s="3"/>
      <c r="F5" s="11"/>
      <c r="G5" s="1"/>
      <c r="H5" s="12"/>
      <c r="I5" s="13"/>
      <c r="J5" s="42"/>
      <c r="K5" s="45"/>
      <c r="L5" s="45"/>
      <c r="M5" s="45"/>
      <c r="N5" s="45"/>
      <c r="O5" s="45"/>
      <c r="P5" s="45"/>
      <c r="Q5" s="45"/>
      <c r="R5" s="45"/>
      <c r="S5" s="45"/>
      <c r="T5" s="45"/>
      <c r="U5" s="45"/>
      <c r="V5" s="45"/>
      <c r="W5" s="45"/>
      <c r="X5" s="45"/>
      <c r="Y5" s="45"/>
      <c r="Z5" s="45"/>
      <c r="AA5" s="45"/>
      <c r="AB5" s="45"/>
      <c r="AC5" s="45"/>
      <c r="AD5" s="45"/>
      <c r="AE5" s="45"/>
      <c r="AF5" s="45"/>
      <c r="AG5" s="45"/>
      <c r="AH5" s="45"/>
      <c r="AI5" s="45"/>
      <c r="AJ5" s="45"/>
      <c r="AK5" s="3"/>
    </row>
    <row r="6" spans="1:45" ht="15" customHeight="1" x14ac:dyDescent="0.3">
      <c r="A6" s="15"/>
      <c r="B6" s="16"/>
      <c r="C6" s="17"/>
      <c r="D6" s="18"/>
      <c r="E6" s="16"/>
      <c r="F6" s="16"/>
      <c r="G6" s="16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</row>
    <row r="7" spans="1:45" ht="15" customHeight="1" x14ac:dyDescent="0.3">
      <c r="A7" s="1"/>
      <c r="B7" s="1"/>
      <c r="C7" s="2"/>
      <c r="D7" s="3"/>
      <c r="E7" s="3"/>
      <c r="F7" s="11"/>
      <c r="G7" s="1"/>
      <c r="H7" s="12"/>
      <c r="I7" s="13"/>
      <c r="J7" s="13"/>
      <c r="K7" s="45"/>
      <c r="L7" s="45"/>
      <c r="M7" s="45"/>
      <c r="N7" s="45"/>
      <c r="O7" s="45"/>
      <c r="P7" s="45"/>
      <c r="Q7" s="45"/>
      <c r="R7" s="45"/>
      <c r="S7" s="45"/>
      <c r="T7" s="45"/>
      <c r="U7" s="45"/>
      <c r="V7" s="45"/>
      <c r="W7" s="45"/>
      <c r="X7" s="45"/>
      <c r="Y7" s="45"/>
      <c r="Z7" s="45"/>
      <c r="AA7" s="45"/>
      <c r="AB7" s="45"/>
      <c r="AC7" s="45"/>
      <c r="AD7" s="45"/>
      <c r="AE7" s="45"/>
      <c r="AF7" s="45"/>
      <c r="AG7" s="45"/>
      <c r="AH7" s="45"/>
      <c r="AI7" s="45"/>
      <c r="AJ7" s="45"/>
      <c r="AK7" s="3"/>
    </row>
    <row r="8" spans="1:45" ht="15" customHeight="1" x14ac:dyDescent="0.3">
      <c r="A8" s="1"/>
      <c r="B8" s="1"/>
      <c r="C8" s="2"/>
      <c r="D8" s="3"/>
      <c r="E8" s="3" t="s">
        <v>26</v>
      </c>
      <c r="F8" s="523">
        <v>2006</v>
      </c>
      <c r="G8" s="3" t="s">
        <v>27</v>
      </c>
      <c r="H8" s="12"/>
      <c r="I8" s="13"/>
      <c r="J8" s="13"/>
      <c r="K8" s="45"/>
      <c r="L8" s="45"/>
      <c r="M8" s="45"/>
      <c r="N8" s="45"/>
      <c r="O8" s="45"/>
      <c r="P8" s="45"/>
      <c r="Q8" s="45"/>
      <c r="R8" s="45"/>
      <c r="S8" s="45"/>
      <c r="T8" s="45"/>
      <c r="U8" s="45"/>
      <c r="V8" s="45"/>
      <c r="W8" s="45"/>
      <c r="X8" s="45"/>
      <c r="Y8" s="45"/>
      <c r="Z8" s="45"/>
      <c r="AA8" s="45"/>
      <c r="AB8" s="45"/>
      <c r="AC8" s="45"/>
      <c r="AD8" s="45"/>
      <c r="AE8" s="45"/>
      <c r="AF8" s="45"/>
      <c r="AG8" s="45"/>
      <c r="AH8" s="45"/>
      <c r="AI8" s="45"/>
      <c r="AJ8" s="45"/>
      <c r="AK8" s="3"/>
    </row>
    <row r="9" spans="1:45" s="70" customFormat="1" ht="15" customHeight="1" x14ac:dyDescent="0.3">
      <c r="A9" s="91"/>
      <c r="B9" s="91"/>
      <c r="C9" s="92"/>
      <c r="D9" s="93"/>
      <c r="E9" s="93" t="s">
        <v>28</v>
      </c>
      <c r="F9" s="985"/>
      <c r="G9" s="93" t="s">
        <v>27</v>
      </c>
      <c r="H9" s="91"/>
      <c r="I9" s="986"/>
      <c r="J9" s="986"/>
      <c r="K9" s="987">
        <f t="shared" ref="K9:AK9" si="0" xml:space="preserve"> IF(K11 = 1, $F8,J9 + 1)</f>
        <v>2006</v>
      </c>
      <c r="L9" s="987">
        <f t="shared" si="0"/>
        <v>2007</v>
      </c>
      <c r="M9" s="987">
        <f t="shared" si="0"/>
        <v>2008</v>
      </c>
      <c r="N9" s="987">
        <f t="shared" si="0"/>
        <v>2009</v>
      </c>
      <c r="O9" s="987">
        <f t="shared" si="0"/>
        <v>2010</v>
      </c>
      <c r="P9" s="987">
        <f t="shared" si="0"/>
        <v>2011</v>
      </c>
      <c r="Q9" s="987">
        <f t="shared" si="0"/>
        <v>2012</v>
      </c>
      <c r="R9" s="987">
        <f t="shared" si="0"/>
        <v>2013</v>
      </c>
      <c r="S9" s="987">
        <f t="shared" si="0"/>
        <v>2014</v>
      </c>
      <c r="T9" s="987">
        <f t="shared" si="0"/>
        <v>2015</v>
      </c>
      <c r="U9" s="987">
        <f t="shared" si="0"/>
        <v>2016</v>
      </c>
      <c r="V9" s="987">
        <f t="shared" si="0"/>
        <v>2017</v>
      </c>
      <c r="W9" s="987">
        <f t="shared" si="0"/>
        <v>2018</v>
      </c>
      <c r="X9" s="987">
        <f t="shared" si="0"/>
        <v>2019</v>
      </c>
      <c r="Y9" s="987">
        <f t="shared" si="0"/>
        <v>2020</v>
      </c>
      <c r="Z9" s="987">
        <f t="shared" si="0"/>
        <v>2021</v>
      </c>
      <c r="AA9" s="987">
        <f t="shared" si="0"/>
        <v>2022</v>
      </c>
      <c r="AB9" s="987">
        <f t="shared" si="0"/>
        <v>2023</v>
      </c>
      <c r="AC9" s="987">
        <f t="shared" si="0"/>
        <v>2024</v>
      </c>
      <c r="AD9" s="987">
        <f t="shared" si="0"/>
        <v>2025</v>
      </c>
      <c r="AE9" s="987">
        <f t="shared" si="0"/>
        <v>2026</v>
      </c>
      <c r="AF9" s="987">
        <f t="shared" si="0"/>
        <v>2027</v>
      </c>
      <c r="AG9" s="987">
        <f t="shared" si="0"/>
        <v>2028</v>
      </c>
      <c r="AH9" s="987">
        <f t="shared" si="0"/>
        <v>2029</v>
      </c>
      <c r="AI9" s="987">
        <f t="shared" si="0"/>
        <v>2030</v>
      </c>
      <c r="AJ9" s="987">
        <f t="shared" si="0"/>
        <v>2031</v>
      </c>
      <c r="AK9" s="987">
        <f t="shared" si="0"/>
        <v>2032</v>
      </c>
      <c r="AL9" s="987">
        <f t="shared" ref="AL9" si="1" xml:space="preserve"> IF(AL11 = 1, $F8,AK9 + 1)</f>
        <v>2033</v>
      </c>
      <c r="AM9" s="987">
        <f t="shared" ref="AM9" si="2" xml:space="preserve"> IF(AM11 = 1, $F8,AL9 + 1)</f>
        <v>2034</v>
      </c>
      <c r="AN9" s="987">
        <f t="shared" ref="AN9" si="3" xml:space="preserve"> IF(AN11 = 1, $F8,AM9 + 1)</f>
        <v>2035</v>
      </c>
      <c r="AO9" s="987">
        <f t="shared" ref="AO9" si="4" xml:space="preserve"> IF(AO11 = 1, $F8,AN9 + 1)</f>
        <v>2036</v>
      </c>
      <c r="AP9" s="987">
        <f t="shared" ref="AP9" si="5" xml:space="preserve"> IF(AP11 = 1, $F8,AO9 + 1)</f>
        <v>2037</v>
      </c>
      <c r="AQ9" s="987">
        <f t="shared" ref="AQ9" si="6" xml:space="preserve"> IF(AQ11 = 1, $F8,AP9 + 1)</f>
        <v>2038</v>
      </c>
      <c r="AR9" s="987">
        <f t="shared" ref="AR9" si="7" xml:space="preserve"> IF(AR11 = 1, $F8,AQ9 + 1)</f>
        <v>2039</v>
      </c>
      <c r="AS9" s="987">
        <f t="shared" ref="AS9" si="8" xml:space="preserve"> IF(AS11 = 1, $F8,AR9 + 1)</f>
        <v>2040</v>
      </c>
    </row>
    <row r="10" spans="1:45" ht="15" customHeight="1" x14ac:dyDescent="0.3">
      <c r="A10" s="139"/>
      <c r="B10" s="139"/>
      <c r="C10" s="140"/>
      <c r="D10" s="142"/>
      <c r="E10" s="142" t="s">
        <v>29</v>
      </c>
      <c r="F10" s="232"/>
      <c r="G10" s="142"/>
      <c r="H10" s="139"/>
      <c r="I10" s="233"/>
      <c r="J10" s="233"/>
      <c r="K10" s="50"/>
      <c r="L10" s="50"/>
      <c r="M10" s="50"/>
      <c r="N10" s="50"/>
      <c r="O10" s="50"/>
      <c r="P10" s="50"/>
      <c r="Q10" s="50"/>
      <c r="R10" s="50"/>
      <c r="S10" s="50"/>
      <c r="T10" s="50"/>
      <c r="U10" s="50"/>
      <c r="V10" s="50"/>
      <c r="W10" s="50"/>
      <c r="X10" s="50"/>
      <c r="Y10" s="50"/>
      <c r="Z10" s="50"/>
      <c r="AA10" s="50"/>
      <c r="AB10" s="50"/>
      <c r="AC10" s="50"/>
      <c r="AD10" s="50"/>
      <c r="AE10" s="50"/>
      <c r="AF10" s="50"/>
      <c r="AG10" s="50"/>
      <c r="AH10" s="50"/>
      <c r="AI10" s="50"/>
      <c r="AJ10" s="50"/>
      <c r="AK10" s="50"/>
      <c r="AL10" s="143"/>
      <c r="AM10" s="143"/>
      <c r="AN10" s="143"/>
      <c r="AO10" s="143"/>
      <c r="AP10" s="143"/>
      <c r="AQ10" s="143"/>
      <c r="AR10" s="143"/>
      <c r="AS10" s="143"/>
    </row>
    <row r="11" spans="1:45" ht="15" customHeight="1" x14ac:dyDescent="0.3">
      <c r="A11" s="139"/>
      <c r="B11" s="139"/>
      <c r="C11" s="140"/>
      <c r="D11" s="142"/>
      <c r="E11" s="142" t="s">
        <v>30</v>
      </c>
      <c r="F11" s="232"/>
      <c r="G11" s="142" t="s">
        <v>31</v>
      </c>
      <c r="H11" s="139"/>
      <c r="I11" s="233"/>
      <c r="J11" s="233"/>
      <c r="K11" s="50">
        <f>J11 + 1</f>
        <v>1</v>
      </c>
      <c r="L11" s="50">
        <f t="shared" ref="L11:AK11" si="9" xml:space="preserve"> K11 + 1</f>
        <v>2</v>
      </c>
      <c r="M11" s="50">
        <f t="shared" si="9"/>
        <v>3</v>
      </c>
      <c r="N11" s="50">
        <f t="shared" si="9"/>
        <v>4</v>
      </c>
      <c r="O11" s="50">
        <f t="shared" si="9"/>
        <v>5</v>
      </c>
      <c r="P11" s="50">
        <f t="shared" si="9"/>
        <v>6</v>
      </c>
      <c r="Q11" s="50">
        <f t="shared" si="9"/>
        <v>7</v>
      </c>
      <c r="R11" s="50">
        <f t="shared" si="9"/>
        <v>8</v>
      </c>
      <c r="S11" s="50">
        <f t="shared" si="9"/>
        <v>9</v>
      </c>
      <c r="T11" s="50">
        <f t="shared" si="9"/>
        <v>10</v>
      </c>
      <c r="U11" s="50">
        <f t="shared" si="9"/>
        <v>11</v>
      </c>
      <c r="V11" s="50">
        <f t="shared" si="9"/>
        <v>12</v>
      </c>
      <c r="W11" s="50">
        <f t="shared" si="9"/>
        <v>13</v>
      </c>
      <c r="X11" s="50">
        <f t="shared" si="9"/>
        <v>14</v>
      </c>
      <c r="Y11" s="50">
        <f t="shared" si="9"/>
        <v>15</v>
      </c>
      <c r="Z11" s="50">
        <f t="shared" si="9"/>
        <v>16</v>
      </c>
      <c r="AA11" s="50">
        <f t="shared" si="9"/>
        <v>17</v>
      </c>
      <c r="AB11" s="50">
        <f t="shared" si="9"/>
        <v>18</v>
      </c>
      <c r="AC11" s="50">
        <f t="shared" si="9"/>
        <v>19</v>
      </c>
      <c r="AD11" s="50">
        <f t="shared" si="9"/>
        <v>20</v>
      </c>
      <c r="AE11" s="50">
        <f t="shared" si="9"/>
        <v>21</v>
      </c>
      <c r="AF11" s="50">
        <f t="shared" si="9"/>
        <v>22</v>
      </c>
      <c r="AG11" s="50">
        <f t="shared" si="9"/>
        <v>23</v>
      </c>
      <c r="AH11" s="50">
        <f t="shared" si="9"/>
        <v>24</v>
      </c>
      <c r="AI11" s="50">
        <f t="shared" si="9"/>
        <v>25</v>
      </c>
      <c r="AJ11" s="50">
        <f t="shared" si="9"/>
        <v>26</v>
      </c>
      <c r="AK11" s="50">
        <f t="shared" si="9"/>
        <v>27</v>
      </c>
      <c r="AL11" s="50">
        <f t="shared" ref="AL11" si="10" xml:space="preserve"> AK11 + 1</f>
        <v>28</v>
      </c>
      <c r="AM11" s="50">
        <f t="shared" ref="AM11" si="11" xml:space="preserve"> AL11 + 1</f>
        <v>29</v>
      </c>
      <c r="AN11" s="50">
        <f t="shared" ref="AN11" si="12" xml:space="preserve"> AM11 + 1</f>
        <v>30</v>
      </c>
      <c r="AO11" s="50">
        <f t="shared" ref="AO11" si="13" xml:space="preserve"> AN11 + 1</f>
        <v>31</v>
      </c>
      <c r="AP11" s="50">
        <f t="shared" ref="AP11" si="14" xml:space="preserve"> AO11 + 1</f>
        <v>32</v>
      </c>
      <c r="AQ11" s="50">
        <f t="shared" ref="AQ11" si="15" xml:space="preserve"> AP11 + 1</f>
        <v>33</v>
      </c>
      <c r="AR11" s="50">
        <f t="shared" ref="AR11" si="16" xml:space="preserve"> AQ11 + 1</f>
        <v>34</v>
      </c>
      <c r="AS11" s="50">
        <f t="shared" ref="AS11" si="17" xml:space="preserve"> AR11 + 1</f>
        <v>35</v>
      </c>
    </row>
    <row r="12" spans="1:45" ht="15" customHeight="1" x14ac:dyDescent="0.3">
      <c r="A12" s="143"/>
      <c r="B12" s="143"/>
      <c r="C12" s="143"/>
      <c r="D12" s="143"/>
      <c r="E12" s="425" t="str">
        <f xml:space="preserve"> Inputs_Con!E$29</f>
        <v xml:space="preserve">Forecast / point forward year </v>
      </c>
      <c r="F12" s="425">
        <f xml:space="preserve"> Inputs_Con!F$29</f>
        <v>2025</v>
      </c>
      <c r="G12" s="425" t="str">
        <f xml:space="preserve"> Inputs_Con!G$29</f>
        <v>year</v>
      </c>
      <c r="H12" s="143"/>
      <c r="I12" s="143"/>
      <c r="J12" s="143"/>
      <c r="K12" s="143"/>
      <c r="L12" s="143"/>
      <c r="M12" s="143"/>
      <c r="N12" s="143"/>
      <c r="O12" s="143"/>
      <c r="P12" s="143"/>
      <c r="Q12" s="143"/>
      <c r="R12" s="143"/>
      <c r="S12" s="143"/>
      <c r="T12" s="143"/>
      <c r="U12" s="143"/>
      <c r="V12" s="143"/>
      <c r="W12" s="143"/>
      <c r="X12" s="143"/>
      <c r="Y12" s="143"/>
      <c r="Z12" s="143"/>
      <c r="AA12" s="143"/>
      <c r="AB12" s="143"/>
      <c r="AC12" s="143"/>
      <c r="AD12" s="143"/>
      <c r="AE12" s="143"/>
      <c r="AF12" s="143"/>
      <c r="AG12" s="143"/>
      <c r="AH12" s="143"/>
      <c r="AI12" s="143"/>
      <c r="AJ12" s="143"/>
      <c r="AK12" s="143"/>
      <c r="AL12" s="143"/>
      <c r="AM12" s="143"/>
      <c r="AN12" s="143"/>
      <c r="AO12" s="143"/>
      <c r="AP12" s="143"/>
      <c r="AQ12" s="143"/>
      <c r="AR12" s="143"/>
      <c r="AS12" s="143"/>
    </row>
    <row r="13" spans="1:45" ht="15" customHeight="1" x14ac:dyDescent="0.3">
      <c r="E13" s="461"/>
      <c r="F13" s="461"/>
      <c r="G13" s="461"/>
    </row>
    <row r="14" spans="1:45" ht="15" customHeight="1" x14ac:dyDescent="0.3">
      <c r="A14" s="70"/>
      <c r="B14" s="70"/>
      <c r="C14" s="70"/>
      <c r="D14" s="70"/>
      <c r="E14" s="494" t="s">
        <v>613</v>
      </c>
      <c r="F14" s="721">
        <v>2023</v>
      </c>
      <c r="G14" s="494" t="s">
        <v>27</v>
      </c>
      <c r="H14" s="70"/>
      <c r="I14" s="70"/>
      <c r="J14" s="70"/>
      <c r="K14" s="70"/>
      <c r="L14" s="70"/>
      <c r="M14" s="70"/>
      <c r="N14" s="70"/>
      <c r="O14" s="70"/>
      <c r="P14" s="70"/>
      <c r="Q14" s="70"/>
      <c r="R14" s="70"/>
      <c r="S14" s="70"/>
      <c r="T14" s="70"/>
      <c r="U14" s="70"/>
      <c r="V14" s="70"/>
      <c r="W14" s="70"/>
      <c r="X14" s="70"/>
      <c r="Y14" s="70"/>
      <c r="Z14" s="70"/>
      <c r="AA14" s="70"/>
      <c r="AB14" s="70"/>
      <c r="AC14" s="70"/>
      <c r="AD14" s="70"/>
      <c r="AE14" s="70"/>
      <c r="AF14" s="70"/>
      <c r="AG14" s="70"/>
      <c r="AH14" s="70"/>
      <c r="AI14" s="70"/>
      <c r="AJ14" s="70"/>
      <c r="AK14" s="70"/>
      <c r="AL14" s="70"/>
      <c r="AM14" s="70"/>
      <c r="AN14" s="70"/>
    </row>
    <row r="15" spans="1:45" ht="15" customHeight="1" x14ac:dyDescent="0.3">
      <c r="A15" s="70"/>
      <c r="B15" s="70"/>
      <c r="C15" s="70"/>
      <c r="D15" s="70"/>
      <c r="E15" s="494" t="s">
        <v>614</v>
      </c>
      <c r="F15" s="721">
        <v>2025</v>
      </c>
      <c r="G15" s="494" t="s">
        <v>27</v>
      </c>
      <c r="H15" s="70"/>
      <c r="I15" s="70"/>
      <c r="J15" s="70"/>
      <c r="K15" s="70"/>
      <c r="L15" s="70"/>
      <c r="M15" s="70"/>
      <c r="N15" s="70"/>
      <c r="O15" s="70"/>
      <c r="P15" s="70"/>
      <c r="Q15" s="70"/>
      <c r="R15" s="70"/>
      <c r="S15" s="70"/>
      <c r="T15" s="70"/>
      <c r="U15" s="70"/>
      <c r="V15" s="70"/>
      <c r="W15" s="70"/>
      <c r="X15" s="70"/>
      <c r="Y15" s="70"/>
      <c r="Z15" s="70"/>
      <c r="AA15" s="70"/>
      <c r="AB15" s="70"/>
      <c r="AC15" s="70"/>
      <c r="AD15" s="70"/>
      <c r="AE15" s="70"/>
      <c r="AF15" s="70"/>
      <c r="AG15" s="70"/>
      <c r="AH15" s="70"/>
      <c r="AI15" s="70"/>
      <c r="AJ15" s="70"/>
      <c r="AK15" s="70"/>
    </row>
    <row r="16" spans="1:45" ht="15" customHeight="1" x14ac:dyDescent="0.3">
      <c r="E16" s="461"/>
      <c r="F16" s="461"/>
      <c r="G16" s="461"/>
    </row>
    <row r="17" spans="1:48" s="420" customFormat="1" ht="15" customHeight="1" collapsed="1" x14ac:dyDescent="0.3">
      <c r="A17" s="415" t="s">
        <v>526</v>
      </c>
      <c r="B17" s="416"/>
      <c r="C17" s="417"/>
      <c r="D17" s="418"/>
      <c r="E17" s="989"/>
      <c r="F17" s="416"/>
      <c r="G17" s="416"/>
      <c r="H17" s="416"/>
      <c r="I17" s="416"/>
      <c r="J17" s="416"/>
      <c r="K17" s="416"/>
      <c r="L17" s="416"/>
      <c r="M17" s="416"/>
      <c r="N17" s="416"/>
      <c r="O17" s="416"/>
      <c r="P17" s="416"/>
      <c r="Q17" s="416"/>
      <c r="R17" s="416"/>
      <c r="S17" s="416"/>
      <c r="T17" s="416"/>
      <c r="U17" s="416"/>
      <c r="V17" s="416"/>
      <c r="W17" s="416"/>
      <c r="X17" s="416"/>
      <c r="Y17" s="416"/>
      <c r="Z17" s="416"/>
      <c r="AA17" s="416"/>
      <c r="AB17" s="416"/>
      <c r="AC17" s="416"/>
      <c r="AD17" s="416"/>
      <c r="AE17" s="416"/>
      <c r="AF17" s="416"/>
      <c r="AG17" s="416"/>
      <c r="AH17" s="416"/>
      <c r="AI17" s="416"/>
      <c r="AJ17" s="416"/>
      <c r="AK17" s="416"/>
      <c r="AL17" s="416"/>
      <c r="AM17" s="416"/>
      <c r="AN17" s="416"/>
      <c r="AO17" s="416"/>
      <c r="AP17" s="416"/>
      <c r="AQ17" s="416"/>
      <c r="AR17" s="416"/>
      <c r="AS17" s="416"/>
      <c r="AT17" s="416"/>
      <c r="AU17" s="416"/>
      <c r="AV17" s="416"/>
    </row>
    <row r="18" spans="1:48" s="423" customFormat="1" ht="15" customHeight="1" x14ac:dyDescent="0.3">
      <c r="A18" s="398"/>
      <c r="B18" s="398"/>
      <c r="C18" s="421"/>
      <c r="E18" s="51"/>
      <c r="I18" s="5"/>
      <c r="K18" s="426"/>
    </row>
    <row r="19" spans="1:48" s="423" customFormat="1" ht="15" customHeight="1" x14ac:dyDescent="0.3">
      <c r="A19" s="398"/>
      <c r="B19" s="398" t="s">
        <v>983</v>
      </c>
      <c r="C19" s="421"/>
      <c r="E19" s="51"/>
      <c r="I19" s="5"/>
      <c r="K19" s="426"/>
    </row>
    <row r="20" spans="1:48" s="423" customFormat="1" ht="15" customHeight="1" x14ac:dyDescent="0.3">
      <c r="A20" s="398"/>
      <c r="B20" s="398"/>
      <c r="C20" s="421"/>
      <c r="E20" s="51" t="s">
        <v>984</v>
      </c>
      <c r="F20" s="493"/>
      <c r="G20" s="493"/>
      <c r="I20" s="493"/>
      <c r="K20" s="995">
        <v>2000</v>
      </c>
      <c r="L20" s="995">
        <v>2001</v>
      </c>
      <c r="M20" s="995">
        <v>2002</v>
      </c>
      <c r="N20" s="995">
        <v>2003</v>
      </c>
      <c r="O20" s="995">
        <v>2004</v>
      </c>
      <c r="P20" s="995">
        <v>2005</v>
      </c>
      <c r="Q20" s="995">
        <v>2006</v>
      </c>
      <c r="R20" s="995">
        <v>2007</v>
      </c>
      <c r="S20" s="995">
        <v>2008</v>
      </c>
      <c r="T20" s="995">
        <v>2009</v>
      </c>
      <c r="U20" s="995">
        <v>2010</v>
      </c>
      <c r="V20" s="995">
        <v>2011</v>
      </c>
      <c r="W20" s="995">
        <v>2012</v>
      </c>
      <c r="X20" s="995">
        <v>2013</v>
      </c>
      <c r="Y20" s="995">
        <v>2014</v>
      </c>
      <c r="Z20" s="995">
        <v>2015</v>
      </c>
      <c r="AA20" s="995">
        <v>2016</v>
      </c>
      <c r="AB20" s="995">
        <v>2017</v>
      </c>
      <c r="AC20" s="995">
        <v>2018</v>
      </c>
      <c r="AD20" s="995">
        <v>2019</v>
      </c>
      <c r="AE20" s="995">
        <v>2020</v>
      </c>
      <c r="AF20" s="995">
        <v>2021</v>
      </c>
      <c r="AG20" s="995">
        <v>2022</v>
      </c>
      <c r="AH20" s="995">
        <v>2023</v>
      </c>
      <c r="AI20" s="995">
        <v>2024</v>
      </c>
      <c r="AJ20" s="995">
        <v>2025</v>
      </c>
      <c r="AK20" s="995">
        <v>2026</v>
      </c>
      <c r="AL20" s="995">
        <v>2027</v>
      </c>
      <c r="AM20" s="995">
        <v>2028</v>
      </c>
      <c r="AN20" s="995">
        <v>2029</v>
      </c>
      <c r="AO20" s="995">
        <v>2030</v>
      </c>
    </row>
    <row r="21" spans="1:48" s="423" customFormat="1" ht="15" customHeight="1" x14ac:dyDescent="0.3">
      <c r="A21" s="398"/>
      <c r="B21" s="398"/>
      <c r="C21" s="421"/>
      <c r="E21" s="51" t="s">
        <v>985</v>
      </c>
      <c r="G21" s="493" t="s">
        <v>986</v>
      </c>
      <c r="I21" s="493"/>
      <c r="K21" s="996">
        <v>172.19200000000001</v>
      </c>
      <c r="L21" s="996">
        <v>177.042</v>
      </c>
      <c r="M21" s="996">
        <v>179.86699999999999</v>
      </c>
      <c r="N21" s="996">
        <v>184</v>
      </c>
      <c r="O21" s="996">
        <v>188.90799999999999</v>
      </c>
      <c r="P21" s="996">
        <v>195.267</v>
      </c>
      <c r="Q21" s="996">
        <v>201.55799999999999</v>
      </c>
      <c r="R21" s="996">
        <v>207.34399999999999</v>
      </c>
      <c r="S21" s="996">
        <v>215.25399999999999</v>
      </c>
      <c r="T21" s="996">
        <v>214.565</v>
      </c>
      <c r="U21" s="996">
        <v>218.07599999999999</v>
      </c>
      <c r="V21" s="996">
        <v>224.923</v>
      </c>
      <c r="W21" s="996">
        <v>229.58600000000001</v>
      </c>
      <c r="X21" s="996">
        <v>232.952</v>
      </c>
      <c r="Y21" s="996">
        <v>236.715</v>
      </c>
      <c r="Z21" s="996">
        <v>237.00200000000001</v>
      </c>
      <c r="AA21" s="996">
        <v>240.005</v>
      </c>
      <c r="AB21" s="996">
        <v>245.12100000000001</v>
      </c>
      <c r="AC21" s="996">
        <v>251.1</v>
      </c>
      <c r="AD21" s="996">
        <v>255.65299999999999</v>
      </c>
      <c r="AE21" s="996">
        <v>258.85599999999999</v>
      </c>
      <c r="AF21" s="996">
        <v>270.96800000000002</v>
      </c>
      <c r="AG21" s="996">
        <v>292.625</v>
      </c>
      <c r="AH21" s="996">
        <v>304.70400000000001</v>
      </c>
      <c r="AI21" s="996">
        <v>313.69799999999998</v>
      </c>
      <c r="AJ21" s="996">
        <v>323.07</v>
      </c>
      <c r="AK21" s="996">
        <v>331.03500000000003</v>
      </c>
      <c r="AL21" s="996">
        <v>338.02100000000002</v>
      </c>
      <c r="AM21" s="996">
        <v>345.30700000000002</v>
      </c>
      <c r="AN21" s="996">
        <v>352.79700000000003</v>
      </c>
      <c r="AO21" s="996">
        <v>360.47</v>
      </c>
    </row>
    <row r="22" spans="1:48" s="423" customFormat="1" ht="15" customHeight="1" x14ac:dyDescent="0.3">
      <c r="A22" s="398"/>
      <c r="B22" s="398"/>
      <c r="C22" s="421"/>
      <c r="E22" s="51" t="s">
        <v>987</v>
      </c>
      <c r="F22" s="493"/>
      <c r="G22" s="493" t="s">
        <v>988</v>
      </c>
      <c r="H22" s="493"/>
      <c r="J22" s="493"/>
      <c r="K22" s="997">
        <v>3.367</v>
      </c>
      <c r="L22" s="997">
        <v>2.8170000000000002</v>
      </c>
      <c r="M22" s="997">
        <v>1.5960000000000001</v>
      </c>
      <c r="N22" s="997">
        <v>2.298</v>
      </c>
      <c r="O22" s="997">
        <v>2.6680000000000001</v>
      </c>
      <c r="P22" s="997">
        <v>3.3660000000000001</v>
      </c>
      <c r="Q22" s="997">
        <v>3.222</v>
      </c>
      <c r="R22" s="997">
        <v>2.871</v>
      </c>
      <c r="S22" s="997">
        <v>3.8149999999999999</v>
      </c>
      <c r="T22" s="997">
        <v>-0.32</v>
      </c>
      <c r="U22" s="997">
        <v>1.637</v>
      </c>
      <c r="V22" s="997">
        <v>3.14</v>
      </c>
      <c r="W22" s="997">
        <v>2.073</v>
      </c>
      <c r="X22" s="997">
        <v>1.466</v>
      </c>
      <c r="Y22" s="997">
        <v>1.615</v>
      </c>
      <c r="Z22" s="997">
        <v>0.121</v>
      </c>
      <c r="AA22" s="997">
        <v>1.2669999999999999</v>
      </c>
      <c r="AB22" s="997">
        <v>2.1309999999999998</v>
      </c>
      <c r="AC22" s="997">
        <v>2.4390000000000001</v>
      </c>
      <c r="AD22" s="997">
        <v>1.8129999999999999</v>
      </c>
      <c r="AE22" s="997">
        <v>1.2529999999999999</v>
      </c>
      <c r="AF22" s="997">
        <v>4.6790000000000003</v>
      </c>
      <c r="AG22" s="997">
        <v>7.9930000000000003</v>
      </c>
      <c r="AH22" s="997">
        <v>4.1280000000000001</v>
      </c>
      <c r="AI22" s="997">
        <v>2.952</v>
      </c>
      <c r="AJ22" s="997">
        <v>2.988</v>
      </c>
      <c r="AK22" s="997">
        <v>2.4660000000000002</v>
      </c>
      <c r="AL22" s="997">
        <v>2.11</v>
      </c>
      <c r="AM22" s="997">
        <v>2.1549999999999998</v>
      </c>
      <c r="AN22" s="997">
        <v>2.169</v>
      </c>
      <c r="AO22" s="997">
        <v>2.1749999999999998</v>
      </c>
    </row>
    <row r="23" spans="1:48" s="423" customFormat="1" ht="15" customHeight="1" x14ac:dyDescent="0.3">
      <c r="A23" s="398"/>
      <c r="B23" s="398"/>
      <c r="C23" s="421"/>
      <c r="E23" s="51"/>
      <c r="I23" s="5"/>
      <c r="L23" s="990"/>
    </row>
    <row r="24" spans="1:48" s="423" customFormat="1" ht="15" customHeight="1" x14ac:dyDescent="0.3">
      <c r="A24" s="398"/>
      <c r="B24" s="398"/>
      <c r="C24" s="421"/>
      <c r="E24" s="51" t="s">
        <v>989</v>
      </c>
      <c r="F24" s="51">
        <f xml:space="preserve"> MAX(K20:AV20)</f>
        <v>2030</v>
      </c>
      <c r="G24" s="423" t="s">
        <v>27</v>
      </c>
      <c r="I24" s="5"/>
      <c r="L24" s="990"/>
    </row>
    <row r="25" spans="1:48" s="423" customFormat="1" ht="15" customHeight="1" x14ac:dyDescent="0.3">
      <c r="A25" s="398"/>
      <c r="B25" s="398"/>
      <c r="C25" s="421"/>
      <c r="E25" s="51" t="s">
        <v>990</v>
      </c>
      <c r="F25" s="994">
        <v>0.02</v>
      </c>
      <c r="G25" s="423" t="s">
        <v>991</v>
      </c>
      <c r="I25" s="5"/>
    </row>
    <row r="26" spans="1:48" s="88" customFormat="1" ht="15" customHeight="1" x14ac:dyDescent="0.3">
      <c r="E26" s="461"/>
      <c r="F26" s="461"/>
      <c r="G26" s="461"/>
    </row>
    <row r="27" spans="1:48" s="423" customFormat="1" ht="15" customHeight="1" x14ac:dyDescent="0.3">
      <c r="A27" s="398"/>
      <c r="B27" s="398" t="s">
        <v>992</v>
      </c>
      <c r="C27" s="421"/>
      <c r="E27" s="51"/>
      <c r="I27" s="5"/>
    </row>
    <row r="28" spans="1:48" s="423" customFormat="1" ht="15" customHeight="1" x14ac:dyDescent="0.3">
      <c r="A28" s="398"/>
      <c r="B28" s="398"/>
      <c r="C28" s="421"/>
      <c r="E28" s="8" t="str">
        <f t="shared" ref="E28:AV28" si="18" xml:space="preserve"> E$9</f>
        <v>Model calendar year</v>
      </c>
      <c r="F28" s="8">
        <f t="shared" si="18"/>
        <v>0</v>
      </c>
      <c r="G28" s="8" t="str">
        <f t="shared" si="18"/>
        <v>year</v>
      </c>
      <c r="H28" s="8">
        <f t="shared" si="18"/>
        <v>0</v>
      </c>
      <c r="I28" s="8">
        <f t="shared" si="18"/>
        <v>0</v>
      </c>
      <c r="J28" s="8">
        <f t="shared" si="18"/>
        <v>0</v>
      </c>
      <c r="K28" s="8">
        <f t="shared" si="18"/>
        <v>2006</v>
      </c>
      <c r="L28" s="8">
        <f t="shared" si="18"/>
        <v>2007</v>
      </c>
      <c r="M28" s="8">
        <f t="shared" si="18"/>
        <v>2008</v>
      </c>
      <c r="N28" s="8">
        <f t="shared" si="18"/>
        <v>2009</v>
      </c>
      <c r="O28" s="8">
        <f t="shared" si="18"/>
        <v>2010</v>
      </c>
      <c r="P28" s="8">
        <f t="shared" si="18"/>
        <v>2011</v>
      </c>
      <c r="Q28" s="8">
        <f t="shared" si="18"/>
        <v>2012</v>
      </c>
      <c r="R28" s="8">
        <f t="shared" si="18"/>
        <v>2013</v>
      </c>
      <c r="S28" s="8">
        <f t="shared" si="18"/>
        <v>2014</v>
      </c>
      <c r="T28" s="8">
        <f t="shared" si="18"/>
        <v>2015</v>
      </c>
      <c r="U28" s="8">
        <f t="shared" si="18"/>
        <v>2016</v>
      </c>
      <c r="V28" s="8">
        <f t="shared" si="18"/>
        <v>2017</v>
      </c>
      <c r="W28" s="8">
        <f t="shared" si="18"/>
        <v>2018</v>
      </c>
      <c r="X28" s="8">
        <f t="shared" si="18"/>
        <v>2019</v>
      </c>
      <c r="Y28" s="8">
        <f t="shared" si="18"/>
        <v>2020</v>
      </c>
      <c r="Z28" s="8">
        <f t="shared" si="18"/>
        <v>2021</v>
      </c>
      <c r="AA28" s="8">
        <f t="shared" si="18"/>
        <v>2022</v>
      </c>
      <c r="AB28" s="8">
        <f t="shared" si="18"/>
        <v>2023</v>
      </c>
      <c r="AC28" s="8">
        <f t="shared" si="18"/>
        <v>2024</v>
      </c>
      <c r="AD28" s="8">
        <f t="shared" si="18"/>
        <v>2025</v>
      </c>
      <c r="AE28" s="8">
        <f t="shared" si="18"/>
        <v>2026</v>
      </c>
      <c r="AF28" s="8">
        <f t="shared" si="18"/>
        <v>2027</v>
      </c>
      <c r="AG28" s="8">
        <f t="shared" si="18"/>
        <v>2028</v>
      </c>
      <c r="AH28" s="8">
        <f t="shared" si="18"/>
        <v>2029</v>
      </c>
      <c r="AI28" s="8">
        <f t="shared" si="18"/>
        <v>2030</v>
      </c>
      <c r="AJ28" s="8">
        <f t="shared" si="18"/>
        <v>2031</v>
      </c>
      <c r="AK28" s="8">
        <f t="shared" si="18"/>
        <v>2032</v>
      </c>
      <c r="AL28" s="8">
        <f t="shared" si="18"/>
        <v>2033</v>
      </c>
      <c r="AM28" s="8">
        <f t="shared" si="18"/>
        <v>2034</v>
      </c>
      <c r="AN28" s="8">
        <f t="shared" si="18"/>
        <v>2035</v>
      </c>
      <c r="AO28" s="8">
        <f t="shared" si="18"/>
        <v>2036</v>
      </c>
      <c r="AP28" s="8">
        <f t="shared" si="18"/>
        <v>2037</v>
      </c>
      <c r="AQ28" s="8">
        <f t="shared" si="18"/>
        <v>2038</v>
      </c>
      <c r="AR28" s="8">
        <f t="shared" si="18"/>
        <v>2039</v>
      </c>
      <c r="AS28" s="8">
        <f t="shared" si="18"/>
        <v>2040</v>
      </c>
      <c r="AT28" s="8">
        <f t="shared" si="18"/>
        <v>0</v>
      </c>
      <c r="AU28" s="8">
        <f t="shared" si="18"/>
        <v>0</v>
      </c>
      <c r="AV28" s="8">
        <f t="shared" si="18"/>
        <v>0</v>
      </c>
    </row>
    <row r="29" spans="1:48" s="423" customFormat="1" ht="15" customHeight="1" x14ac:dyDescent="0.3">
      <c r="A29" s="398"/>
      <c r="B29" s="398"/>
      <c r="C29" s="421"/>
      <c r="E29" s="51" t="str">
        <f xml:space="preserve"> E22</f>
        <v>USD CPI Inflation</v>
      </c>
      <c r="G29" s="423" t="s">
        <v>986</v>
      </c>
      <c r="I29" s="8"/>
      <c r="K29" s="88">
        <f xml:space="preserve"> INDEX($K$21:$AV$21, , MATCH(K28, $K20:$AV20, 0))</f>
        <v>201.55799999999999</v>
      </c>
      <c r="L29" s="88">
        <f t="shared" ref="L29:AI29" si="19" xml:space="preserve"> INDEX($K$21:$AV$21, , MATCH(L28, $K20:$AV20, 0))</f>
        <v>207.34399999999999</v>
      </c>
      <c r="M29" s="88">
        <f t="shared" si="19"/>
        <v>215.25399999999999</v>
      </c>
      <c r="N29" s="88">
        <f t="shared" si="19"/>
        <v>214.565</v>
      </c>
      <c r="O29" s="88">
        <f t="shared" si="19"/>
        <v>218.07599999999999</v>
      </c>
      <c r="P29" s="88">
        <f t="shared" si="19"/>
        <v>224.923</v>
      </c>
      <c r="Q29" s="88">
        <f t="shared" si="19"/>
        <v>229.58600000000001</v>
      </c>
      <c r="R29" s="88">
        <f t="shared" si="19"/>
        <v>232.952</v>
      </c>
      <c r="S29" s="88">
        <f t="shared" si="19"/>
        <v>236.715</v>
      </c>
      <c r="T29" s="88">
        <f t="shared" si="19"/>
        <v>237.00200000000001</v>
      </c>
      <c r="U29" s="88">
        <f t="shared" si="19"/>
        <v>240.005</v>
      </c>
      <c r="V29" s="88">
        <f t="shared" si="19"/>
        <v>245.12100000000001</v>
      </c>
      <c r="W29" s="88">
        <f t="shared" si="19"/>
        <v>251.1</v>
      </c>
      <c r="X29" s="88">
        <f t="shared" si="19"/>
        <v>255.65299999999999</v>
      </c>
      <c r="Y29" s="88">
        <f t="shared" si="19"/>
        <v>258.85599999999999</v>
      </c>
      <c r="Z29" s="88">
        <f t="shared" si="19"/>
        <v>270.96800000000002</v>
      </c>
      <c r="AA29" s="88">
        <f t="shared" si="19"/>
        <v>292.625</v>
      </c>
      <c r="AB29" s="88">
        <f t="shared" si="19"/>
        <v>304.70400000000001</v>
      </c>
      <c r="AC29" s="88">
        <f t="shared" si="19"/>
        <v>313.69799999999998</v>
      </c>
      <c r="AD29" s="88">
        <f t="shared" si="19"/>
        <v>323.07</v>
      </c>
      <c r="AE29" s="88">
        <f t="shared" si="19"/>
        <v>331.03500000000003</v>
      </c>
      <c r="AF29" s="88">
        <f t="shared" si="19"/>
        <v>338.02100000000002</v>
      </c>
      <c r="AG29" s="88">
        <f t="shared" si="19"/>
        <v>345.30700000000002</v>
      </c>
      <c r="AH29" s="88">
        <f t="shared" si="19"/>
        <v>352.79700000000003</v>
      </c>
      <c r="AI29" s="88">
        <f t="shared" si="19"/>
        <v>360.47</v>
      </c>
      <c r="AJ29" s="88" t="e">
        <f xml:space="preserve"> INDEX($K$21:$AV$21, , MATCH(AJ28, $K20:$AV20, 0))</f>
        <v>#N/A</v>
      </c>
      <c r="AK29" s="88" t="e">
        <f t="shared" ref="AK29" si="20" xml:space="preserve"> INDEX($K$21:$AV$21, , MATCH(AK28, $K20:$AV20, 0))</f>
        <v>#N/A</v>
      </c>
      <c r="AL29" s="88" t="e">
        <f t="shared" ref="AL29" si="21" xml:space="preserve"> INDEX($K$21:$AV$21, , MATCH(AL28, $K20:$AV20, 0))</f>
        <v>#N/A</v>
      </c>
      <c r="AM29" s="88" t="e">
        <f t="shared" ref="AM29" si="22" xml:space="preserve"> INDEX($K$21:$AV$21, , MATCH(AM28, $K20:$AV20, 0))</f>
        <v>#N/A</v>
      </c>
      <c r="AN29" s="88" t="e">
        <f t="shared" ref="AN29" si="23" xml:space="preserve"> INDEX($K$21:$AV$21, , MATCH(AN28, $K20:$AV20, 0))</f>
        <v>#N/A</v>
      </c>
      <c r="AO29" s="88" t="e">
        <f t="shared" ref="AO29" si="24" xml:space="preserve"> INDEX($K$21:$AV$21, , MATCH(AO28, $K20:$AV20, 0))</f>
        <v>#N/A</v>
      </c>
      <c r="AP29" s="88" t="e">
        <f t="shared" ref="AP29" si="25" xml:space="preserve"> INDEX($K$21:$AV$21, , MATCH(AP28, $K20:$AV20, 0))</f>
        <v>#N/A</v>
      </c>
      <c r="AQ29" s="88" t="e">
        <f t="shared" ref="AQ29" si="26" xml:space="preserve"> INDEX($K$21:$AV$21, , MATCH(AQ28, $K20:$AV20, 0))</f>
        <v>#N/A</v>
      </c>
      <c r="AR29" s="88" t="e">
        <f t="shared" ref="AR29" si="27" xml:space="preserve"> INDEX($K$21:$AV$21, , MATCH(AR28, $K20:$AV20, 0))</f>
        <v>#N/A</v>
      </c>
      <c r="AS29" s="88" t="e">
        <f t="shared" ref="AS29" si="28" xml:space="preserve"> INDEX($K$21:$AV$21, , MATCH(AS28, $K20:$AV20, 0))</f>
        <v>#N/A</v>
      </c>
      <c r="AT29" s="88" t="e">
        <f t="shared" ref="AT29:AU29" si="29" xml:space="preserve"> INDEX($L$19:$AV$19, , MATCH(AT28, $L20:$AV20, 0))</f>
        <v>#N/A</v>
      </c>
      <c r="AU29" s="88" t="e">
        <f t="shared" si="29"/>
        <v>#N/A</v>
      </c>
      <c r="AV29" s="88" t="e">
        <f xml:space="preserve"> INDEX($L$19:$AV$19, , MATCH(AV28, $K20:$AV20, 0))</f>
        <v>#N/A</v>
      </c>
    </row>
    <row r="30" spans="1:48" s="470" customFormat="1" ht="15" customHeight="1" x14ac:dyDescent="0.3">
      <c r="A30" s="464"/>
      <c r="B30" s="464"/>
      <c r="C30" s="496"/>
      <c r="E30" s="50" t="str">
        <f xml:space="preserve"> E29 &amp; " (incl forecast)"</f>
        <v>USD CPI Inflation (incl forecast)</v>
      </c>
      <c r="G30" s="470" t="s">
        <v>986</v>
      </c>
      <c r="I30" s="186"/>
      <c r="K30" s="50">
        <f xml:space="preserve"> IF(K28 &gt; $F24, J30 * ( 1 + $F25), K29)</f>
        <v>201.55799999999999</v>
      </c>
      <c r="L30" s="50">
        <f xml:space="preserve"> IF(L28 &gt; $F24, K30 * ( 1 + $F25), L29)</f>
        <v>207.34399999999999</v>
      </c>
      <c r="M30" s="50">
        <f t="shared" ref="M30:AU30" si="30" xml:space="preserve"> IF(M28 &gt; $F24, L30 * ( 1 + $F25), M29)</f>
        <v>215.25399999999999</v>
      </c>
      <c r="N30" s="50">
        <f t="shared" si="30"/>
        <v>214.565</v>
      </c>
      <c r="O30" s="50">
        <f t="shared" si="30"/>
        <v>218.07599999999999</v>
      </c>
      <c r="P30" s="50">
        <f t="shared" si="30"/>
        <v>224.923</v>
      </c>
      <c r="Q30" s="50">
        <f t="shared" si="30"/>
        <v>229.58600000000001</v>
      </c>
      <c r="R30" s="50">
        <f t="shared" si="30"/>
        <v>232.952</v>
      </c>
      <c r="S30" s="50">
        <f t="shared" si="30"/>
        <v>236.715</v>
      </c>
      <c r="T30" s="50">
        <f t="shared" si="30"/>
        <v>237.00200000000001</v>
      </c>
      <c r="U30" s="50">
        <f t="shared" si="30"/>
        <v>240.005</v>
      </c>
      <c r="V30" s="50">
        <f t="shared" si="30"/>
        <v>245.12100000000001</v>
      </c>
      <c r="W30" s="50">
        <f t="shared" si="30"/>
        <v>251.1</v>
      </c>
      <c r="X30" s="50">
        <f t="shared" si="30"/>
        <v>255.65299999999999</v>
      </c>
      <c r="Y30" s="50">
        <f t="shared" si="30"/>
        <v>258.85599999999999</v>
      </c>
      <c r="Z30" s="50">
        <f t="shared" si="30"/>
        <v>270.96800000000002</v>
      </c>
      <c r="AA30" s="50">
        <f t="shared" si="30"/>
        <v>292.625</v>
      </c>
      <c r="AB30" s="50">
        <f t="shared" si="30"/>
        <v>304.70400000000001</v>
      </c>
      <c r="AC30" s="50">
        <f t="shared" si="30"/>
        <v>313.69799999999998</v>
      </c>
      <c r="AD30" s="50">
        <f t="shared" si="30"/>
        <v>323.07</v>
      </c>
      <c r="AE30" s="50">
        <f t="shared" si="30"/>
        <v>331.03500000000003</v>
      </c>
      <c r="AF30" s="50">
        <f t="shared" si="30"/>
        <v>338.02100000000002</v>
      </c>
      <c r="AG30" s="50">
        <f t="shared" si="30"/>
        <v>345.30700000000002</v>
      </c>
      <c r="AH30" s="50">
        <f t="shared" si="30"/>
        <v>352.79700000000003</v>
      </c>
      <c r="AI30" s="50">
        <f t="shared" si="30"/>
        <v>360.47</v>
      </c>
      <c r="AJ30" s="50">
        <f t="shared" si="30"/>
        <v>367.67940000000004</v>
      </c>
      <c r="AK30" s="50">
        <f t="shared" si="30"/>
        <v>375.03298800000005</v>
      </c>
      <c r="AL30" s="50">
        <f t="shared" si="30"/>
        <v>382.53364776000006</v>
      </c>
      <c r="AM30" s="50">
        <f t="shared" si="30"/>
        <v>390.18432071520004</v>
      </c>
      <c r="AN30" s="50">
        <f t="shared" si="30"/>
        <v>397.98800712950407</v>
      </c>
      <c r="AO30" s="50">
        <f t="shared" si="30"/>
        <v>405.94776727209415</v>
      </c>
      <c r="AP30" s="50">
        <f t="shared" si="30"/>
        <v>414.06672261753607</v>
      </c>
      <c r="AQ30" s="50">
        <f t="shared" si="30"/>
        <v>422.34805706988681</v>
      </c>
      <c r="AR30" s="50">
        <f t="shared" si="30"/>
        <v>430.79501821128457</v>
      </c>
      <c r="AS30" s="50">
        <f t="shared" si="30"/>
        <v>439.41091857551027</v>
      </c>
      <c r="AT30" s="50" t="e">
        <f t="shared" si="30"/>
        <v>#N/A</v>
      </c>
      <c r="AU30" s="50" t="e">
        <f t="shared" si="30"/>
        <v>#N/A</v>
      </c>
      <c r="AV30" s="50" t="e">
        <f t="shared" ref="AV30" si="31" xml:space="preserve"> IF(AV28 &gt; $F24, AU30 * ( 1 + $F25), AV29)</f>
        <v>#N/A</v>
      </c>
    </row>
    <row r="31" spans="1:48" s="423" customFormat="1" ht="15" customHeight="1" x14ac:dyDescent="0.3">
      <c r="A31" s="398"/>
      <c r="B31" s="398"/>
      <c r="C31" s="421"/>
      <c r="E31" s="51" t="str">
        <f xml:space="preserve"> E30</f>
        <v>USD CPI Inflation (incl forecast)</v>
      </c>
      <c r="G31" s="423" t="s">
        <v>993</v>
      </c>
      <c r="I31" s="5"/>
      <c r="K31" s="878">
        <f xml:space="preserve"> IF(K28 = $F8, $F25, K30 / J30 - 1)</f>
        <v>0.02</v>
      </c>
      <c r="L31" s="878">
        <f t="shared" ref="L31:AS31" si="32" xml:space="preserve"> IF(L28 = $F8, $F25, L30 / K30 - 1)</f>
        <v>2.8706377320671939E-2</v>
      </c>
      <c r="M31" s="878">
        <f t="shared" si="32"/>
        <v>3.81491627440389E-2</v>
      </c>
      <c r="N31" s="878">
        <f t="shared" si="32"/>
        <v>-3.2008696702500172E-3</v>
      </c>
      <c r="O31" s="878">
        <f t="shared" si="32"/>
        <v>1.6363339780486097E-2</v>
      </c>
      <c r="P31" s="878">
        <f t="shared" si="32"/>
        <v>3.1397311029182529E-2</v>
      </c>
      <c r="Q31" s="878">
        <f t="shared" si="32"/>
        <v>2.0731539237872632E-2</v>
      </c>
      <c r="R31" s="878">
        <f t="shared" si="32"/>
        <v>1.4661172719590887E-2</v>
      </c>
      <c r="S31" s="878">
        <f t="shared" si="32"/>
        <v>1.6153542360658024E-2</v>
      </c>
      <c r="T31" s="878">
        <f t="shared" si="32"/>
        <v>1.2124284477113001E-3</v>
      </c>
      <c r="U31" s="878">
        <f t="shared" si="32"/>
        <v>1.2670779149543066E-2</v>
      </c>
      <c r="V31" s="878">
        <f t="shared" si="32"/>
        <v>2.1316222578696253E-2</v>
      </c>
      <c r="W31" s="878">
        <f t="shared" si="32"/>
        <v>2.4392034954165531E-2</v>
      </c>
      <c r="X31" s="878">
        <f t="shared" si="32"/>
        <v>1.8132218239745201E-2</v>
      </c>
      <c r="Y31" s="878">
        <f t="shared" si="32"/>
        <v>1.2528701012700871E-2</v>
      </c>
      <c r="Z31" s="878">
        <f t="shared" si="32"/>
        <v>4.679049355626308E-2</v>
      </c>
      <c r="AA31" s="878">
        <f t="shared" si="32"/>
        <v>7.9924566738507785E-2</v>
      </c>
      <c r="AB31" s="878">
        <f t="shared" si="32"/>
        <v>4.1278086287911187E-2</v>
      </c>
      <c r="AC31" s="878">
        <f t="shared" si="32"/>
        <v>2.9517170762444866E-2</v>
      </c>
      <c r="AD31" s="878">
        <f t="shared" si="32"/>
        <v>2.9875867872922512E-2</v>
      </c>
      <c r="AE31" s="878">
        <f t="shared" si="32"/>
        <v>2.4654099730708534E-2</v>
      </c>
      <c r="AF31" s="878">
        <f t="shared" si="32"/>
        <v>2.110350869243427E-2</v>
      </c>
      <c r="AG31" s="878">
        <f t="shared" si="32"/>
        <v>2.1554873809615405E-2</v>
      </c>
      <c r="AH31" s="878">
        <f t="shared" si="32"/>
        <v>2.1690843220670386E-2</v>
      </c>
      <c r="AI31" s="878">
        <f t="shared" si="32"/>
        <v>2.1749051154063004E-2</v>
      </c>
      <c r="AJ31" s="878">
        <f t="shared" si="32"/>
        <v>2.0000000000000018E-2</v>
      </c>
      <c r="AK31" s="878">
        <f t="shared" si="32"/>
        <v>2.0000000000000018E-2</v>
      </c>
      <c r="AL31" s="878">
        <f t="shared" si="32"/>
        <v>2.0000000000000018E-2</v>
      </c>
      <c r="AM31" s="878">
        <f t="shared" si="32"/>
        <v>2.0000000000000018E-2</v>
      </c>
      <c r="AN31" s="878">
        <f t="shared" si="32"/>
        <v>2.0000000000000018E-2</v>
      </c>
      <c r="AO31" s="878">
        <f t="shared" si="32"/>
        <v>2.0000000000000018E-2</v>
      </c>
      <c r="AP31" s="878">
        <f t="shared" si="32"/>
        <v>2.0000000000000018E-2</v>
      </c>
      <c r="AQ31" s="878">
        <f t="shared" si="32"/>
        <v>2.0000000000000018E-2</v>
      </c>
      <c r="AR31" s="878">
        <f t="shared" si="32"/>
        <v>2.0000000000000018E-2</v>
      </c>
      <c r="AS31" s="878">
        <f t="shared" si="32"/>
        <v>2.0000000000000018E-2</v>
      </c>
      <c r="AT31" s="878">
        <f t="shared" ref="AT31:AU31" si="33" xml:space="preserve"> IF(AT28 = $F10, $F25, AT30 / AS30 - 1)</f>
        <v>0.02</v>
      </c>
      <c r="AU31" s="878">
        <f t="shared" si="33"/>
        <v>0.02</v>
      </c>
      <c r="AV31" s="878">
        <f t="shared" ref="AV31" si="34" xml:space="preserve"> IF(AV28 = $F10, $F25, AV30 / AU30 - 1)</f>
        <v>0.02</v>
      </c>
    </row>
    <row r="32" spans="1:48" s="423" customFormat="1" ht="15" customHeight="1" x14ac:dyDescent="0.3">
      <c r="A32" s="398"/>
      <c r="B32" s="398"/>
      <c r="C32" s="421"/>
      <c r="E32" s="51"/>
      <c r="I32" s="5"/>
    </row>
    <row r="33" spans="1:48" s="423" customFormat="1" ht="15" customHeight="1" x14ac:dyDescent="0.3">
      <c r="A33" s="398"/>
      <c r="B33" s="398" t="s">
        <v>994</v>
      </c>
      <c r="C33" s="421"/>
      <c r="E33" s="51"/>
      <c r="I33" s="5"/>
      <c r="AD33" s="1208"/>
    </row>
    <row r="34" spans="1:48" s="423" customFormat="1" ht="15" customHeight="1" x14ac:dyDescent="0.3">
      <c r="A34" s="398"/>
      <c r="B34" s="398"/>
      <c r="C34" s="421" t="s">
        <v>995</v>
      </c>
      <c r="E34" s="51"/>
      <c r="I34" s="5"/>
    </row>
    <row r="35" spans="1:48" s="423" customFormat="1" ht="15" customHeight="1" x14ac:dyDescent="0.3">
      <c r="A35" s="398"/>
      <c r="B35" s="398"/>
      <c r="C35" s="421"/>
      <c r="E35" s="998" t="str">
        <f xml:space="preserve"> Inputs_Con!E$28</f>
        <v>First forecast year</v>
      </c>
      <c r="F35" s="998">
        <f xml:space="preserve"> Inputs_Con!F$28</f>
        <v>2025</v>
      </c>
      <c r="G35" s="999" t="str">
        <f xml:space="preserve"> Inputs_Con!G$28</f>
        <v>year</v>
      </c>
      <c r="I35" s="5"/>
    </row>
    <row r="36" spans="1:48" s="423" customFormat="1" ht="15" customHeight="1" x14ac:dyDescent="0.3">
      <c r="A36" s="398"/>
      <c r="B36" s="398"/>
      <c r="C36" s="421"/>
      <c r="E36" s="521" t="str">
        <f>"Index value in " &amp; F35</f>
        <v>Index value in 2025</v>
      </c>
      <c r="F36" s="991" cm="1">
        <f t="array" ref="F36" xml:space="preserve"> INDEX(K29:AV29, , MATCH(F35, K28:AV28, 0))</f>
        <v>323.07</v>
      </c>
      <c r="G36" s="521" t="s">
        <v>528</v>
      </c>
      <c r="I36" s="5"/>
    </row>
    <row r="37" spans="1:48" s="423" customFormat="1" ht="15" customHeight="1" x14ac:dyDescent="0.3">
      <c r="A37" s="398"/>
      <c r="B37" s="398"/>
      <c r="C37" s="421"/>
      <c r="E37" s="425" t="str">
        <f xml:space="preserve"> Scenarios!B$47</f>
        <v>Inflation switch (1 = on)</v>
      </c>
      <c r="F37" s="980">
        <f xml:space="preserve"> Scenarios!C$47</f>
        <v>1</v>
      </c>
      <c r="G37" s="497" t="str">
        <f xml:space="preserve"> Scenarios!D$47</f>
        <v>flag</v>
      </c>
      <c r="I37" s="5"/>
    </row>
    <row r="38" spans="1:48" s="430" customFormat="1" ht="15" customHeight="1" x14ac:dyDescent="0.3">
      <c r="A38" s="428"/>
      <c r="B38" s="428"/>
      <c r="C38" s="429"/>
      <c r="E38" s="987" t="str">
        <f xml:space="preserve"> E30 &amp; " from " &amp; $F35</f>
        <v>USD CPI Inflation (incl forecast) from 2025</v>
      </c>
      <c r="G38" s="430" t="str">
        <f xml:space="preserve"> G36</f>
        <v>index</v>
      </c>
      <c r="I38" s="431"/>
      <c r="K38" s="176">
        <f t="shared" ref="K38:AS38" si="35" xml:space="preserve"> IF( $F37 = 1, IF(K28 &lt;= $F35, 1, K30 / $F36), 1)</f>
        <v>1</v>
      </c>
      <c r="L38" s="176">
        <f t="shared" si="35"/>
        <v>1</v>
      </c>
      <c r="M38" s="176">
        <f t="shared" si="35"/>
        <v>1</v>
      </c>
      <c r="N38" s="176">
        <f t="shared" si="35"/>
        <v>1</v>
      </c>
      <c r="O38" s="176">
        <f t="shared" si="35"/>
        <v>1</v>
      </c>
      <c r="P38" s="176">
        <f t="shared" si="35"/>
        <v>1</v>
      </c>
      <c r="Q38" s="176">
        <f t="shared" si="35"/>
        <v>1</v>
      </c>
      <c r="R38" s="176">
        <f t="shared" si="35"/>
        <v>1</v>
      </c>
      <c r="S38" s="176">
        <f t="shared" si="35"/>
        <v>1</v>
      </c>
      <c r="T38" s="176">
        <f t="shared" si="35"/>
        <v>1</v>
      </c>
      <c r="U38" s="176">
        <f t="shared" si="35"/>
        <v>1</v>
      </c>
      <c r="V38" s="176">
        <f t="shared" si="35"/>
        <v>1</v>
      </c>
      <c r="W38" s="176">
        <f t="shared" si="35"/>
        <v>1</v>
      </c>
      <c r="X38" s="176">
        <f t="shared" si="35"/>
        <v>1</v>
      </c>
      <c r="Y38" s="176">
        <f t="shared" si="35"/>
        <v>1</v>
      </c>
      <c r="Z38" s="176">
        <f t="shared" si="35"/>
        <v>1</v>
      </c>
      <c r="AA38" s="176">
        <f t="shared" si="35"/>
        <v>1</v>
      </c>
      <c r="AB38" s="176">
        <f t="shared" si="35"/>
        <v>1</v>
      </c>
      <c r="AC38" s="176">
        <f t="shared" si="35"/>
        <v>1</v>
      </c>
      <c r="AD38" s="176">
        <f t="shared" si="35"/>
        <v>1</v>
      </c>
      <c r="AE38" s="176">
        <f t="shared" si="35"/>
        <v>1.0246540997307085</v>
      </c>
      <c r="AF38" s="176">
        <f t="shared" si="35"/>
        <v>1.0462778964311141</v>
      </c>
      <c r="AG38" s="176">
        <f t="shared" si="35"/>
        <v>1.0688302844584765</v>
      </c>
      <c r="AH38" s="176">
        <f t="shared" si="35"/>
        <v>1.0920141145881699</v>
      </c>
      <c r="AI38" s="176">
        <f t="shared" si="35"/>
        <v>1.1157643854273069</v>
      </c>
      <c r="AJ38" s="176">
        <f t="shared" si="35"/>
        <v>1.1380796731358531</v>
      </c>
      <c r="AK38" s="176">
        <f t="shared" si="35"/>
        <v>1.1608412665985701</v>
      </c>
      <c r="AL38" s="176">
        <f t="shared" si="35"/>
        <v>1.1840580919305417</v>
      </c>
      <c r="AM38" s="176">
        <f t="shared" si="35"/>
        <v>1.2077392537691523</v>
      </c>
      <c r="AN38" s="176">
        <f t="shared" si="35"/>
        <v>1.2318940388445354</v>
      </c>
      <c r="AO38" s="176">
        <f t="shared" si="35"/>
        <v>1.2565319196214262</v>
      </c>
      <c r="AP38" s="176">
        <f t="shared" si="35"/>
        <v>1.2816625580138548</v>
      </c>
      <c r="AQ38" s="176">
        <f t="shared" si="35"/>
        <v>1.307295809174132</v>
      </c>
      <c r="AR38" s="176">
        <f t="shared" si="35"/>
        <v>1.3334417253576147</v>
      </c>
      <c r="AS38" s="176">
        <f t="shared" si="35"/>
        <v>1.3601105598647669</v>
      </c>
      <c r="AT38" s="176">
        <f t="shared" ref="AT38:AV38" si="36" xml:space="preserve"> IF( $F37 = 1, IF(AT28 &lt;= $F35, 1, AT30 / $F36), 1)</f>
        <v>1</v>
      </c>
      <c r="AU38" s="176">
        <f t="shared" si="36"/>
        <v>1</v>
      </c>
      <c r="AV38" s="176">
        <f t="shared" si="36"/>
        <v>1</v>
      </c>
    </row>
    <row r="39" spans="1:48" s="423" customFormat="1" ht="15" customHeight="1" x14ac:dyDescent="0.3">
      <c r="A39" s="398"/>
      <c r="B39" s="398"/>
      <c r="C39" s="421"/>
      <c r="E39" s="51"/>
      <c r="I39" s="5"/>
    </row>
    <row r="40" spans="1:48" s="423" customFormat="1" ht="15" customHeight="1" x14ac:dyDescent="0.3">
      <c r="A40" s="398"/>
      <c r="B40" s="398"/>
      <c r="C40" s="421"/>
      <c r="E40" s="51" t="s">
        <v>1148</v>
      </c>
      <c r="F40" s="495">
        <v>2022</v>
      </c>
      <c r="G40" s="423" t="s">
        <v>27</v>
      </c>
      <c r="I40" s="5"/>
    </row>
    <row r="41" spans="1:48" s="423" customFormat="1" ht="15" customHeight="1" x14ac:dyDescent="0.3">
      <c r="A41" s="398"/>
      <c r="B41" s="398"/>
      <c r="C41" s="421"/>
      <c r="E41" s="521" t="str">
        <f>"Index value in " &amp; F40</f>
        <v>Index value in 2022</v>
      </c>
      <c r="F41" s="991" cm="1">
        <f t="array" ref="F41" xml:space="preserve"> INDEX(K29:AV29, , MATCH(F40, K28:AV28, 0))</f>
        <v>292.625</v>
      </c>
      <c r="G41" s="521" t="s">
        <v>528</v>
      </c>
      <c r="I41" s="5"/>
    </row>
    <row r="42" spans="1:48" s="423" customFormat="1" ht="15" customHeight="1" x14ac:dyDescent="0.3">
      <c r="A42" s="398"/>
      <c r="B42" s="398"/>
      <c r="C42" s="421"/>
      <c r="E42" s="425" t="str">
        <f xml:space="preserve"> Scenarios!B$47</f>
        <v>Inflation switch (1 = on)</v>
      </c>
      <c r="F42" s="980">
        <f xml:space="preserve"> Scenarios!C$47</f>
        <v>1</v>
      </c>
      <c r="G42" s="497" t="str">
        <f xml:space="preserve"> Scenarios!D$47</f>
        <v>flag</v>
      </c>
      <c r="I42" s="5"/>
    </row>
    <row r="43" spans="1:48" s="430" customFormat="1" ht="15" customHeight="1" x14ac:dyDescent="0.3">
      <c r="A43" s="428"/>
      <c r="B43" s="428"/>
      <c r="C43" s="429"/>
      <c r="E43" s="987" t="str">
        <f xml:space="preserve"> "Cost inflation from " &amp; $F40</f>
        <v>Cost inflation from 2022</v>
      </c>
      <c r="G43" s="430" t="str">
        <f xml:space="preserve"> G41</f>
        <v>index</v>
      </c>
      <c r="I43" s="431"/>
      <c r="K43" s="176">
        <f t="shared" ref="K43:AS43" si="37" xml:space="preserve"> IF( $F42 = 1, IF(K28 &lt;= $F40, 1, K30 / $F41), 1)</f>
        <v>1</v>
      </c>
      <c r="L43" s="176">
        <f t="shared" si="37"/>
        <v>1</v>
      </c>
      <c r="M43" s="176">
        <f t="shared" si="37"/>
        <v>1</v>
      </c>
      <c r="N43" s="176">
        <f t="shared" si="37"/>
        <v>1</v>
      </c>
      <c r="O43" s="176">
        <f t="shared" si="37"/>
        <v>1</v>
      </c>
      <c r="P43" s="176">
        <f t="shared" si="37"/>
        <v>1</v>
      </c>
      <c r="Q43" s="176">
        <f t="shared" si="37"/>
        <v>1</v>
      </c>
      <c r="R43" s="176">
        <f t="shared" si="37"/>
        <v>1</v>
      </c>
      <c r="S43" s="176">
        <f t="shared" si="37"/>
        <v>1</v>
      </c>
      <c r="T43" s="176">
        <f t="shared" si="37"/>
        <v>1</v>
      </c>
      <c r="U43" s="176">
        <f t="shared" si="37"/>
        <v>1</v>
      </c>
      <c r="V43" s="176">
        <f t="shared" si="37"/>
        <v>1</v>
      </c>
      <c r="W43" s="176">
        <f t="shared" si="37"/>
        <v>1</v>
      </c>
      <c r="X43" s="176">
        <f t="shared" si="37"/>
        <v>1</v>
      </c>
      <c r="Y43" s="176">
        <f t="shared" si="37"/>
        <v>1</v>
      </c>
      <c r="Z43" s="176">
        <f t="shared" si="37"/>
        <v>1</v>
      </c>
      <c r="AA43" s="176">
        <f t="shared" si="37"/>
        <v>1</v>
      </c>
      <c r="AB43" s="176">
        <f t="shared" si="37"/>
        <v>1.0412780862879112</v>
      </c>
      <c r="AC43" s="176">
        <f t="shared" si="37"/>
        <v>1.0720136693720632</v>
      </c>
      <c r="AD43" s="176">
        <f t="shared" si="37"/>
        <v>1.1040410081161895</v>
      </c>
      <c r="AE43" s="176">
        <f t="shared" si="37"/>
        <v>1.1312601452370783</v>
      </c>
      <c r="AF43" s="176">
        <f t="shared" si="37"/>
        <v>1.1551337035454934</v>
      </c>
      <c r="AG43" s="176">
        <f t="shared" si="37"/>
        <v>1.1800324647586502</v>
      </c>
      <c r="AH43" s="176">
        <f t="shared" si="37"/>
        <v>1.2056283639470313</v>
      </c>
      <c r="AI43" s="176">
        <f t="shared" si="37"/>
        <v>1.2318496369073046</v>
      </c>
      <c r="AJ43" s="176">
        <f t="shared" si="37"/>
        <v>1.2564866296454509</v>
      </c>
      <c r="AK43" s="176">
        <f t="shared" si="37"/>
        <v>1.2816163622383598</v>
      </c>
      <c r="AL43" s="176">
        <f t="shared" si="37"/>
        <v>1.307248689483127</v>
      </c>
      <c r="AM43" s="176">
        <f t="shared" si="37"/>
        <v>1.3333936632727896</v>
      </c>
      <c r="AN43" s="176">
        <f t="shared" si="37"/>
        <v>1.3600615365382454</v>
      </c>
      <c r="AO43" s="176">
        <f t="shared" si="37"/>
        <v>1.3872627672690103</v>
      </c>
      <c r="AP43" s="176">
        <f t="shared" si="37"/>
        <v>1.4150080226143906</v>
      </c>
      <c r="AQ43" s="176">
        <f t="shared" si="37"/>
        <v>1.4433081830666785</v>
      </c>
      <c r="AR43" s="176">
        <f t="shared" si="37"/>
        <v>1.4721743467280122</v>
      </c>
      <c r="AS43" s="176">
        <f t="shared" si="37"/>
        <v>1.5016178336625725</v>
      </c>
      <c r="AT43" s="176">
        <f t="shared" ref="AT43:AV43" si="38" xml:space="preserve"> IF( $F42 = 1, IF(AT33 &lt;= $F40, 1, AT35 / $F41), 1)</f>
        <v>1</v>
      </c>
      <c r="AU43" s="176">
        <f t="shared" si="38"/>
        <v>1</v>
      </c>
      <c r="AV43" s="176">
        <f t="shared" si="38"/>
        <v>1</v>
      </c>
    </row>
    <row r="44" spans="1:48" s="423" customFormat="1" ht="15" customHeight="1" x14ac:dyDescent="0.3">
      <c r="A44" s="398"/>
      <c r="B44" s="398"/>
      <c r="C44" s="421"/>
      <c r="E44" s="51"/>
      <c r="I44" s="5"/>
    </row>
    <row r="45" spans="1:48" s="423" customFormat="1" ht="15" customHeight="1" x14ac:dyDescent="0.3">
      <c r="A45" s="398"/>
      <c r="B45" s="398" t="s">
        <v>996</v>
      </c>
      <c r="C45" s="421"/>
      <c r="E45" s="51"/>
      <c r="I45" s="5"/>
    </row>
    <row r="46" spans="1:48" s="423" customFormat="1" ht="15" customHeight="1" x14ac:dyDescent="0.3">
      <c r="A46" s="398"/>
      <c r="B46" s="398"/>
      <c r="C46" s="421"/>
      <c r="E46" s="998" t="str">
        <f xml:space="preserve"> Inputs_Con!E$31</f>
        <v>Real terms conversion year</v>
      </c>
      <c r="F46" s="998">
        <f xml:space="preserve"> Inputs_Con!F$31</f>
        <v>2023</v>
      </c>
      <c r="G46" s="999" t="str">
        <f xml:space="preserve"> Inputs_Con!G$31</f>
        <v>year</v>
      </c>
      <c r="I46" s="5"/>
    </row>
    <row r="47" spans="1:48" s="423" customFormat="1" ht="15" customHeight="1" x14ac:dyDescent="0.3">
      <c r="A47" s="398"/>
      <c r="B47" s="398"/>
      <c r="C47" s="421"/>
      <c r="E47" s="425" t="str">
        <f xml:space="preserve"> Scenarios!B$47</f>
        <v>Inflation switch (1 = on)</v>
      </c>
      <c r="F47" s="980">
        <f xml:space="preserve"> Scenarios!C$47</f>
        <v>1</v>
      </c>
      <c r="G47" s="497" t="str">
        <f xml:space="preserve"> Scenarios!D$47</f>
        <v>flag</v>
      </c>
      <c r="I47" s="5"/>
    </row>
    <row r="48" spans="1:48" s="470" customFormat="1" ht="15" customHeight="1" x14ac:dyDescent="0.3">
      <c r="A48" s="464"/>
      <c r="B48" s="464"/>
      <c r="C48" s="496"/>
      <c r="E48" s="521" t="str">
        <f>"Index value in " &amp; F46</f>
        <v>Index value in 2023</v>
      </c>
      <c r="F48" s="991" cm="1">
        <f t="array" ref="F48" xml:space="preserve"> INDEX(K30:AV30, , MATCH(F46, K28:AV28, 0))</f>
        <v>304.70400000000001</v>
      </c>
      <c r="G48" s="521" t="s">
        <v>528</v>
      </c>
      <c r="I48" s="186"/>
    </row>
    <row r="49" spans="1:48" s="423" customFormat="1" ht="15" customHeight="1" x14ac:dyDescent="0.3">
      <c r="A49" s="398"/>
      <c r="B49" s="398"/>
      <c r="C49" s="421"/>
      <c r="E49" s="992"/>
      <c r="F49" s="992"/>
      <c r="G49" s="992"/>
      <c r="I49" s="5"/>
    </row>
    <row r="50" spans="1:48" s="470" customFormat="1" ht="15" customHeight="1" x14ac:dyDescent="0.3">
      <c r="A50" s="464"/>
      <c r="B50" s="464"/>
      <c r="C50" s="496"/>
      <c r="E50" s="521" t="str">
        <f>"Deflation index rebased to " &amp; F46</f>
        <v>Deflation index rebased to 2023</v>
      </c>
      <c r="F50" s="521"/>
      <c r="G50" s="521" t="s">
        <v>528</v>
      </c>
      <c r="I50" s="186"/>
      <c r="K50" s="993">
        <f t="shared" ref="K50:AV50" si="39" xml:space="preserve"> IF( $F47 = 1, K30 / $F48, 1)</f>
        <v>0.66148787019533706</v>
      </c>
      <c r="L50" s="993">
        <f t="shared" si="39"/>
        <v>0.68047679059021215</v>
      </c>
      <c r="M50" s="993">
        <f t="shared" si="39"/>
        <v>0.70643641041797933</v>
      </c>
      <c r="N50" s="993">
        <f t="shared" si="39"/>
        <v>0.70417519953791219</v>
      </c>
      <c r="O50" s="993">
        <f t="shared" si="39"/>
        <v>0.71569785759294258</v>
      </c>
      <c r="P50" s="993">
        <f t="shared" si="39"/>
        <v>0.73816884583070785</v>
      </c>
      <c r="Q50" s="993">
        <f t="shared" si="39"/>
        <v>0.75347222222222221</v>
      </c>
      <c r="R50" s="993">
        <f t="shared" si="39"/>
        <v>0.76451900861163613</v>
      </c>
      <c r="S50" s="993">
        <f t="shared" si="39"/>
        <v>0.77686869880277254</v>
      </c>
      <c r="T50" s="993">
        <f t="shared" si="39"/>
        <v>0.7778105965133375</v>
      </c>
      <c r="U50" s="993">
        <f t="shared" si="39"/>
        <v>0.7876660628019323</v>
      </c>
      <c r="V50" s="993">
        <f t="shared" si="39"/>
        <v>0.80445612791430376</v>
      </c>
      <c r="W50" s="993">
        <f t="shared" si="39"/>
        <v>0.82407844990548196</v>
      </c>
      <c r="X50" s="993">
        <f t="shared" si="39"/>
        <v>0.83902082020583901</v>
      </c>
      <c r="Y50" s="993">
        <f t="shared" si="39"/>
        <v>0.84953266120562898</v>
      </c>
      <c r="Z50" s="993">
        <f t="shared" si="39"/>
        <v>0.88928271371560597</v>
      </c>
      <c r="AA50" s="993">
        <f t="shared" si="39"/>
        <v>0.96035824931737024</v>
      </c>
      <c r="AB50" s="993">
        <f t="shared" si="39"/>
        <v>1</v>
      </c>
      <c r="AC50" s="993">
        <f t="shared" si="39"/>
        <v>1.0295171707624449</v>
      </c>
      <c r="AD50" s="993">
        <f t="shared" si="39"/>
        <v>1.0602748897290484</v>
      </c>
      <c r="AE50" s="993">
        <f t="shared" si="39"/>
        <v>1.0864150126023946</v>
      </c>
      <c r="AF50" s="993">
        <f t="shared" si="39"/>
        <v>1.1093421812644402</v>
      </c>
      <c r="AG50" s="993">
        <f t="shared" si="39"/>
        <v>1.1332539119932787</v>
      </c>
      <c r="AH50" s="993">
        <f t="shared" si="39"/>
        <v>1.1578351449275364</v>
      </c>
      <c r="AI50" s="993">
        <f t="shared" si="39"/>
        <v>1.1830169607225374</v>
      </c>
      <c r="AJ50" s="993">
        <f t="shared" si="39"/>
        <v>1.2066772999369881</v>
      </c>
      <c r="AK50" s="993">
        <f t="shared" si="39"/>
        <v>1.2308108459357279</v>
      </c>
      <c r="AL50" s="993">
        <f t="shared" si="39"/>
        <v>1.2554270628544426</v>
      </c>
      <c r="AM50" s="993">
        <f t="shared" si="39"/>
        <v>1.2805356041115312</v>
      </c>
      <c r="AN50" s="993">
        <f t="shared" si="39"/>
        <v>1.3061463161937621</v>
      </c>
      <c r="AO50" s="993">
        <f t="shared" si="39"/>
        <v>1.3322692425176372</v>
      </c>
      <c r="AP50" s="993">
        <f t="shared" si="39"/>
        <v>1.3589146273679902</v>
      </c>
      <c r="AQ50" s="993">
        <f t="shared" si="39"/>
        <v>1.38609291991535</v>
      </c>
      <c r="AR50" s="993">
        <f t="shared" si="39"/>
        <v>1.413814778313657</v>
      </c>
      <c r="AS50" s="993">
        <f t="shared" si="39"/>
        <v>1.4420910738799302</v>
      </c>
      <c r="AT50" s="993" t="e">
        <f t="shared" si="39"/>
        <v>#N/A</v>
      </c>
      <c r="AU50" s="993" t="e">
        <f t="shared" si="39"/>
        <v>#N/A</v>
      </c>
      <c r="AV50" s="993" t="e">
        <f t="shared" si="39"/>
        <v>#N/A</v>
      </c>
    </row>
    <row r="51" spans="1:48" ht="15" customHeight="1" x14ac:dyDescent="0.3"/>
    <row r="52" spans="1:48" s="423" customFormat="1" ht="15" customHeight="1" x14ac:dyDescent="0.3">
      <c r="A52" s="398"/>
      <c r="B52" s="398"/>
      <c r="C52" s="421"/>
      <c r="E52" s="51"/>
      <c r="I52" s="5"/>
      <c r="K52" s="426"/>
    </row>
    <row r="53" spans="1:48" s="420" customFormat="1" ht="15" customHeight="1" collapsed="1" x14ac:dyDescent="0.3">
      <c r="A53" s="415" t="s">
        <v>997</v>
      </c>
      <c r="B53" s="416"/>
      <c r="C53" s="417"/>
      <c r="D53" s="418"/>
      <c r="E53" s="989"/>
      <c r="F53" s="416"/>
      <c r="G53" s="416"/>
      <c r="H53" s="416"/>
      <c r="I53" s="416"/>
      <c r="J53" s="416"/>
      <c r="K53" s="416"/>
      <c r="L53" s="416"/>
      <c r="M53" s="416"/>
      <c r="N53" s="416"/>
      <c r="O53" s="416"/>
      <c r="P53" s="416"/>
      <c r="Q53" s="416"/>
      <c r="R53" s="416"/>
      <c r="S53" s="416"/>
      <c r="T53" s="416"/>
      <c r="U53" s="416"/>
      <c r="V53" s="416"/>
      <c r="W53" s="416"/>
      <c r="X53" s="416"/>
      <c r="Y53" s="416"/>
      <c r="Z53" s="416"/>
      <c r="AA53" s="416"/>
      <c r="AB53" s="416"/>
      <c r="AC53" s="416"/>
      <c r="AD53" s="416"/>
      <c r="AE53" s="416"/>
      <c r="AF53" s="416"/>
      <c r="AG53" s="416"/>
      <c r="AH53" s="416"/>
      <c r="AI53" s="416"/>
      <c r="AJ53" s="416"/>
      <c r="AK53" s="416"/>
      <c r="AL53" s="416"/>
      <c r="AM53" s="416"/>
      <c r="AN53" s="416"/>
      <c r="AO53" s="416"/>
      <c r="AP53" s="416"/>
      <c r="AQ53" s="416"/>
      <c r="AR53" s="416"/>
      <c r="AS53" s="416"/>
      <c r="AT53" s="416"/>
      <c r="AU53" s="416"/>
      <c r="AV53" s="416"/>
    </row>
    <row r="54" spans="1:48" s="423" customFormat="1" ht="15" customHeight="1" x14ac:dyDescent="0.3">
      <c r="A54" s="398"/>
      <c r="B54" s="398"/>
      <c r="C54" s="421"/>
      <c r="E54" s="51"/>
      <c r="I54" s="5"/>
      <c r="K54" s="426"/>
    </row>
    <row r="55" spans="1:48" s="423" customFormat="1" ht="15" customHeight="1" x14ac:dyDescent="0.3">
      <c r="A55" s="398"/>
      <c r="B55" s="398"/>
      <c r="C55" s="421"/>
      <c r="E55" s="51" t="str">
        <f t="shared" ref="E55:AV55" si="40" xml:space="preserve"> E$9</f>
        <v>Model calendar year</v>
      </c>
      <c r="F55" s="51">
        <f t="shared" si="40"/>
        <v>0</v>
      </c>
      <c r="G55" s="51" t="str">
        <f t="shared" si="40"/>
        <v>year</v>
      </c>
      <c r="H55" s="51">
        <f t="shared" si="40"/>
        <v>0</v>
      </c>
      <c r="I55" s="51">
        <f t="shared" si="40"/>
        <v>0</v>
      </c>
      <c r="J55" s="51">
        <f t="shared" si="40"/>
        <v>0</v>
      </c>
      <c r="K55" s="51">
        <f t="shared" si="40"/>
        <v>2006</v>
      </c>
      <c r="L55" s="51">
        <f t="shared" si="40"/>
        <v>2007</v>
      </c>
      <c r="M55" s="51">
        <f t="shared" si="40"/>
        <v>2008</v>
      </c>
      <c r="N55" s="51">
        <f t="shared" si="40"/>
        <v>2009</v>
      </c>
      <c r="O55" s="51">
        <f t="shared" si="40"/>
        <v>2010</v>
      </c>
      <c r="P55" s="51">
        <f t="shared" si="40"/>
        <v>2011</v>
      </c>
      <c r="Q55" s="51">
        <f t="shared" si="40"/>
        <v>2012</v>
      </c>
      <c r="R55" s="51">
        <f t="shared" si="40"/>
        <v>2013</v>
      </c>
      <c r="S55" s="51">
        <f t="shared" si="40"/>
        <v>2014</v>
      </c>
      <c r="T55" s="51">
        <f t="shared" si="40"/>
        <v>2015</v>
      </c>
      <c r="U55" s="51">
        <f t="shared" si="40"/>
        <v>2016</v>
      </c>
      <c r="V55" s="51">
        <f t="shared" si="40"/>
        <v>2017</v>
      </c>
      <c r="W55" s="51">
        <f t="shared" si="40"/>
        <v>2018</v>
      </c>
      <c r="X55" s="51">
        <f t="shared" si="40"/>
        <v>2019</v>
      </c>
      <c r="Y55" s="51">
        <f t="shared" si="40"/>
        <v>2020</v>
      </c>
      <c r="Z55" s="51">
        <f t="shared" si="40"/>
        <v>2021</v>
      </c>
      <c r="AA55" s="51">
        <f t="shared" si="40"/>
        <v>2022</v>
      </c>
      <c r="AB55" s="51">
        <f t="shared" si="40"/>
        <v>2023</v>
      </c>
      <c r="AC55" s="51">
        <f t="shared" si="40"/>
        <v>2024</v>
      </c>
      <c r="AD55" s="51">
        <f t="shared" si="40"/>
        <v>2025</v>
      </c>
      <c r="AE55" s="51">
        <f t="shared" si="40"/>
        <v>2026</v>
      </c>
      <c r="AF55" s="51">
        <f t="shared" si="40"/>
        <v>2027</v>
      </c>
      <c r="AG55" s="51">
        <f t="shared" si="40"/>
        <v>2028</v>
      </c>
      <c r="AH55" s="51">
        <f t="shared" si="40"/>
        <v>2029</v>
      </c>
      <c r="AI55" s="51">
        <f t="shared" si="40"/>
        <v>2030</v>
      </c>
      <c r="AJ55" s="51">
        <f t="shared" si="40"/>
        <v>2031</v>
      </c>
      <c r="AK55" s="51">
        <f t="shared" si="40"/>
        <v>2032</v>
      </c>
      <c r="AL55" s="51">
        <f t="shared" si="40"/>
        <v>2033</v>
      </c>
      <c r="AM55" s="51">
        <f t="shared" si="40"/>
        <v>2034</v>
      </c>
      <c r="AN55" s="51">
        <f t="shared" si="40"/>
        <v>2035</v>
      </c>
      <c r="AO55" s="51">
        <f t="shared" si="40"/>
        <v>2036</v>
      </c>
      <c r="AP55" s="51">
        <f t="shared" si="40"/>
        <v>2037</v>
      </c>
      <c r="AQ55" s="51">
        <f t="shared" si="40"/>
        <v>2038</v>
      </c>
      <c r="AR55" s="51">
        <f t="shared" si="40"/>
        <v>2039</v>
      </c>
      <c r="AS55" s="51">
        <f t="shared" si="40"/>
        <v>2040</v>
      </c>
      <c r="AT55" s="51">
        <f t="shared" si="40"/>
        <v>0</v>
      </c>
      <c r="AU55" s="51">
        <f t="shared" si="40"/>
        <v>0</v>
      </c>
      <c r="AV55" s="51">
        <f t="shared" si="40"/>
        <v>0</v>
      </c>
    </row>
    <row r="56" spans="1:48" s="423" customFormat="1" ht="15" customHeight="1" x14ac:dyDescent="0.3">
      <c r="A56" s="398"/>
      <c r="B56" s="398"/>
      <c r="C56" s="421"/>
      <c r="E56" s="51" t="s">
        <v>998</v>
      </c>
      <c r="G56" s="423" t="s">
        <v>34</v>
      </c>
      <c r="I56" s="5"/>
      <c r="K56" s="955">
        <v>5.2762301587301573E-2</v>
      </c>
      <c r="L56" s="955">
        <v>5.2522924901185729E-2</v>
      </c>
      <c r="M56" s="955">
        <v>3.0601574803149633E-2</v>
      </c>
      <c r="N56" s="955">
        <v>1.1142292490118577E-2</v>
      </c>
      <c r="O56" s="955">
        <v>5.1861660079051321E-3</v>
      </c>
      <c r="P56" s="955">
        <v>5.0713147410358563E-3</v>
      </c>
      <c r="Q56" s="955">
        <v>6.8694444444444367E-3</v>
      </c>
      <c r="R56" s="955">
        <v>4.0881422924901149E-3</v>
      </c>
      <c r="S56" s="955">
        <v>3.2919249011857648E-3</v>
      </c>
      <c r="T56" s="955">
        <v>4.8515256916996045E-3</v>
      </c>
      <c r="U56" s="955">
        <v>1.0590186507936503E-2</v>
      </c>
      <c r="V56" s="955">
        <v>1.4752334661354583E-2</v>
      </c>
      <c r="W56" s="955">
        <v>2.4859274900398399E-2</v>
      </c>
      <c r="X56" s="955">
        <v>2.3175798418972337E-2</v>
      </c>
      <c r="Y56" s="955">
        <v>8.9388713450292371E-3</v>
      </c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</row>
    <row r="57" spans="1:48" s="423" customFormat="1" ht="15" customHeight="1" x14ac:dyDescent="0.3">
      <c r="A57" s="398"/>
      <c r="B57" s="398"/>
      <c r="C57" s="421"/>
      <c r="E57" s="51" t="s">
        <v>999</v>
      </c>
      <c r="G57" s="423" t="s">
        <v>34</v>
      </c>
      <c r="I57" s="5"/>
      <c r="Z57" s="955">
        <v>4.7694199999999984E-4</v>
      </c>
      <c r="AA57" s="955">
        <v>8.1812538152610682E-3</v>
      </c>
      <c r="AB57" s="955">
        <v>4.5826553413654623E-2</v>
      </c>
      <c r="AC57" s="955">
        <v>5.3465279199999986E-2</v>
      </c>
      <c r="AD57" s="955">
        <v>4.6147064102564105E-2</v>
      </c>
    </row>
    <row r="58" spans="1:48" s="423" customFormat="1" ht="15" customHeight="1" x14ac:dyDescent="0.3">
      <c r="A58" s="398"/>
      <c r="B58" s="398"/>
      <c r="C58" s="421"/>
      <c r="E58" s="51" t="s">
        <v>1000</v>
      </c>
      <c r="G58" s="423" t="s">
        <v>34</v>
      </c>
      <c r="I58" s="5"/>
      <c r="K58" s="878">
        <f xml:space="preserve"> K56 + K57</f>
        <v>5.2762301587301573E-2</v>
      </c>
      <c r="L58" s="878">
        <f xml:space="preserve"> L56 + L57</f>
        <v>5.2522924901185729E-2</v>
      </c>
      <c r="M58" s="878">
        <f t="shared" ref="M58:AD58" si="41" xml:space="preserve"> M56 + M57</f>
        <v>3.0601574803149633E-2</v>
      </c>
      <c r="N58" s="878">
        <f t="shared" si="41"/>
        <v>1.1142292490118577E-2</v>
      </c>
      <c r="O58" s="878">
        <f t="shared" si="41"/>
        <v>5.1861660079051321E-3</v>
      </c>
      <c r="P58" s="878">
        <f t="shared" si="41"/>
        <v>5.0713147410358563E-3</v>
      </c>
      <c r="Q58" s="878">
        <f t="shared" si="41"/>
        <v>6.8694444444444367E-3</v>
      </c>
      <c r="R58" s="878">
        <f t="shared" si="41"/>
        <v>4.0881422924901149E-3</v>
      </c>
      <c r="S58" s="878">
        <f t="shared" si="41"/>
        <v>3.2919249011857648E-3</v>
      </c>
      <c r="T58" s="878">
        <f t="shared" si="41"/>
        <v>4.8515256916996045E-3</v>
      </c>
      <c r="U58" s="878">
        <f t="shared" si="41"/>
        <v>1.0590186507936503E-2</v>
      </c>
      <c r="V58" s="878">
        <f t="shared" si="41"/>
        <v>1.4752334661354583E-2</v>
      </c>
      <c r="W58" s="878">
        <f t="shared" si="41"/>
        <v>2.4859274900398399E-2</v>
      </c>
      <c r="X58" s="878">
        <f t="shared" si="41"/>
        <v>2.3175798418972337E-2</v>
      </c>
      <c r="Y58" s="878">
        <f t="shared" si="41"/>
        <v>8.9388713450292371E-3</v>
      </c>
      <c r="Z58" s="878">
        <f t="shared" si="41"/>
        <v>4.7694199999999984E-4</v>
      </c>
      <c r="AA58" s="878">
        <f t="shared" si="41"/>
        <v>8.1812538152610682E-3</v>
      </c>
      <c r="AB58" s="878">
        <f t="shared" si="41"/>
        <v>4.5826553413654623E-2</v>
      </c>
      <c r="AC58" s="878">
        <f t="shared" si="41"/>
        <v>5.3465279199999986E-2</v>
      </c>
      <c r="AD58" s="878">
        <f t="shared" si="41"/>
        <v>4.6147064102564105E-2</v>
      </c>
      <c r="AE58" s="878"/>
      <c r="AF58" s="878"/>
      <c r="AG58" s="878"/>
      <c r="AH58" s="878"/>
      <c r="AI58" s="878"/>
      <c r="AJ58" s="878"/>
      <c r="AK58" s="878"/>
      <c r="AL58" s="878"/>
      <c r="AM58" s="878"/>
      <c r="AN58" s="878"/>
      <c r="AO58" s="878"/>
      <c r="AP58" s="878"/>
      <c r="AQ58" s="878"/>
      <c r="AR58" s="878"/>
      <c r="AS58" s="878"/>
      <c r="AT58" s="878"/>
      <c r="AU58" s="878"/>
      <c r="AV58" s="878"/>
    </row>
    <row r="59" spans="1:48" s="423" customFormat="1" ht="15" customHeight="1" x14ac:dyDescent="0.3">
      <c r="A59" s="398"/>
      <c r="B59" s="398"/>
      <c r="C59" s="421"/>
      <c r="E59" s="51"/>
      <c r="I59" s="5"/>
      <c r="K59" s="878"/>
      <c r="L59" s="878"/>
      <c r="M59" s="878"/>
      <c r="N59" s="878"/>
      <c r="O59" s="878"/>
      <c r="P59" s="878"/>
      <c r="Q59" s="878"/>
      <c r="R59" s="878"/>
      <c r="S59" s="878"/>
      <c r="T59" s="878"/>
      <c r="U59" s="878"/>
      <c r="V59" s="878"/>
      <c r="W59" s="878"/>
      <c r="X59" s="878"/>
      <c r="Y59" s="878"/>
      <c r="Z59" s="878"/>
      <c r="AA59" s="878"/>
      <c r="AB59" s="878"/>
      <c r="AC59" s="878"/>
      <c r="AD59" s="878"/>
      <c r="AE59" s="878"/>
      <c r="AF59" s="878"/>
      <c r="AG59" s="878"/>
      <c r="AH59" s="878"/>
      <c r="AI59" s="878"/>
      <c r="AJ59" s="878"/>
      <c r="AK59" s="878"/>
      <c r="AL59" s="878"/>
      <c r="AM59" s="878"/>
      <c r="AN59" s="878"/>
      <c r="AO59" s="878"/>
      <c r="AP59" s="878"/>
      <c r="AQ59" s="878"/>
      <c r="AR59" s="878"/>
      <c r="AS59" s="878"/>
      <c r="AT59" s="878"/>
      <c r="AU59" s="878"/>
      <c r="AV59" s="878"/>
    </row>
    <row r="60" spans="1:48" s="423" customFormat="1" ht="15" customHeight="1" x14ac:dyDescent="0.3">
      <c r="A60" s="398"/>
      <c r="B60" s="398"/>
      <c r="C60" s="421"/>
      <c r="E60" s="51"/>
      <c r="I60" s="5"/>
      <c r="K60" s="878"/>
      <c r="L60" s="878"/>
      <c r="M60" s="878"/>
      <c r="N60" s="878"/>
      <c r="O60" s="878"/>
      <c r="P60" s="878"/>
      <c r="Q60" s="878"/>
      <c r="R60" s="878"/>
      <c r="S60" s="878"/>
      <c r="T60" s="878"/>
      <c r="U60" s="878"/>
      <c r="V60" s="878"/>
      <c r="W60" s="878"/>
      <c r="X60" s="878"/>
      <c r="Y60" s="878"/>
      <c r="Z60" s="878"/>
      <c r="AA60" s="878"/>
      <c r="AB60" s="878"/>
      <c r="AC60" s="878"/>
      <c r="AD60" s="878"/>
      <c r="AE60" s="878"/>
      <c r="AF60" s="878"/>
      <c r="AG60" s="878"/>
      <c r="AH60" s="878"/>
      <c r="AI60" s="878"/>
      <c r="AJ60" s="878"/>
      <c r="AK60" s="878"/>
      <c r="AL60" s="878"/>
      <c r="AM60" s="878"/>
      <c r="AN60" s="878"/>
      <c r="AO60" s="878"/>
      <c r="AP60" s="878"/>
      <c r="AQ60" s="878"/>
      <c r="AR60" s="878"/>
      <c r="AS60" s="878"/>
      <c r="AT60" s="878"/>
      <c r="AU60" s="878"/>
      <c r="AV60" s="878"/>
    </row>
    <row r="61" spans="1:48" s="423" customFormat="1" ht="15" customHeight="1" x14ac:dyDescent="0.3">
      <c r="A61" s="398"/>
      <c r="B61" s="398"/>
      <c r="C61" s="421"/>
      <c r="E61" s="878" t="str">
        <f t="shared" ref="E61:AV61" si="42" xml:space="preserve"> E$29</f>
        <v>USD CPI Inflation</v>
      </c>
      <c r="F61" s="878">
        <f t="shared" si="42"/>
        <v>0</v>
      </c>
      <c r="G61" s="878" t="str">
        <f t="shared" si="42"/>
        <v>Index</v>
      </c>
      <c r="H61" s="878">
        <f t="shared" si="42"/>
        <v>0</v>
      </c>
      <c r="I61" s="878">
        <f t="shared" si="42"/>
        <v>0</v>
      </c>
      <c r="J61" s="878">
        <f t="shared" si="42"/>
        <v>0</v>
      </c>
      <c r="K61" s="878">
        <f xml:space="preserve"> K$31</f>
        <v>0.02</v>
      </c>
      <c r="L61" s="878">
        <f t="shared" ref="L61:AS61" si="43" xml:space="preserve"> L$31</f>
        <v>2.8706377320671939E-2</v>
      </c>
      <c r="M61" s="878">
        <f t="shared" si="43"/>
        <v>3.81491627440389E-2</v>
      </c>
      <c r="N61" s="878">
        <f t="shared" si="43"/>
        <v>-3.2008696702500172E-3</v>
      </c>
      <c r="O61" s="878">
        <f t="shared" si="43"/>
        <v>1.6363339780486097E-2</v>
      </c>
      <c r="P61" s="878">
        <f t="shared" si="43"/>
        <v>3.1397311029182529E-2</v>
      </c>
      <c r="Q61" s="878">
        <f t="shared" si="43"/>
        <v>2.0731539237872632E-2</v>
      </c>
      <c r="R61" s="878">
        <f t="shared" si="43"/>
        <v>1.4661172719590887E-2</v>
      </c>
      <c r="S61" s="878">
        <f t="shared" si="43"/>
        <v>1.6153542360658024E-2</v>
      </c>
      <c r="T61" s="878">
        <f t="shared" si="43"/>
        <v>1.2124284477113001E-3</v>
      </c>
      <c r="U61" s="878">
        <f t="shared" si="43"/>
        <v>1.2670779149543066E-2</v>
      </c>
      <c r="V61" s="878">
        <f t="shared" si="43"/>
        <v>2.1316222578696253E-2</v>
      </c>
      <c r="W61" s="878">
        <f t="shared" si="43"/>
        <v>2.4392034954165531E-2</v>
      </c>
      <c r="X61" s="878">
        <f t="shared" si="43"/>
        <v>1.8132218239745201E-2</v>
      </c>
      <c r="Y61" s="878">
        <f t="shared" si="43"/>
        <v>1.2528701012700871E-2</v>
      </c>
      <c r="Z61" s="878">
        <f t="shared" si="43"/>
        <v>4.679049355626308E-2</v>
      </c>
      <c r="AA61" s="878">
        <f t="shared" si="43"/>
        <v>7.9924566738507785E-2</v>
      </c>
      <c r="AB61" s="878">
        <f t="shared" si="43"/>
        <v>4.1278086287911187E-2</v>
      </c>
      <c r="AC61" s="878">
        <f t="shared" si="43"/>
        <v>2.9517170762444866E-2</v>
      </c>
      <c r="AD61" s="878">
        <f t="shared" si="43"/>
        <v>2.9875867872922512E-2</v>
      </c>
      <c r="AE61" s="878">
        <f t="shared" si="43"/>
        <v>2.4654099730708534E-2</v>
      </c>
      <c r="AF61" s="878">
        <f t="shared" si="43"/>
        <v>2.110350869243427E-2</v>
      </c>
      <c r="AG61" s="878">
        <f t="shared" si="43"/>
        <v>2.1554873809615405E-2</v>
      </c>
      <c r="AH61" s="878">
        <f t="shared" si="43"/>
        <v>2.1690843220670386E-2</v>
      </c>
      <c r="AI61" s="878">
        <f t="shared" si="43"/>
        <v>2.1749051154063004E-2</v>
      </c>
      <c r="AJ61" s="878">
        <f t="shared" si="43"/>
        <v>2.0000000000000018E-2</v>
      </c>
      <c r="AK61" s="878">
        <f t="shared" si="43"/>
        <v>2.0000000000000018E-2</v>
      </c>
      <c r="AL61" s="878">
        <f t="shared" si="43"/>
        <v>2.0000000000000018E-2</v>
      </c>
      <c r="AM61" s="878">
        <f t="shared" si="43"/>
        <v>2.0000000000000018E-2</v>
      </c>
      <c r="AN61" s="878">
        <f t="shared" si="43"/>
        <v>2.0000000000000018E-2</v>
      </c>
      <c r="AO61" s="878">
        <f t="shared" si="43"/>
        <v>2.0000000000000018E-2</v>
      </c>
      <c r="AP61" s="878">
        <f t="shared" si="43"/>
        <v>2.0000000000000018E-2</v>
      </c>
      <c r="AQ61" s="878">
        <f t="shared" si="43"/>
        <v>2.0000000000000018E-2</v>
      </c>
      <c r="AR61" s="878">
        <f t="shared" si="43"/>
        <v>2.0000000000000018E-2</v>
      </c>
      <c r="AS61" s="878">
        <f t="shared" si="43"/>
        <v>2.0000000000000018E-2</v>
      </c>
      <c r="AT61" s="878" t="e">
        <f t="shared" si="42"/>
        <v>#N/A</v>
      </c>
      <c r="AU61" s="878" t="e">
        <f t="shared" si="42"/>
        <v>#N/A</v>
      </c>
      <c r="AV61" s="878" t="e">
        <f t="shared" si="42"/>
        <v>#N/A</v>
      </c>
    </row>
    <row r="62" spans="1:48" s="423" customFormat="1" ht="15" customHeight="1" x14ac:dyDescent="0.3">
      <c r="A62" s="398"/>
      <c r="B62" s="398"/>
      <c r="C62" s="421"/>
      <c r="E62" s="51" t="s">
        <v>1001</v>
      </c>
      <c r="G62" s="423" t="s">
        <v>34</v>
      </c>
      <c r="I62" s="5"/>
      <c r="K62" s="878">
        <f t="shared" ref="K62:AD62" si="44" xml:space="preserve"> ( 1 +K58) / ( 1 + K61) -1</f>
        <v>3.2119903516962367E-2</v>
      </c>
      <c r="L62" s="878">
        <f xml:space="preserve"> ( 1 +L58) / ( 1 + L61) -1</f>
        <v>2.3151939275953159E-2</v>
      </c>
      <c r="M62" s="878">
        <f t="shared" si="44"/>
        <v>-7.2702345787569733E-3</v>
      </c>
      <c r="N62" s="878">
        <f t="shared" si="44"/>
        <v>1.4389220178817608E-2</v>
      </c>
      <c r="O62" s="878">
        <f t="shared" si="44"/>
        <v>-1.0997222484426694E-2</v>
      </c>
      <c r="P62" s="878">
        <f t="shared" si="44"/>
        <v>-2.5524592711878569E-2</v>
      </c>
      <c r="Q62" s="878">
        <f t="shared" si="44"/>
        <v>-1.3580549106749773E-2</v>
      </c>
      <c r="R62" s="878">
        <f t="shared" si="44"/>
        <v>-1.04202572359815E-2</v>
      </c>
      <c r="S62" s="878">
        <f t="shared" si="44"/>
        <v>-1.26571594973659E-2</v>
      </c>
      <c r="T62" s="878">
        <f t="shared" si="44"/>
        <v>3.6346904418980142E-3</v>
      </c>
      <c r="U62" s="878">
        <f t="shared" si="44"/>
        <v>-2.0545597685299732E-3</v>
      </c>
      <c r="V62" s="878">
        <f t="shared" si="44"/>
        <v>-6.4268908808368108E-3</v>
      </c>
      <c r="W62" s="878">
        <f t="shared" si="44"/>
        <v>4.5611438813430993E-4</v>
      </c>
      <c r="X62" s="878">
        <f t="shared" si="44"/>
        <v>4.9537575659348576E-3</v>
      </c>
      <c r="Y62" s="878">
        <f t="shared" si="44"/>
        <v>-3.5454102822777278E-3</v>
      </c>
      <c r="Z62" s="878">
        <f t="shared" si="44"/>
        <v>-4.4243381881432731E-2</v>
      </c>
      <c r="AA62" s="878">
        <f t="shared" si="44"/>
        <v>-6.6433633545275761E-2</v>
      </c>
      <c r="AB62" s="878">
        <f t="shared" si="44"/>
        <v>4.3681579259564618E-3</v>
      </c>
      <c r="AC62" s="878">
        <f t="shared" si="44"/>
        <v>2.3261494919817105E-2</v>
      </c>
      <c r="AD62" s="878">
        <f t="shared" si="44"/>
        <v>1.5799181956994257E-2</v>
      </c>
      <c r="AE62" s="878"/>
      <c r="AF62" s="878"/>
      <c r="AG62" s="878"/>
      <c r="AH62" s="878"/>
      <c r="AI62" s="878"/>
      <c r="AJ62" s="878"/>
      <c r="AK62" s="878"/>
      <c r="AL62" s="878"/>
      <c r="AM62" s="878"/>
      <c r="AN62" s="878"/>
      <c r="AO62" s="878"/>
      <c r="AP62" s="878"/>
      <c r="AQ62" s="878"/>
      <c r="AR62" s="878"/>
      <c r="AS62" s="878"/>
      <c r="AT62" s="878"/>
      <c r="AU62" s="878"/>
      <c r="AV62" s="878"/>
    </row>
    <row r="63" spans="1:48" s="423" customFormat="1" ht="15" customHeight="1" x14ac:dyDescent="0.3">
      <c r="A63" s="398"/>
      <c r="B63" s="398"/>
      <c r="C63" s="421"/>
      <c r="E63" s="51"/>
      <c r="I63" s="5"/>
      <c r="Z63"/>
      <c r="AA63"/>
      <c r="AB63"/>
      <c r="AC63"/>
      <c r="AD63"/>
    </row>
    <row r="64" spans="1:48" s="423" customFormat="1" ht="15" customHeight="1" x14ac:dyDescent="0.3">
      <c r="A64" s="398"/>
      <c r="B64" s="398"/>
      <c r="C64" s="421"/>
      <c r="E64" s="1009" t="str">
        <f xml:space="preserve"> Inputs_Con!E$23</f>
        <v>Real SOFR forecast</v>
      </c>
      <c r="F64" s="1009">
        <f xml:space="preserve"> Inputs_Con!F$23</f>
        <v>1.4999999999999999E-2</v>
      </c>
      <c r="G64" s="1009" t="str">
        <f xml:space="preserve"> Inputs_Con!G$23</f>
        <v>%</v>
      </c>
      <c r="I64" s="5"/>
    </row>
    <row r="65" spans="1:48" s="423" customFormat="1" ht="15" customHeight="1" x14ac:dyDescent="0.3">
      <c r="A65" s="398"/>
      <c r="B65" s="398"/>
      <c r="C65" s="421"/>
      <c r="E65" s="51" t="s">
        <v>1002</v>
      </c>
      <c r="G65" s="423" t="s">
        <v>34</v>
      </c>
      <c r="I65" s="5"/>
      <c r="K65" s="1000">
        <f t="shared" ref="K65:AU65" si="45" xml:space="preserve"> IF( K58 &lt;&gt; 0, 0, ( 1 + K61) * ( 1 + $F64) - 1)</f>
        <v>0</v>
      </c>
      <c r="L65" s="1000">
        <f t="shared" si="45"/>
        <v>0</v>
      </c>
      <c r="M65" s="1000">
        <f t="shared" si="45"/>
        <v>0</v>
      </c>
      <c r="N65" s="1000">
        <f t="shared" si="45"/>
        <v>0</v>
      </c>
      <c r="O65" s="1000">
        <f t="shared" si="45"/>
        <v>0</v>
      </c>
      <c r="P65" s="1000">
        <f t="shared" si="45"/>
        <v>0</v>
      </c>
      <c r="Q65" s="1000">
        <f t="shared" si="45"/>
        <v>0</v>
      </c>
      <c r="R65" s="1000">
        <f t="shared" si="45"/>
        <v>0</v>
      </c>
      <c r="S65" s="1000">
        <f t="shared" si="45"/>
        <v>0</v>
      </c>
      <c r="T65" s="1000">
        <f t="shared" si="45"/>
        <v>0</v>
      </c>
      <c r="U65" s="1000">
        <f t="shared" si="45"/>
        <v>0</v>
      </c>
      <c r="V65" s="1000">
        <f t="shared" si="45"/>
        <v>0</v>
      </c>
      <c r="W65" s="1000">
        <f t="shared" si="45"/>
        <v>0</v>
      </c>
      <c r="X65" s="1000">
        <f t="shared" si="45"/>
        <v>0</v>
      </c>
      <c r="Y65" s="1000">
        <f t="shared" si="45"/>
        <v>0</v>
      </c>
      <c r="Z65" s="1000">
        <f t="shared" si="45"/>
        <v>0</v>
      </c>
      <c r="AA65" s="1000">
        <f t="shared" si="45"/>
        <v>0</v>
      </c>
      <c r="AB65" s="1000">
        <f t="shared" si="45"/>
        <v>0</v>
      </c>
      <c r="AC65" s="1000">
        <f t="shared" si="45"/>
        <v>0</v>
      </c>
      <c r="AD65" s="1000">
        <f t="shared" si="45"/>
        <v>0</v>
      </c>
      <c r="AE65" s="1000">
        <f t="shared" si="45"/>
        <v>4.0023911226669151E-2</v>
      </c>
      <c r="AF65" s="1000">
        <f t="shared" si="45"/>
        <v>3.6420061322820718E-2</v>
      </c>
      <c r="AG65" s="1000">
        <f t="shared" si="45"/>
        <v>3.6878196916759531E-2</v>
      </c>
      <c r="AH65" s="1000">
        <f t="shared" si="45"/>
        <v>3.7016205868980245E-2</v>
      </c>
      <c r="AI65" s="1000">
        <f t="shared" si="45"/>
        <v>3.707528692137374E-2</v>
      </c>
      <c r="AJ65" s="1000">
        <f t="shared" si="45"/>
        <v>3.5299999999999887E-2</v>
      </c>
      <c r="AK65" s="1000">
        <f t="shared" si="45"/>
        <v>3.5299999999999887E-2</v>
      </c>
      <c r="AL65" s="1000">
        <f t="shared" si="45"/>
        <v>3.5299999999999887E-2</v>
      </c>
      <c r="AM65" s="1000">
        <f t="shared" si="45"/>
        <v>3.5299999999999887E-2</v>
      </c>
      <c r="AN65" s="1000">
        <f t="shared" si="45"/>
        <v>3.5299999999999887E-2</v>
      </c>
      <c r="AO65" s="1000">
        <f t="shared" si="45"/>
        <v>3.5299999999999887E-2</v>
      </c>
      <c r="AP65" s="1000">
        <f t="shared" si="45"/>
        <v>3.5299999999999887E-2</v>
      </c>
      <c r="AQ65" s="1000">
        <f t="shared" si="45"/>
        <v>3.5299999999999887E-2</v>
      </c>
      <c r="AR65" s="1000">
        <f t="shared" si="45"/>
        <v>3.5299999999999887E-2</v>
      </c>
      <c r="AS65" s="1000">
        <f t="shared" si="45"/>
        <v>3.5299999999999887E-2</v>
      </c>
      <c r="AT65" s="1000" t="e">
        <f t="shared" si="45"/>
        <v>#N/A</v>
      </c>
      <c r="AU65" s="1000" t="e">
        <f t="shared" si="45"/>
        <v>#N/A</v>
      </c>
      <c r="AV65" s="1000" t="e">
        <f t="shared" ref="AV65" si="46" xml:space="preserve"> IF( AV58 &lt;&gt; 0, 0, ( 1 + AV61) * ( 1 + $F64) - 1)</f>
        <v>#N/A</v>
      </c>
    </row>
    <row r="66" spans="1:48" s="423" customFormat="1" ht="15" customHeight="1" x14ac:dyDescent="0.3">
      <c r="A66" s="398"/>
      <c r="B66" s="398"/>
      <c r="C66" s="421"/>
      <c r="E66" s="51"/>
      <c r="I66" s="5"/>
    </row>
    <row r="67" spans="1:48" s="430" customFormat="1" ht="15" customHeight="1" x14ac:dyDescent="0.3">
      <c r="A67" s="428"/>
      <c r="B67" s="428"/>
      <c r="C67" s="429"/>
      <c r="E67" s="987" t="s">
        <v>1003</v>
      </c>
      <c r="G67" s="430" t="s">
        <v>34</v>
      </c>
      <c r="I67" s="431"/>
      <c r="K67" s="1010">
        <f t="shared" ref="K67:AU67" si="47" xml:space="preserve"> IF( K58 &lt;&gt; 0, K58, K65)</f>
        <v>5.2762301587301573E-2</v>
      </c>
      <c r="L67" s="1010">
        <f t="shared" si="47"/>
        <v>5.2522924901185729E-2</v>
      </c>
      <c r="M67" s="1010">
        <f t="shared" si="47"/>
        <v>3.0601574803149633E-2</v>
      </c>
      <c r="N67" s="1010">
        <f t="shared" si="47"/>
        <v>1.1142292490118577E-2</v>
      </c>
      <c r="O67" s="1010">
        <f t="shared" si="47"/>
        <v>5.1861660079051321E-3</v>
      </c>
      <c r="P67" s="1010">
        <f t="shared" si="47"/>
        <v>5.0713147410358563E-3</v>
      </c>
      <c r="Q67" s="1010">
        <f t="shared" si="47"/>
        <v>6.8694444444444367E-3</v>
      </c>
      <c r="R67" s="1010">
        <f t="shared" si="47"/>
        <v>4.0881422924901149E-3</v>
      </c>
      <c r="S67" s="1010">
        <f t="shared" si="47"/>
        <v>3.2919249011857648E-3</v>
      </c>
      <c r="T67" s="1010">
        <f t="shared" si="47"/>
        <v>4.8515256916996045E-3</v>
      </c>
      <c r="U67" s="1010">
        <f t="shared" si="47"/>
        <v>1.0590186507936503E-2</v>
      </c>
      <c r="V67" s="1010">
        <f t="shared" si="47"/>
        <v>1.4752334661354583E-2</v>
      </c>
      <c r="W67" s="1010">
        <f t="shared" si="47"/>
        <v>2.4859274900398399E-2</v>
      </c>
      <c r="X67" s="1010">
        <f t="shared" si="47"/>
        <v>2.3175798418972337E-2</v>
      </c>
      <c r="Y67" s="1010">
        <f t="shared" si="47"/>
        <v>8.9388713450292371E-3</v>
      </c>
      <c r="Z67" s="1010">
        <f t="shared" si="47"/>
        <v>4.7694199999999984E-4</v>
      </c>
      <c r="AA67" s="1010">
        <f t="shared" si="47"/>
        <v>8.1812538152610682E-3</v>
      </c>
      <c r="AB67" s="1010">
        <f t="shared" si="47"/>
        <v>4.5826553413654623E-2</v>
      </c>
      <c r="AC67" s="1010">
        <f t="shared" si="47"/>
        <v>5.3465279199999986E-2</v>
      </c>
      <c r="AD67" s="1010">
        <f t="shared" si="47"/>
        <v>4.6147064102564105E-2</v>
      </c>
      <c r="AE67" s="1010">
        <f t="shared" si="47"/>
        <v>4.0023911226669151E-2</v>
      </c>
      <c r="AF67" s="1010">
        <f t="shared" si="47"/>
        <v>3.6420061322820718E-2</v>
      </c>
      <c r="AG67" s="1010">
        <f t="shared" si="47"/>
        <v>3.6878196916759531E-2</v>
      </c>
      <c r="AH67" s="1010">
        <f t="shared" si="47"/>
        <v>3.7016205868980245E-2</v>
      </c>
      <c r="AI67" s="1010">
        <f t="shared" si="47"/>
        <v>3.707528692137374E-2</v>
      </c>
      <c r="AJ67" s="1010">
        <f t="shared" si="47"/>
        <v>3.5299999999999887E-2</v>
      </c>
      <c r="AK67" s="1010">
        <f t="shared" si="47"/>
        <v>3.5299999999999887E-2</v>
      </c>
      <c r="AL67" s="1010">
        <f t="shared" si="47"/>
        <v>3.5299999999999887E-2</v>
      </c>
      <c r="AM67" s="1010">
        <f t="shared" si="47"/>
        <v>3.5299999999999887E-2</v>
      </c>
      <c r="AN67" s="1010">
        <f t="shared" si="47"/>
        <v>3.5299999999999887E-2</v>
      </c>
      <c r="AO67" s="1010">
        <f t="shared" si="47"/>
        <v>3.5299999999999887E-2</v>
      </c>
      <c r="AP67" s="1010">
        <f t="shared" si="47"/>
        <v>3.5299999999999887E-2</v>
      </c>
      <c r="AQ67" s="1010">
        <f t="shared" si="47"/>
        <v>3.5299999999999887E-2</v>
      </c>
      <c r="AR67" s="1010">
        <f t="shared" si="47"/>
        <v>3.5299999999999887E-2</v>
      </c>
      <c r="AS67" s="1010">
        <f t="shared" si="47"/>
        <v>3.5299999999999887E-2</v>
      </c>
      <c r="AT67" s="1010" t="e">
        <f t="shared" si="47"/>
        <v>#N/A</v>
      </c>
      <c r="AU67" s="1010" t="e">
        <f t="shared" si="47"/>
        <v>#N/A</v>
      </c>
      <c r="AV67" s="1010" t="e">
        <f t="shared" ref="AV67" si="48" xml:space="preserve"> IF( AV58 &lt;&gt; 0, AV58, AV65)</f>
        <v>#N/A</v>
      </c>
    </row>
    <row r="68" spans="1:48" ht="15" customHeight="1" x14ac:dyDescent="0.3"/>
    <row r="69" spans="1:48" s="402" customFormat="1" ht="15" customHeight="1" x14ac:dyDescent="0.3">
      <c r="A69" s="400" t="s">
        <v>490</v>
      </c>
      <c r="B69" s="400"/>
      <c r="C69" s="401"/>
      <c r="E69" s="1001"/>
      <c r="I69" s="403"/>
    </row>
    <row r="70" spans="1:48" ht="15" customHeight="1" x14ac:dyDescent="0.3"/>
    <row r="71" spans="1:48" ht="15" customHeight="1" x14ac:dyDescent="0.3"/>
    <row r="72" spans="1:48" ht="15" customHeight="1" x14ac:dyDescent="0.3"/>
    <row r="73" spans="1:48" ht="15" customHeight="1" x14ac:dyDescent="0.3"/>
    <row r="74" spans="1:48" ht="15" customHeight="1" x14ac:dyDescent="0.3"/>
    <row r="75" spans="1:48" ht="15" customHeight="1" x14ac:dyDescent="0.3"/>
    <row r="76" spans="1:48" ht="15" customHeight="1" x14ac:dyDescent="0.3"/>
    <row r="77" spans="1:48" ht="15" customHeight="1" x14ac:dyDescent="0.3"/>
    <row r="78" spans="1:48" ht="15" customHeight="1" x14ac:dyDescent="0.3"/>
    <row r="79" spans="1:48" ht="15" customHeight="1" x14ac:dyDescent="0.3"/>
    <row r="80" spans="1:48" ht="15" customHeight="1" x14ac:dyDescent="0.3"/>
    <row r="81" ht="15" customHeight="1" x14ac:dyDescent="0.3"/>
    <row r="82" ht="15" customHeight="1" x14ac:dyDescent="0.3"/>
    <row r="83" ht="15" customHeight="1" x14ac:dyDescent="0.3"/>
    <row r="84" ht="15" customHeight="1" x14ac:dyDescent="0.3"/>
    <row r="85" ht="15" customHeight="1" x14ac:dyDescent="0.3"/>
    <row r="86" ht="15" customHeight="1" x14ac:dyDescent="0.3"/>
    <row r="87" ht="15" customHeight="1" x14ac:dyDescent="0.3"/>
    <row r="88" ht="15" customHeight="1" x14ac:dyDescent="0.3"/>
    <row r="89" ht="15" customHeight="1" x14ac:dyDescent="0.3"/>
    <row r="90" ht="15" customHeight="1" x14ac:dyDescent="0.3"/>
    <row r="91" ht="15" customHeight="1" x14ac:dyDescent="0.3"/>
    <row r="92" ht="15" customHeight="1" x14ac:dyDescent="0.3"/>
    <row r="93" ht="15" customHeight="1" x14ac:dyDescent="0.3"/>
    <row r="94" ht="15" customHeight="1" x14ac:dyDescent="0.3"/>
    <row r="95" ht="15" customHeight="1" x14ac:dyDescent="0.3"/>
    <row r="96" ht="15" customHeight="1" x14ac:dyDescent="0.3"/>
    <row r="97" ht="15" customHeight="1" x14ac:dyDescent="0.3"/>
    <row r="98" ht="15" customHeight="1" x14ac:dyDescent="0.3"/>
    <row r="99" ht="15" customHeight="1" x14ac:dyDescent="0.3"/>
    <row r="100" ht="15" customHeight="1" x14ac:dyDescent="0.3"/>
    <row r="101" ht="15" customHeight="1" x14ac:dyDescent="0.3"/>
    <row r="102" ht="15" customHeight="1" x14ac:dyDescent="0.3"/>
    <row r="103" ht="15" customHeight="1" x14ac:dyDescent="0.3"/>
    <row r="104" ht="15" customHeight="1" x14ac:dyDescent="0.3"/>
    <row r="105" ht="15" customHeight="1" x14ac:dyDescent="0.3"/>
    <row r="106" ht="15" customHeight="1" x14ac:dyDescent="0.3"/>
    <row r="107" ht="15" customHeight="1" x14ac:dyDescent="0.3"/>
    <row r="108" ht="15" customHeight="1" x14ac:dyDescent="0.3"/>
    <row r="109" ht="15" customHeight="1" x14ac:dyDescent="0.3"/>
    <row r="110" ht="15" customHeight="1" x14ac:dyDescent="0.3"/>
    <row r="111" ht="15" customHeight="1" x14ac:dyDescent="0.3"/>
    <row r="112" ht="15" customHeight="1" x14ac:dyDescent="0.3"/>
    <row r="113" ht="15" customHeight="1" x14ac:dyDescent="0.3"/>
    <row r="114" ht="15" customHeight="1" x14ac:dyDescent="0.3"/>
    <row r="115" ht="15" customHeight="1" x14ac:dyDescent="0.3"/>
    <row r="116" ht="15" customHeight="1" x14ac:dyDescent="0.3"/>
    <row r="117" ht="15" customHeight="1" x14ac:dyDescent="0.3"/>
    <row r="118" ht="15" customHeight="1" x14ac:dyDescent="0.3"/>
    <row r="119" ht="15" customHeight="1" x14ac:dyDescent="0.3"/>
    <row r="120" ht="15" customHeight="1" x14ac:dyDescent="0.3"/>
    <row r="121" ht="15" customHeight="1" x14ac:dyDescent="0.3"/>
    <row r="122" ht="15" customHeight="1" x14ac:dyDescent="0.3"/>
    <row r="123" ht="15" customHeight="1" x14ac:dyDescent="0.3"/>
    <row r="124" ht="15" customHeight="1" x14ac:dyDescent="0.3"/>
    <row r="125" ht="15" customHeight="1" x14ac:dyDescent="0.3"/>
    <row r="126" ht="15" customHeight="1" x14ac:dyDescent="0.3"/>
    <row r="127" ht="15" customHeight="1" x14ac:dyDescent="0.3"/>
    <row r="128" ht="15" customHeight="1" x14ac:dyDescent="0.3"/>
    <row r="129" ht="15" customHeight="1" x14ac:dyDescent="0.3"/>
    <row r="130" ht="15" customHeight="1" x14ac:dyDescent="0.3"/>
    <row r="131" ht="15" customHeight="1" x14ac:dyDescent="0.3"/>
    <row r="132" ht="15" customHeight="1" x14ac:dyDescent="0.3"/>
    <row r="133" ht="15" customHeight="1" x14ac:dyDescent="0.3"/>
    <row r="134" ht="15" customHeight="1" x14ac:dyDescent="0.3"/>
    <row r="135" ht="15" customHeight="1" x14ac:dyDescent="0.3"/>
    <row r="136" ht="15" customHeight="1" x14ac:dyDescent="0.3"/>
    <row r="137" ht="15" customHeight="1" x14ac:dyDescent="0.3"/>
    <row r="138" ht="15" customHeight="1" x14ac:dyDescent="0.3"/>
    <row r="139" ht="15" customHeight="1" x14ac:dyDescent="0.3"/>
    <row r="140" ht="15" customHeight="1" x14ac:dyDescent="0.3"/>
    <row r="141" ht="15" customHeight="1" x14ac:dyDescent="0.3"/>
    <row r="142" ht="15" customHeight="1" x14ac:dyDescent="0.3"/>
    <row r="143" ht="15" customHeight="1" x14ac:dyDescent="0.3"/>
    <row r="144" ht="15" customHeight="1" x14ac:dyDescent="0.3"/>
    <row r="145" ht="15" customHeight="1" x14ac:dyDescent="0.3"/>
    <row r="146" ht="15" customHeight="1" x14ac:dyDescent="0.3"/>
    <row r="147" ht="15" customHeight="1" x14ac:dyDescent="0.3"/>
    <row r="148" ht="15" customHeight="1" x14ac:dyDescent="0.3"/>
    <row r="149" ht="15" customHeight="1" x14ac:dyDescent="0.3"/>
    <row r="150" ht="15" customHeight="1" x14ac:dyDescent="0.3"/>
    <row r="151" ht="15" customHeight="1" x14ac:dyDescent="0.3"/>
    <row r="152" ht="15" customHeight="1" x14ac:dyDescent="0.3"/>
    <row r="153" ht="15" customHeight="1" x14ac:dyDescent="0.3"/>
    <row r="154" ht="15" customHeight="1" x14ac:dyDescent="0.3"/>
    <row r="155" ht="15" customHeight="1" x14ac:dyDescent="0.3"/>
    <row r="156" ht="15" customHeight="1" x14ac:dyDescent="0.3"/>
    <row r="157" ht="15" customHeight="1" x14ac:dyDescent="0.3"/>
    <row r="158" ht="15" customHeight="1" x14ac:dyDescent="0.3"/>
    <row r="159" ht="15" customHeight="1" collapsed="1" x14ac:dyDescent="0.3"/>
    <row r="160" ht="15" customHeight="1" x14ac:dyDescent="0.3"/>
    <row r="161" ht="15" customHeight="1" x14ac:dyDescent="0.3"/>
    <row r="162" ht="15" customHeight="1" x14ac:dyDescent="0.3"/>
    <row r="163" ht="15" customHeight="1" x14ac:dyDescent="0.3"/>
    <row r="165" ht="15" customHeight="1" x14ac:dyDescent="0.3"/>
    <row r="166" ht="15" customHeight="1" x14ac:dyDescent="0.3"/>
    <row r="167" ht="15" customHeight="1" x14ac:dyDescent="0.3"/>
    <row r="168" ht="15" customHeight="1" x14ac:dyDescent="0.3"/>
    <row r="169" ht="15" customHeight="1" x14ac:dyDescent="0.3"/>
    <row r="170" ht="15" customHeight="1" x14ac:dyDescent="0.3"/>
    <row r="171" ht="15" customHeight="1" x14ac:dyDescent="0.3"/>
    <row r="172" ht="15" customHeight="1" x14ac:dyDescent="0.3"/>
    <row r="173" ht="15" customHeight="1" x14ac:dyDescent="0.3"/>
    <row r="174" ht="15" customHeight="1" x14ac:dyDescent="0.3"/>
    <row r="175" ht="15" customHeight="1" x14ac:dyDescent="0.3"/>
    <row r="176" ht="15" customHeight="1" x14ac:dyDescent="0.3"/>
    <row r="177" ht="15" customHeight="1" x14ac:dyDescent="0.3"/>
    <row r="178" ht="15" customHeight="1" x14ac:dyDescent="0.3"/>
    <row r="179" ht="15" customHeight="1" x14ac:dyDescent="0.3"/>
    <row r="180" ht="15" customHeight="1" x14ac:dyDescent="0.3"/>
    <row r="181" ht="15" customHeight="1" x14ac:dyDescent="0.3"/>
    <row r="182" ht="15" customHeight="1" x14ac:dyDescent="0.3"/>
    <row r="183" ht="15" customHeight="1" x14ac:dyDescent="0.3"/>
    <row r="184" ht="15" customHeight="1" x14ac:dyDescent="0.3"/>
    <row r="185" ht="15" customHeight="1" x14ac:dyDescent="0.3"/>
    <row r="186" ht="15" customHeight="1" x14ac:dyDescent="0.3"/>
    <row r="187" ht="15" customHeight="1" x14ac:dyDescent="0.3"/>
    <row r="188" ht="15" customHeight="1" x14ac:dyDescent="0.3"/>
    <row r="189" ht="15" customHeight="1" x14ac:dyDescent="0.3"/>
    <row r="190" ht="15" customHeight="1" x14ac:dyDescent="0.3"/>
    <row r="191" ht="15" customHeight="1" x14ac:dyDescent="0.3"/>
    <row r="192" ht="15" customHeight="1" x14ac:dyDescent="0.3"/>
    <row r="193" ht="15" customHeight="1" x14ac:dyDescent="0.3"/>
    <row r="194" ht="15" customHeight="1" x14ac:dyDescent="0.3"/>
    <row r="195" ht="15" customHeight="1" x14ac:dyDescent="0.3"/>
    <row r="196" ht="15" customHeight="1" x14ac:dyDescent="0.3"/>
    <row r="197" ht="15" customHeight="1" x14ac:dyDescent="0.3"/>
    <row r="198" ht="15" customHeight="1" x14ac:dyDescent="0.3"/>
    <row r="199" ht="15" customHeight="1" x14ac:dyDescent="0.3"/>
    <row r="200" ht="15" customHeight="1" x14ac:dyDescent="0.3"/>
    <row r="201" ht="15" customHeight="1" x14ac:dyDescent="0.3"/>
    <row r="202" ht="15" customHeight="1" x14ac:dyDescent="0.3"/>
    <row r="203" ht="15" customHeight="1" x14ac:dyDescent="0.3"/>
    <row r="204" ht="15" customHeight="1" x14ac:dyDescent="0.3"/>
    <row r="205" ht="15" customHeight="1" x14ac:dyDescent="0.3"/>
    <row r="206" ht="15" customHeight="1" x14ac:dyDescent="0.3"/>
    <row r="207" ht="15" customHeight="1" x14ac:dyDescent="0.3"/>
    <row r="208" ht="15" customHeight="1" x14ac:dyDescent="0.3"/>
    <row r="209" ht="15" customHeight="1" x14ac:dyDescent="0.3"/>
    <row r="210" ht="15" customHeight="1" x14ac:dyDescent="0.3"/>
    <row r="211" ht="15" customHeight="1" x14ac:dyDescent="0.3"/>
    <row r="212" ht="15" customHeight="1" x14ac:dyDescent="0.3"/>
    <row r="213" ht="15" customHeight="1" x14ac:dyDescent="0.3"/>
    <row r="214" ht="15" customHeight="1" x14ac:dyDescent="0.3"/>
    <row r="215" ht="15" customHeight="1" x14ac:dyDescent="0.3"/>
    <row r="216" ht="15" customHeight="1" x14ac:dyDescent="0.3"/>
    <row r="217" ht="15" customHeight="1" x14ac:dyDescent="0.3"/>
    <row r="218" ht="15" customHeight="1" x14ac:dyDescent="0.3"/>
    <row r="219" ht="15" customHeight="1" x14ac:dyDescent="0.3"/>
    <row r="220" ht="15" customHeight="1" x14ac:dyDescent="0.3"/>
    <row r="221" ht="15" customHeight="1" x14ac:dyDescent="0.3"/>
    <row r="222" ht="15" customHeight="1" x14ac:dyDescent="0.3"/>
    <row r="223" ht="15" customHeight="1" x14ac:dyDescent="0.3"/>
    <row r="224" ht="15" customHeight="1" x14ac:dyDescent="0.3"/>
    <row r="225" ht="15" customHeight="1" x14ac:dyDescent="0.3"/>
    <row r="226" ht="15" customHeight="1" x14ac:dyDescent="0.3"/>
    <row r="227" ht="15" customHeight="1" x14ac:dyDescent="0.3"/>
    <row r="228" ht="15" customHeight="1" x14ac:dyDescent="0.3"/>
    <row r="229" ht="15" customHeight="1" x14ac:dyDescent="0.3"/>
    <row r="230" ht="15" customHeight="1" x14ac:dyDescent="0.3"/>
    <row r="231" ht="15" customHeight="1" x14ac:dyDescent="0.3"/>
    <row r="232" ht="15" customHeight="1" x14ac:dyDescent="0.3"/>
    <row r="233" ht="15" customHeight="1" x14ac:dyDescent="0.3"/>
    <row r="234" ht="15" customHeight="1" x14ac:dyDescent="0.3"/>
    <row r="235" ht="15" customHeight="1" x14ac:dyDescent="0.3"/>
    <row r="236" ht="15" customHeight="1" x14ac:dyDescent="0.3"/>
    <row r="237" ht="15" customHeight="1" x14ac:dyDescent="0.3"/>
    <row r="238" ht="15" customHeight="1" x14ac:dyDescent="0.3"/>
    <row r="239" ht="15" customHeight="1" x14ac:dyDescent="0.3"/>
    <row r="240" ht="15" customHeight="1" x14ac:dyDescent="0.3"/>
    <row r="241" ht="15" customHeight="1" x14ac:dyDescent="0.3"/>
    <row r="242" ht="15" customHeight="1" x14ac:dyDescent="0.3"/>
    <row r="243" ht="15" customHeight="1" x14ac:dyDescent="0.3"/>
    <row r="244" ht="15" customHeight="1" x14ac:dyDescent="0.3"/>
    <row r="245" ht="15" customHeight="1" x14ac:dyDescent="0.3"/>
    <row r="246" ht="15" customHeight="1" x14ac:dyDescent="0.3"/>
    <row r="247" ht="15" customHeight="1" x14ac:dyDescent="0.3"/>
    <row r="248" ht="15" customHeight="1" x14ac:dyDescent="0.3"/>
    <row r="249" ht="15" customHeight="1" x14ac:dyDescent="0.3"/>
    <row r="250" ht="15" customHeight="1" x14ac:dyDescent="0.3"/>
    <row r="251" ht="15" customHeight="1" x14ac:dyDescent="0.3"/>
    <row r="252" ht="15" customHeight="1" x14ac:dyDescent="0.3"/>
    <row r="253" ht="15" customHeight="1" x14ac:dyDescent="0.3"/>
    <row r="254" ht="15" customHeight="1" x14ac:dyDescent="0.3"/>
    <row r="255" ht="15" customHeight="1" x14ac:dyDescent="0.3"/>
    <row r="256" ht="15" customHeight="1" x14ac:dyDescent="0.3"/>
    <row r="257" ht="15" customHeight="1" x14ac:dyDescent="0.3"/>
    <row r="258" ht="15" customHeight="1" x14ac:dyDescent="0.3"/>
    <row r="259" ht="15" customHeight="1" x14ac:dyDescent="0.3"/>
    <row r="260" ht="15" customHeight="1" x14ac:dyDescent="0.3"/>
    <row r="261" ht="15" customHeight="1" x14ac:dyDescent="0.3"/>
    <row r="262" ht="15" customHeight="1" x14ac:dyDescent="0.3"/>
    <row r="263" ht="15" customHeight="1" x14ac:dyDescent="0.3"/>
    <row r="264" ht="15" customHeight="1" x14ac:dyDescent="0.3"/>
    <row r="265" ht="15" customHeight="1" x14ac:dyDescent="0.3"/>
    <row r="266" ht="15" customHeight="1" x14ac:dyDescent="0.3"/>
    <row r="267" ht="15" customHeight="1" x14ac:dyDescent="0.3"/>
    <row r="268" ht="15" customHeight="1" x14ac:dyDescent="0.3"/>
    <row r="269" ht="15" customHeight="1" x14ac:dyDescent="0.3"/>
    <row r="270" ht="15" customHeight="1" x14ac:dyDescent="0.3"/>
    <row r="271" ht="15" customHeight="1" x14ac:dyDescent="0.3"/>
    <row r="272" ht="15" customHeight="1" x14ac:dyDescent="0.3"/>
    <row r="273" ht="15" customHeight="1" x14ac:dyDescent="0.3"/>
    <row r="274" ht="15" customHeight="1" x14ac:dyDescent="0.3"/>
    <row r="275" ht="15" customHeight="1" x14ac:dyDescent="0.3"/>
    <row r="276" ht="15" customHeight="1" x14ac:dyDescent="0.3"/>
    <row r="277" ht="15" customHeight="1" x14ac:dyDescent="0.3"/>
    <row r="278" ht="15" customHeight="1" x14ac:dyDescent="0.3"/>
    <row r="279" ht="15" customHeight="1" x14ac:dyDescent="0.3"/>
    <row r="280" ht="15" customHeight="1" x14ac:dyDescent="0.3"/>
    <row r="281" ht="15" customHeight="1" x14ac:dyDescent="0.3"/>
    <row r="282" ht="15" customHeight="1" x14ac:dyDescent="0.3"/>
    <row r="283" ht="15" customHeight="1" x14ac:dyDescent="0.3"/>
    <row r="284" ht="15" customHeight="1" x14ac:dyDescent="0.3"/>
    <row r="285" ht="15" customHeight="1" x14ac:dyDescent="0.3"/>
    <row r="286" ht="15" customHeight="1" x14ac:dyDescent="0.3"/>
    <row r="287" ht="15" customHeight="1" x14ac:dyDescent="0.3"/>
    <row r="288" ht="15" customHeight="1" x14ac:dyDescent="0.3"/>
    <row r="289" ht="15" customHeight="1" x14ac:dyDescent="0.3"/>
    <row r="290" ht="15" customHeight="1" x14ac:dyDescent="0.3"/>
    <row r="291" ht="15" customHeight="1" x14ac:dyDescent="0.3"/>
    <row r="292" ht="15" customHeight="1" x14ac:dyDescent="0.3"/>
    <row r="293" ht="15" customHeight="1" x14ac:dyDescent="0.3"/>
    <row r="294" ht="15" customHeight="1" x14ac:dyDescent="0.3"/>
    <row r="295" ht="15" customHeight="1" x14ac:dyDescent="0.3"/>
    <row r="296" ht="15" customHeight="1" x14ac:dyDescent="0.3"/>
    <row r="297" ht="15" customHeight="1" x14ac:dyDescent="0.3"/>
    <row r="298" ht="15" customHeight="1" x14ac:dyDescent="0.3"/>
    <row r="299" ht="15" customHeight="1" x14ac:dyDescent="0.3"/>
    <row r="300" ht="15" customHeight="1" x14ac:dyDescent="0.3"/>
    <row r="301" ht="15" customHeight="1" x14ac:dyDescent="0.3"/>
    <row r="302" ht="15" customHeight="1" x14ac:dyDescent="0.3"/>
    <row r="303" ht="15" customHeight="1" x14ac:dyDescent="0.3"/>
    <row r="304" ht="15" customHeight="1" x14ac:dyDescent="0.3"/>
    <row r="305" ht="15" customHeight="1" x14ac:dyDescent="0.3"/>
    <row r="306" ht="15" customHeight="1" x14ac:dyDescent="0.3"/>
    <row r="307" ht="15" customHeight="1" x14ac:dyDescent="0.3"/>
    <row r="308" ht="15" customHeight="1" x14ac:dyDescent="0.3"/>
    <row r="309" ht="15" customHeight="1" x14ac:dyDescent="0.3"/>
    <row r="310" ht="15" customHeight="1" x14ac:dyDescent="0.3"/>
    <row r="311" ht="15" customHeight="1" x14ac:dyDescent="0.3"/>
    <row r="312" ht="15" customHeight="1" x14ac:dyDescent="0.3"/>
    <row r="313" ht="15" customHeight="1" x14ac:dyDescent="0.3"/>
    <row r="314" ht="15" customHeight="1" x14ac:dyDescent="0.3"/>
    <row r="315" ht="15" customHeight="1" x14ac:dyDescent="0.3"/>
    <row r="316" ht="15" customHeight="1" x14ac:dyDescent="0.3"/>
    <row r="317" ht="15" customHeight="1" x14ac:dyDescent="0.3"/>
    <row r="318" ht="15" customHeight="1" x14ac:dyDescent="0.3"/>
    <row r="319" ht="15" customHeight="1" x14ac:dyDescent="0.3"/>
    <row r="320" ht="15" customHeight="1" x14ac:dyDescent="0.3"/>
    <row r="321" ht="15" customHeight="1" x14ac:dyDescent="0.3"/>
    <row r="322" ht="15" customHeight="1" x14ac:dyDescent="0.3"/>
    <row r="323" ht="15" customHeight="1" x14ac:dyDescent="0.3"/>
    <row r="324" ht="15" customHeight="1" x14ac:dyDescent="0.3"/>
    <row r="325" ht="15" customHeight="1" x14ac:dyDescent="0.3"/>
    <row r="326" ht="15" customHeight="1" x14ac:dyDescent="0.3"/>
    <row r="327" ht="15" customHeight="1" x14ac:dyDescent="0.3"/>
    <row r="328" ht="15" customHeight="1" x14ac:dyDescent="0.3"/>
    <row r="329" ht="15" customHeight="1" x14ac:dyDescent="0.3"/>
    <row r="330" ht="15" customHeight="1" x14ac:dyDescent="0.3"/>
    <row r="331" ht="15" customHeight="1" x14ac:dyDescent="0.3"/>
    <row r="332" ht="15" customHeight="1" x14ac:dyDescent="0.3"/>
    <row r="333" ht="15" customHeight="1" x14ac:dyDescent="0.3"/>
    <row r="334" ht="15" customHeight="1" x14ac:dyDescent="0.3"/>
    <row r="335" ht="15" customHeight="1" x14ac:dyDescent="0.3"/>
    <row r="336" ht="15" customHeight="1" x14ac:dyDescent="0.3"/>
    <row r="337" ht="15" customHeight="1" x14ac:dyDescent="0.3"/>
    <row r="338" ht="15" customHeight="1" x14ac:dyDescent="0.3"/>
    <row r="339" ht="15" customHeight="1" x14ac:dyDescent="0.3"/>
    <row r="340" ht="15" customHeight="1" x14ac:dyDescent="0.3"/>
    <row r="341" ht="15" customHeight="1" x14ac:dyDescent="0.3"/>
    <row r="342" ht="15" customHeight="1" x14ac:dyDescent="0.3"/>
    <row r="343" ht="15" customHeight="1" x14ac:dyDescent="0.3"/>
    <row r="344" ht="15" customHeight="1" x14ac:dyDescent="0.3"/>
    <row r="345" ht="15" customHeight="1" x14ac:dyDescent="0.3"/>
    <row r="346" ht="15" customHeight="1" x14ac:dyDescent="0.3"/>
    <row r="347" ht="15" customHeight="1" x14ac:dyDescent="0.3"/>
    <row r="348" ht="15" customHeight="1" x14ac:dyDescent="0.3"/>
    <row r="349" ht="15" customHeight="1" x14ac:dyDescent="0.3"/>
    <row r="350" ht="15" customHeight="1" x14ac:dyDescent="0.3"/>
    <row r="351" ht="15" customHeight="1" x14ac:dyDescent="0.3"/>
    <row r="352" ht="15" customHeight="1" x14ac:dyDescent="0.3"/>
    <row r="353" ht="15" customHeight="1" x14ac:dyDescent="0.3"/>
    <row r="354" ht="15" customHeight="1" x14ac:dyDescent="0.3"/>
    <row r="355" ht="15" customHeight="1" x14ac:dyDescent="0.3"/>
    <row r="356" ht="15" customHeight="1" x14ac:dyDescent="0.3"/>
    <row r="357" ht="15" customHeight="1" x14ac:dyDescent="0.3"/>
    <row r="358" ht="15" customHeight="1" x14ac:dyDescent="0.3"/>
    <row r="359" ht="15" customHeight="1" x14ac:dyDescent="0.3"/>
    <row r="360" ht="15" customHeight="1" x14ac:dyDescent="0.3"/>
    <row r="361" ht="15" customHeight="1" x14ac:dyDescent="0.3"/>
    <row r="362" ht="15" customHeight="1" x14ac:dyDescent="0.3"/>
    <row r="363" ht="15" customHeight="1" x14ac:dyDescent="0.3"/>
    <row r="364" ht="15" customHeight="1" x14ac:dyDescent="0.3"/>
    <row r="365" ht="15" customHeight="1" x14ac:dyDescent="0.3"/>
    <row r="366" ht="15" customHeight="1" x14ac:dyDescent="0.3"/>
    <row r="367" ht="15" customHeight="1" x14ac:dyDescent="0.3"/>
    <row r="368" ht="15" customHeight="1" x14ac:dyDescent="0.3"/>
    <row r="369" ht="15" customHeight="1" x14ac:dyDescent="0.3"/>
    <row r="370" ht="15" customHeight="1" x14ac:dyDescent="0.3"/>
    <row r="371" ht="15" customHeight="1" x14ac:dyDescent="0.3"/>
    <row r="372" ht="15" customHeight="1" x14ac:dyDescent="0.3"/>
    <row r="373" ht="15" customHeight="1" x14ac:dyDescent="0.3"/>
    <row r="374" ht="15" customHeight="1" x14ac:dyDescent="0.3"/>
    <row r="375" ht="15" customHeight="1" x14ac:dyDescent="0.3"/>
    <row r="376" ht="15" customHeight="1" x14ac:dyDescent="0.3"/>
    <row r="377" ht="15" customHeight="1" x14ac:dyDescent="0.3"/>
    <row r="378" ht="15" customHeight="1" x14ac:dyDescent="0.3"/>
    <row r="379" ht="15" customHeight="1" x14ac:dyDescent="0.3"/>
    <row r="380" ht="15" customHeight="1" x14ac:dyDescent="0.3"/>
    <row r="381" ht="15" customHeight="1" x14ac:dyDescent="0.3"/>
    <row r="382" ht="15" customHeight="1" x14ac:dyDescent="0.3"/>
    <row r="383" ht="15" customHeight="1" x14ac:dyDescent="0.3"/>
    <row r="384" ht="15" customHeight="1" x14ac:dyDescent="0.3"/>
    <row r="385" ht="15" customHeight="1" x14ac:dyDescent="0.3"/>
    <row r="386" ht="15" customHeight="1" x14ac:dyDescent="0.3"/>
    <row r="387" ht="15" customHeight="1" x14ac:dyDescent="0.3"/>
    <row r="388" ht="15" customHeight="1" x14ac:dyDescent="0.3"/>
    <row r="389" ht="15" customHeight="1" x14ac:dyDescent="0.3"/>
    <row r="390" ht="15" customHeight="1" x14ac:dyDescent="0.3"/>
    <row r="391" ht="15" customHeight="1" x14ac:dyDescent="0.3"/>
    <row r="392" ht="15" customHeight="1" x14ac:dyDescent="0.3"/>
    <row r="393" ht="15" customHeight="1" x14ac:dyDescent="0.3"/>
    <row r="394" ht="15" customHeight="1" x14ac:dyDescent="0.3"/>
    <row r="395" ht="15" customHeight="1" x14ac:dyDescent="0.3"/>
    <row r="396" ht="15" customHeight="1" x14ac:dyDescent="0.3"/>
    <row r="397" ht="15" customHeight="1" x14ac:dyDescent="0.3"/>
    <row r="398" ht="15" customHeight="1" x14ac:dyDescent="0.3"/>
    <row r="399" ht="15" customHeight="1" x14ac:dyDescent="0.3"/>
    <row r="400" ht="15" customHeight="1" x14ac:dyDescent="0.3"/>
    <row r="401" ht="15" customHeight="1" x14ac:dyDescent="0.3"/>
    <row r="402" ht="15" customHeight="1" x14ac:dyDescent="0.3"/>
    <row r="403" ht="15" customHeight="1" x14ac:dyDescent="0.3"/>
    <row r="404" ht="15" customHeight="1" x14ac:dyDescent="0.3"/>
    <row r="405" ht="15" customHeight="1" x14ac:dyDescent="0.3"/>
    <row r="406" ht="15" customHeight="1" x14ac:dyDescent="0.3"/>
    <row r="407" ht="15" customHeight="1" x14ac:dyDescent="0.3"/>
    <row r="408" ht="15" customHeight="1" x14ac:dyDescent="0.3"/>
    <row r="409" ht="15" customHeight="1" x14ac:dyDescent="0.3"/>
    <row r="410" ht="15" customHeight="1" x14ac:dyDescent="0.3"/>
    <row r="411" ht="15" customHeight="1" x14ac:dyDescent="0.3"/>
    <row r="412" ht="15" customHeight="1" x14ac:dyDescent="0.3"/>
    <row r="413" ht="15" customHeight="1" x14ac:dyDescent="0.3"/>
    <row r="414" ht="15" customHeight="1" x14ac:dyDescent="0.3"/>
    <row r="415" ht="15" customHeight="1" x14ac:dyDescent="0.3"/>
    <row r="416" ht="15" customHeight="1" x14ac:dyDescent="0.3"/>
    <row r="417" ht="15" customHeight="1" x14ac:dyDescent="0.3"/>
    <row r="418" ht="15" customHeight="1" x14ac:dyDescent="0.3"/>
    <row r="419" ht="15" customHeight="1" x14ac:dyDescent="0.3"/>
    <row r="420" ht="15" customHeight="1" x14ac:dyDescent="0.3"/>
    <row r="421" ht="15" customHeight="1" x14ac:dyDescent="0.3"/>
    <row r="422" ht="15" customHeight="1" x14ac:dyDescent="0.3"/>
    <row r="423" ht="15" customHeight="1" x14ac:dyDescent="0.3"/>
    <row r="424" ht="15" customHeight="1" x14ac:dyDescent="0.3"/>
    <row r="425" ht="15" customHeight="1" x14ac:dyDescent="0.3"/>
    <row r="426" ht="15" customHeight="1" x14ac:dyDescent="0.3"/>
    <row r="427" ht="15" customHeight="1" x14ac:dyDescent="0.3"/>
    <row r="428" ht="15" customHeight="1" x14ac:dyDescent="0.3"/>
    <row r="429" ht="15" customHeight="1" x14ac:dyDescent="0.3"/>
    <row r="430" ht="15" customHeight="1" x14ac:dyDescent="0.3"/>
    <row r="431" ht="15" customHeight="1" x14ac:dyDescent="0.3"/>
    <row r="432" ht="15" customHeight="1" x14ac:dyDescent="0.3"/>
    <row r="433" ht="15" customHeight="1" x14ac:dyDescent="0.3"/>
    <row r="434" ht="15" customHeight="1" x14ac:dyDescent="0.3"/>
    <row r="435" ht="15" customHeight="1" x14ac:dyDescent="0.3"/>
    <row r="436" ht="15" customHeight="1" x14ac:dyDescent="0.3"/>
    <row r="437" ht="15" customHeight="1" x14ac:dyDescent="0.3"/>
    <row r="438" ht="15" customHeight="1" x14ac:dyDescent="0.3"/>
    <row r="439" ht="15" customHeight="1" x14ac:dyDescent="0.3"/>
    <row r="440" ht="15" customHeight="1" x14ac:dyDescent="0.3"/>
    <row r="441" ht="15" customHeight="1" x14ac:dyDescent="0.3"/>
    <row r="442" ht="15" customHeight="1" x14ac:dyDescent="0.3"/>
    <row r="443" ht="15" customHeight="1" x14ac:dyDescent="0.3"/>
    <row r="444" ht="15" customHeight="1" x14ac:dyDescent="0.3"/>
    <row r="445" ht="15" customHeight="1" x14ac:dyDescent="0.3"/>
    <row r="446" ht="15" customHeight="1" x14ac:dyDescent="0.3"/>
    <row r="447" ht="15" customHeight="1" x14ac:dyDescent="0.3"/>
    <row r="448" ht="15" customHeight="1" x14ac:dyDescent="0.3"/>
    <row r="449" ht="15" customHeight="1" x14ac:dyDescent="0.3"/>
    <row r="450" ht="15" customHeight="1" x14ac:dyDescent="0.3"/>
    <row r="451" ht="15" customHeight="1" x14ac:dyDescent="0.3"/>
    <row r="452" ht="15" customHeight="1" x14ac:dyDescent="0.3"/>
    <row r="453" ht="15" customHeight="1" x14ac:dyDescent="0.3"/>
    <row r="454" ht="15" customHeight="1" x14ac:dyDescent="0.3"/>
    <row r="455" ht="15" customHeight="1" x14ac:dyDescent="0.3"/>
    <row r="456" ht="15" customHeight="1" x14ac:dyDescent="0.3"/>
    <row r="457" ht="15" customHeight="1" x14ac:dyDescent="0.3"/>
    <row r="458" ht="15" customHeight="1" x14ac:dyDescent="0.3"/>
    <row r="459" ht="15" customHeight="1" x14ac:dyDescent="0.3"/>
    <row r="463" ht="15" customHeight="1" x14ac:dyDescent="0.3"/>
    <row r="467" ht="15" customHeight="1" x14ac:dyDescent="0.3"/>
  </sheetData>
  <conditionalFormatting sqref="F2">
    <cfRule type="cellIs" dxfId="59" priority="3" stopIfTrue="1" operator="notEqual">
      <formula>0</formula>
    </cfRule>
    <cfRule type="cellIs" dxfId="58" priority="4" stopIfTrue="1" operator="equal">
      <formula>""</formula>
    </cfRule>
  </conditionalFormatting>
  <conditionalFormatting sqref="F3">
    <cfRule type="cellIs" dxfId="57" priority="1" stopIfTrue="1" operator="notEqual">
      <formula>0</formula>
    </cfRule>
    <cfRule type="cellIs" dxfId="56" priority="2" stopIfTrue="1" operator="equal">
      <formula>""</formula>
    </cfRule>
  </conditionalFormatting>
  <conditionalFormatting sqref="K3:AS3">
    <cfRule type="cellIs" dxfId="55" priority="7" stopIfTrue="1" operator="equal">
      <formula>#REF!</formula>
    </cfRule>
    <cfRule type="cellIs" dxfId="54" priority="8" stopIfTrue="1" operator="equal">
      <formula>#REF!</formula>
    </cfRule>
    <cfRule type="cellIs" dxfId="53" priority="9" operator="equal">
      <formula>#REF!</formula>
    </cfRule>
    <cfRule type="cellIs" dxfId="52" priority="10" operator="equal">
      <formula>#REF!</formula>
    </cfRule>
    <cfRule type="cellIs" dxfId="51" priority="11" stopIfTrue="1" operator="equal">
      <formula>#REF!</formula>
    </cfRule>
    <cfRule type="cellIs" dxfId="50" priority="12" stopIfTrue="1" operator="equal">
      <formula>#REF!</formula>
    </cfRule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839CD2-A45F-44C0-A05E-94C22AB06EE1}">
  <sheetPr codeName="Sheet11">
    <tabColor rgb="FFFFFF00"/>
  </sheetPr>
  <dimension ref="A1:AS526"/>
  <sheetViews>
    <sheetView zoomScale="145" zoomScaleNormal="145" workbookViewId="0">
      <pane xSplit="10" ySplit="4" topLeftCell="K5" activePane="bottomRight" state="frozen"/>
      <selection pane="topRight" activeCell="K1" sqref="K1"/>
      <selection pane="bottomLeft" activeCell="A5" sqref="A5"/>
      <selection pane="bottomRight" activeCell="E13" sqref="E13"/>
    </sheetView>
  </sheetViews>
  <sheetFormatPr defaultColWidth="0" defaultRowHeight="13.8" x14ac:dyDescent="0.3"/>
  <cols>
    <col min="1" max="4" width="1.33203125" customWidth="1"/>
    <col min="5" max="5" width="50.6640625" customWidth="1"/>
    <col min="6" max="6" width="12.6640625" customWidth="1"/>
    <col min="7" max="7" width="20.6640625" customWidth="1"/>
    <col min="8" max="8" width="25.109375" customWidth="1"/>
    <col min="9" max="9" width="12.6640625" customWidth="1" collapsed="1"/>
    <col min="10" max="10" width="1.6640625" customWidth="1"/>
    <col min="11" max="13" width="10.6640625" customWidth="1"/>
    <col min="14" max="14" width="12.44140625" bestFit="1" customWidth="1"/>
    <col min="15" max="37" width="10.6640625" customWidth="1"/>
    <col min="38" max="45" width="11.88671875" customWidth="1"/>
    <col min="46" max="16384" width="11.88671875" hidden="1"/>
  </cols>
  <sheetData>
    <row r="1" spans="1:45" ht="26.25" customHeight="1" x14ac:dyDescent="0.3">
      <c r="A1" s="396" t="str">
        <f ca="1" xml:space="preserve"> RIGHT(CELL("filename", $A$3), LEN(CELL("filename", $A$3)) - SEARCH("]", CELL("filename", $A$3)))</f>
        <v>Inputs_Con</v>
      </c>
      <c r="B1" s="1"/>
      <c r="C1" s="2"/>
      <c r="D1" s="3"/>
      <c r="E1" s="3"/>
      <c r="F1" s="4"/>
      <c r="G1" s="3"/>
      <c r="H1" s="5"/>
      <c r="I1" s="3"/>
      <c r="J1" s="21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  <c r="Y1" s="45"/>
      <c r="Z1" s="45"/>
      <c r="AA1" s="45"/>
      <c r="AB1" s="45"/>
      <c r="AC1" s="45"/>
      <c r="AD1" s="45"/>
      <c r="AE1" s="45"/>
      <c r="AF1" s="45"/>
      <c r="AG1" s="45"/>
      <c r="AH1" s="45"/>
      <c r="AI1" s="45"/>
      <c r="AJ1" s="45"/>
      <c r="AK1" s="3"/>
    </row>
    <row r="2" spans="1:45" ht="15" customHeight="1" x14ac:dyDescent="0.3">
      <c r="A2" s="45"/>
      <c r="B2" s="45"/>
      <c r="C2" s="2"/>
      <c r="D2" s="3"/>
      <c r="E2" s="3"/>
      <c r="F2" s="883">
        <f xml:space="preserve"> Track!F$80</f>
        <v>0</v>
      </c>
      <c r="G2" s="7" t="s">
        <v>0</v>
      </c>
      <c r="H2" s="5"/>
      <c r="I2" s="3"/>
      <c r="J2" s="21"/>
      <c r="K2" s="47">
        <f>'T&amp;E'!K$9</f>
        <v>2006</v>
      </c>
      <c r="L2" s="47">
        <f>'T&amp;E'!L$9</f>
        <v>2007</v>
      </c>
      <c r="M2" s="47">
        <f>'T&amp;E'!M$9</f>
        <v>2008</v>
      </c>
      <c r="N2" s="47">
        <f>'T&amp;E'!N$9</f>
        <v>2009</v>
      </c>
      <c r="O2" s="47">
        <f>'T&amp;E'!O$9</f>
        <v>2010</v>
      </c>
      <c r="P2" s="47">
        <f>'T&amp;E'!P$9</f>
        <v>2011</v>
      </c>
      <c r="Q2" s="47">
        <f>'T&amp;E'!Q$9</f>
        <v>2012</v>
      </c>
      <c r="R2" s="47">
        <f>'T&amp;E'!R$9</f>
        <v>2013</v>
      </c>
      <c r="S2" s="47">
        <f>'T&amp;E'!S$9</f>
        <v>2014</v>
      </c>
      <c r="T2" s="47">
        <f>'T&amp;E'!T$9</f>
        <v>2015</v>
      </c>
      <c r="U2" s="47">
        <f>'T&amp;E'!U$9</f>
        <v>2016</v>
      </c>
      <c r="V2" s="47">
        <f>'T&amp;E'!V$9</f>
        <v>2017</v>
      </c>
      <c r="W2" s="47">
        <f>'T&amp;E'!W$9</f>
        <v>2018</v>
      </c>
      <c r="X2" s="47">
        <f>'T&amp;E'!X$9</f>
        <v>2019</v>
      </c>
      <c r="Y2" s="47">
        <f>'T&amp;E'!Y$9</f>
        <v>2020</v>
      </c>
      <c r="Z2" s="47">
        <f>'T&amp;E'!Z$9</f>
        <v>2021</v>
      </c>
      <c r="AA2" s="47">
        <f>'T&amp;E'!AA$9</f>
        <v>2022</v>
      </c>
      <c r="AB2" s="47">
        <f>'T&amp;E'!AB$9</f>
        <v>2023</v>
      </c>
      <c r="AC2" s="47">
        <f>'T&amp;E'!AC$9</f>
        <v>2024</v>
      </c>
      <c r="AD2" s="47">
        <f>'T&amp;E'!AD$9</f>
        <v>2025</v>
      </c>
      <c r="AE2" s="47">
        <f>'T&amp;E'!AE$9</f>
        <v>2026</v>
      </c>
      <c r="AF2" s="47">
        <f>'T&amp;E'!AF$9</f>
        <v>2027</v>
      </c>
      <c r="AG2" s="47">
        <f>'T&amp;E'!AG$9</f>
        <v>2028</v>
      </c>
      <c r="AH2" s="47">
        <f>'T&amp;E'!AH$9</f>
        <v>2029</v>
      </c>
      <c r="AI2" s="47">
        <f>'T&amp;E'!AI$9</f>
        <v>2030</v>
      </c>
      <c r="AJ2" s="47">
        <f>'T&amp;E'!AJ$9</f>
        <v>2031</v>
      </c>
      <c r="AK2" s="47">
        <f>'T&amp;E'!AK$9</f>
        <v>2032</v>
      </c>
      <c r="AL2" s="47">
        <f>'T&amp;E'!AL$9</f>
        <v>2033</v>
      </c>
      <c r="AM2" s="47">
        <f>'T&amp;E'!AM$9</f>
        <v>2034</v>
      </c>
      <c r="AN2" s="47">
        <f>'T&amp;E'!AN$9</f>
        <v>2035</v>
      </c>
      <c r="AO2" s="47">
        <f>'T&amp;E'!AO$9</f>
        <v>2036</v>
      </c>
      <c r="AP2" s="47">
        <f>'T&amp;E'!AP$9</f>
        <v>2037</v>
      </c>
      <c r="AQ2" s="47">
        <f>'T&amp;E'!AQ$9</f>
        <v>2038</v>
      </c>
      <c r="AR2" s="47">
        <f>'T&amp;E'!AR$9</f>
        <v>2039</v>
      </c>
      <c r="AS2" s="47">
        <f>'T&amp;E'!AS$9</f>
        <v>2040</v>
      </c>
    </row>
    <row r="3" spans="1:45" ht="15" customHeight="1" x14ac:dyDescent="0.3">
      <c r="A3" s="91"/>
      <c r="B3" s="91"/>
      <c r="C3" s="92"/>
      <c r="D3" s="93"/>
      <c r="E3" s="93"/>
      <c r="F3" s="881">
        <f>EITI_Rev!F3</f>
        <v>0</v>
      </c>
      <c r="G3" s="9" t="s">
        <v>1</v>
      </c>
      <c r="H3" s="431"/>
      <c r="I3" s="93"/>
      <c r="J3" s="226"/>
      <c r="K3" s="886" t="s">
        <v>2</v>
      </c>
      <c r="L3" s="886" t="s">
        <v>2</v>
      </c>
      <c r="M3" s="886" t="s">
        <v>2</v>
      </c>
      <c r="N3" s="886" t="s">
        <v>2</v>
      </c>
      <c r="O3" s="886" t="s">
        <v>2</v>
      </c>
      <c r="P3" s="886" t="s">
        <v>2</v>
      </c>
      <c r="Q3" s="886" t="s">
        <v>2</v>
      </c>
      <c r="R3" s="886" t="s">
        <v>2</v>
      </c>
      <c r="S3" s="886" t="s">
        <v>2</v>
      </c>
      <c r="T3" s="886" t="s">
        <v>2</v>
      </c>
      <c r="U3" s="886" t="s">
        <v>2</v>
      </c>
      <c r="V3" s="886" t="s">
        <v>2</v>
      </c>
      <c r="W3" s="886" t="s">
        <v>2</v>
      </c>
      <c r="X3" s="886" t="s">
        <v>2</v>
      </c>
      <c r="Y3" s="886" t="s">
        <v>2</v>
      </c>
      <c r="Z3" s="886" t="s">
        <v>2</v>
      </c>
      <c r="AA3" s="886" t="s">
        <v>2</v>
      </c>
      <c r="AB3" s="886" t="s">
        <v>2</v>
      </c>
      <c r="AC3" s="886" t="s">
        <v>2</v>
      </c>
      <c r="AD3" s="886" t="s">
        <v>3</v>
      </c>
      <c r="AE3" s="886" t="s">
        <v>3</v>
      </c>
      <c r="AF3" s="886" t="s">
        <v>3</v>
      </c>
      <c r="AG3" s="886" t="s">
        <v>3</v>
      </c>
      <c r="AH3" s="886" t="s">
        <v>3</v>
      </c>
      <c r="AI3" s="886" t="s">
        <v>3</v>
      </c>
      <c r="AJ3" s="886" t="s">
        <v>3</v>
      </c>
      <c r="AK3" s="886" t="s">
        <v>3</v>
      </c>
      <c r="AL3" s="886" t="s">
        <v>3</v>
      </c>
      <c r="AM3" s="886" t="s">
        <v>3</v>
      </c>
      <c r="AN3" s="886" t="s">
        <v>3</v>
      </c>
      <c r="AO3" s="886" t="s">
        <v>3</v>
      </c>
      <c r="AP3" s="886" t="s">
        <v>3</v>
      </c>
      <c r="AQ3" s="886" t="s">
        <v>3</v>
      </c>
      <c r="AR3" s="886" t="s">
        <v>3</v>
      </c>
      <c r="AS3" s="886" t="s">
        <v>3</v>
      </c>
    </row>
    <row r="4" spans="1:45" ht="15" customHeight="1" x14ac:dyDescent="0.3">
      <c r="A4" s="1"/>
      <c r="B4" s="1"/>
      <c r="C4" s="2"/>
      <c r="D4" s="3"/>
      <c r="E4" s="3"/>
      <c r="F4" s="397" t="s">
        <v>4</v>
      </c>
      <c r="G4" s="398" t="s">
        <v>5</v>
      </c>
      <c r="H4" s="399" t="s">
        <v>6</v>
      </c>
      <c r="I4" s="13"/>
      <c r="J4" s="21"/>
      <c r="K4" s="45">
        <f>'T&amp;E'!K$11</f>
        <v>1</v>
      </c>
      <c r="L4" s="45">
        <f>'T&amp;E'!L$11</f>
        <v>2</v>
      </c>
      <c r="M4" s="45">
        <f>'T&amp;E'!M$11</f>
        <v>3</v>
      </c>
      <c r="N4" s="45">
        <f>'T&amp;E'!N$11</f>
        <v>4</v>
      </c>
      <c r="O4" s="45">
        <f>'T&amp;E'!O$11</f>
        <v>5</v>
      </c>
      <c r="P4" s="45">
        <f>'T&amp;E'!P$11</f>
        <v>6</v>
      </c>
      <c r="Q4" s="45">
        <f>'T&amp;E'!Q$11</f>
        <v>7</v>
      </c>
      <c r="R4" s="45">
        <f>'T&amp;E'!R$11</f>
        <v>8</v>
      </c>
      <c r="S4" s="45">
        <f>'T&amp;E'!S$11</f>
        <v>9</v>
      </c>
      <c r="T4" s="45">
        <f>'T&amp;E'!T$11</f>
        <v>10</v>
      </c>
      <c r="U4" s="45">
        <f>'T&amp;E'!U$11</f>
        <v>11</v>
      </c>
      <c r="V4" s="45">
        <f>'T&amp;E'!V$11</f>
        <v>12</v>
      </c>
      <c r="W4" s="45">
        <f>'T&amp;E'!W$11</f>
        <v>13</v>
      </c>
      <c r="X4" s="45">
        <f>'T&amp;E'!X$11</f>
        <v>14</v>
      </c>
      <c r="Y4" s="45">
        <f>'T&amp;E'!Y$11</f>
        <v>15</v>
      </c>
      <c r="Z4" s="45">
        <f>'T&amp;E'!Z$11</f>
        <v>16</v>
      </c>
      <c r="AA4" s="45">
        <f>'T&amp;E'!AA$11</f>
        <v>17</v>
      </c>
      <c r="AB4" s="45">
        <f>'T&amp;E'!AB$11</f>
        <v>18</v>
      </c>
      <c r="AC4" s="45">
        <f>'T&amp;E'!AC$11</f>
        <v>19</v>
      </c>
      <c r="AD4" s="45">
        <f>'T&amp;E'!AD$11</f>
        <v>20</v>
      </c>
      <c r="AE4" s="45">
        <f>'T&amp;E'!AE$11</f>
        <v>21</v>
      </c>
      <c r="AF4" s="45">
        <f>'T&amp;E'!AF$11</f>
        <v>22</v>
      </c>
      <c r="AG4" s="45">
        <f>'T&amp;E'!AG$11</f>
        <v>23</v>
      </c>
      <c r="AH4" s="45">
        <f>'T&amp;E'!AH$11</f>
        <v>24</v>
      </c>
      <c r="AI4" s="45">
        <f>'T&amp;E'!AI$11</f>
        <v>25</v>
      </c>
      <c r="AJ4" s="45">
        <f>'T&amp;E'!AJ$11</f>
        <v>26</v>
      </c>
      <c r="AK4" s="45">
        <f>'T&amp;E'!AK$11</f>
        <v>27</v>
      </c>
      <c r="AL4" s="45">
        <f>'T&amp;E'!AL$11</f>
        <v>28</v>
      </c>
      <c r="AM4" s="45">
        <f>'T&amp;E'!AM$11</f>
        <v>29</v>
      </c>
      <c r="AN4" s="45">
        <f>'T&amp;E'!AN$11</f>
        <v>30</v>
      </c>
      <c r="AO4" s="45">
        <f>'T&amp;E'!AO$11</f>
        <v>31</v>
      </c>
      <c r="AP4" s="45">
        <f>'T&amp;E'!AP$11</f>
        <v>32</v>
      </c>
      <c r="AQ4" s="45">
        <f>'T&amp;E'!AQ$11</f>
        <v>33</v>
      </c>
      <c r="AR4" s="45">
        <f>'T&amp;E'!AR$11</f>
        <v>34</v>
      </c>
      <c r="AS4" s="45">
        <f>'T&amp;E'!AS$11</f>
        <v>35</v>
      </c>
    </row>
    <row r="5" spans="1:45" ht="15" customHeight="1" x14ac:dyDescent="0.3">
      <c r="A5" s="1"/>
      <c r="B5" s="1"/>
      <c r="C5" s="2"/>
      <c r="D5" s="3"/>
      <c r="E5" s="3"/>
      <c r="F5" s="11"/>
      <c r="G5" s="1"/>
      <c r="H5" s="12"/>
      <c r="I5" s="13"/>
      <c r="J5" s="42"/>
      <c r="K5" s="45"/>
      <c r="L5" s="45"/>
      <c r="M5" s="45"/>
      <c r="N5" s="45"/>
      <c r="O5" s="45"/>
      <c r="P5" s="45"/>
      <c r="Q5" s="45"/>
      <c r="R5" s="45"/>
      <c r="S5" s="45"/>
      <c r="T5" s="45"/>
      <c r="U5" s="45"/>
      <c r="V5" s="45"/>
      <c r="W5" s="45"/>
      <c r="X5" s="45"/>
      <c r="Y5" s="45"/>
      <c r="Z5" s="45"/>
      <c r="AA5" s="45"/>
      <c r="AB5" s="45"/>
      <c r="AC5" s="45"/>
      <c r="AD5" s="45"/>
      <c r="AE5" s="45"/>
      <c r="AF5" s="45"/>
      <c r="AG5" s="45"/>
      <c r="AH5" s="45"/>
      <c r="AI5" s="45"/>
      <c r="AJ5" s="45"/>
      <c r="AK5" s="3"/>
    </row>
    <row r="6" spans="1:45" ht="15" customHeight="1" collapsed="1" x14ac:dyDescent="0.3">
      <c r="A6" s="415" t="s">
        <v>492</v>
      </c>
      <c r="B6" s="416"/>
      <c r="C6" s="417"/>
      <c r="D6" s="418"/>
      <c r="E6" s="416"/>
      <c r="F6" s="416"/>
      <c r="G6" s="416"/>
      <c r="H6" s="416"/>
      <c r="I6" s="416"/>
      <c r="J6" s="416"/>
      <c r="K6" s="416"/>
      <c r="L6" s="416"/>
      <c r="M6" s="416"/>
      <c r="N6" s="416"/>
      <c r="O6" s="416"/>
      <c r="P6" s="416"/>
      <c r="Q6" s="416"/>
      <c r="R6" s="416"/>
      <c r="S6" s="416"/>
      <c r="T6" s="416"/>
      <c r="U6" s="416"/>
      <c r="V6" s="416"/>
      <c r="W6" s="416"/>
      <c r="X6" s="416"/>
      <c r="Y6" s="416"/>
      <c r="Z6" s="416"/>
      <c r="AA6" s="416"/>
      <c r="AB6" s="416"/>
      <c r="AC6" s="416"/>
      <c r="AD6" s="416"/>
      <c r="AE6" s="416"/>
      <c r="AF6" s="416"/>
      <c r="AG6" s="416"/>
      <c r="AH6" s="416"/>
      <c r="AI6" s="416"/>
      <c r="AJ6" s="416"/>
      <c r="AK6" s="416"/>
      <c r="AL6" s="416"/>
      <c r="AM6" s="416"/>
      <c r="AN6" s="416"/>
      <c r="AO6" s="416"/>
      <c r="AP6" s="416"/>
      <c r="AQ6" s="416"/>
      <c r="AR6" s="416"/>
      <c r="AS6" s="416"/>
    </row>
    <row r="7" spans="1:45" ht="15" customHeight="1" x14ac:dyDescent="0.3">
      <c r="A7" s="398"/>
      <c r="B7" s="398"/>
      <c r="C7" s="421"/>
      <c r="D7" s="422"/>
      <c r="E7" s="423"/>
      <c r="F7" s="423"/>
      <c r="G7" s="423"/>
      <c r="H7" s="423"/>
      <c r="I7" s="423"/>
      <c r="J7" s="423"/>
      <c r="K7" s="423"/>
      <c r="L7" s="423"/>
      <c r="M7" s="423"/>
      <c r="N7" s="423"/>
      <c r="O7" s="423"/>
      <c r="P7" s="423"/>
      <c r="Q7" s="423"/>
      <c r="R7" s="423"/>
      <c r="S7" s="423"/>
      <c r="T7" s="423"/>
      <c r="U7" s="423"/>
      <c r="V7" s="423"/>
      <c r="W7" s="423"/>
      <c r="X7" s="423"/>
      <c r="Y7" s="423"/>
      <c r="Z7" s="423"/>
      <c r="AA7" s="423"/>
      <c r="AB7" s="423"/>
      <c r="AC7" s="423"/>
      <c r="AD7" s="423"/>
      <c r="AE7" s="423"/>
      <c r="AF7" s="423"/>
      <c r="AG7" s="423"/>
      <c r="AH7" s="423"/>
      <c r="AI7" s="423"/>
      <c r="AJ7" s="423"/>
      <c r="AK7" s="423"/>
      <c r="AL7" s="423"/>
      <c r="AM7" s="423"/>
      <c r="AN7" s="423"/>
      <c r="AO7" s="423"/>
      <c r="AP7" s="423"/>
      <c r="AQ7" s="423"/>
      <c r="AR7" s="423"/>
      <c r="AS7" s="423"/>
    </row>
    <row r="8" spans="1:45" ht="15" customHeight="1" x14ac:dyDescent="0.3">
      <c r="A8" s="398"/>
      <c r="B8" s="398"/>
      <c r="C8" s="421"/>
      <c r="D8" s="423"/>
      <c r="E8" s="50" t="s">
        <v>493</v>
      </c>
      <c r="F8" s="425" t="s">
        <v>498</v>
      </c>
      <c r="G8" s="423"/>
      <c r="H8" s="423"/>
      <c r="I8" s="5"/>
      <c r="J8" s="423"/>
      <c r="K8" s="423"/>
      <c r="L8" s="423"/>
      <c r="M8" s="423"/>
      <c r="N8" s="423"/>
      <c r="O8" s="423"/>
      <c r="P8" s="423"/>
      <c r="Q8" s="423"/>
      <c r="R8" s="423"/>
      <c r="S8" s="423"/>
      <c r="T8" s="423"/>
      <c r="U8" s="423"/>
      <c r="V8" s="423"/>
      <c r="W8" s="423"/>
      <c r="X8" s="423"/>
      <c r="Y8" s="423"/>
      <c r="Z8" s="423"/>
      <c r="AA8" s="423"/>
      <c r="AB8" s="423"/>
      <c r="AC8" s="423"/>
      <c r="AD8" s="423"/>
      <c r="AE8" s="423"/>
      <c r="AF8" s="423"/>
      <c r="AG8" s="423"/>
      <c r="AH8" s="423"/>
      <c r="AI8" s="423"/>
      <c r="AJ8" s="423"/>
      <c r="AK8" s="423"/>
      <c r="AL8" s="423"/>
      <c r="AM8" s="423"/>
      <c r="AN8" s="423"/>
      <c r="AO8" s="423"/>
      <c r="AP8" s="423"/>
      <c r="AQ8" s="423"/>
      <c r="AR8" s="423"/>
      <c r="AS8" s="423"/>
    </row>
    <row r="9" spans="1:45" ht="15" customHeight="1" x14ac:dyDescent="0.3">
      <c r="A9" s="398"/>
      <c r="B9" s="398"/>
      <c r="C9" s="421"/>
      <c r="D9" s="423"/>
      <c r="E9" s="50" t="s">
        <v>494</v>
      </c>
      <c r="F9" s="427">
        <v>45839</v>
      </c>
      <c r="G9" s="423"/>
      <c r="H9" s="423"/>
      <c r="I9" s="5"/>
      <c r="J9" s="423"/>
      <c r="K9" s="423"/>
      <c r="L9" s="423"/>
      <c r="M9" s="423"/>
      <c r="N9" s="423"/>
      <c r="O9" s="423"/>
      <c r="P9" s="423"/>
      <c r="Q9" s="423"/>
      <c r="R9" s="423"/>
      <c r="S9" s="423"/>
      <c r="T9" s="423"/>
      <c r="U9" s="423"/>
      <c r="V9" s="423"/>
      <c r="W9" s="423"/>
      <c r="X9" s="423"/>
      <c r="Y9" s="423"/>
      <c r="Z9" s="423"/>
      <c r="AA9" s="423"/>
      <c r="AB9" s="423"/>
      <c r="AC9" s="423"/>
      <c r="AD9" s="423"/>
      <c r="AE9" s="423"/>
      <c r="AF9" s="423"/>
      <c r="AG9" s="423"/>
      <c r="AH9" s="423"/>
      <c r="AI9" s="423"/>
      <c r="AJ9" s="423"/>
      <c r="AK9" s="423"/>
      <c r="AL9" s="423"/>
      <c r="AM9" s="423"/>
      <c r="AN9" s="423"/>
      <c r="AO9" s="423"/>
      <c r="AP9" s="423"/>
      <c r="AQ9" s="423"/>
      <c r="AR9" s="423"/>
      <c r="AS9" s="423"/>
    </row>
    <row r="10" spans="1:45" ht="15" customHeight="1" x14ac:dyDescent="0.3">
      <c r="A10" s="398"/>
      <c r="B10" s="398"/>
      <c r="C10" s="421"/>
      <c r="D10" s="423"/>
      <c r="E10" s="423"/>
      <c r="F10" s="423"/>
      <c r="G10" s="423"/>
      <c r="H10" s="423"/>
      <c r="I10" s="5"/>
      <c r="J10" s="423"/>
      <c r="K10" s="423"/>
      <c r="L10" s="423"/>
      <c r="M10" s="423"/>
      <c r="N10" s="423"/>
      <c r="O10" s="423"/>
      <c r="P10" s="423"/>
      <c r="Q10" s="423"/>
      <c r="R10" s="423"/>
      <c r="S10" s="423"/>
      <c r="T10" s="423"/>
      <c r="U10" s="423"/>
      <c r="V10" s="423"/>
      <c r="W10" s="423"/>
      <c r="X10" s="423"/>
      <c r="Y10" s="423"/>
      <c r="Z10" s="423"/>
      <c r="AA10" s="423"/>
      <c r="AB10" s="423"/>
      <c r="AC10" s="423"/>
      <c r="AD10" s="423"/>
      <c r="AE10" s="423"/>
      <c r="AF10" s="423"/>
      <c r="AG10" s="423"/>
      <c r="AH10" s="423"/>
      <c r="AI10" s="423"/>
      <c r="AJ10" s="423"/>
      <c r="AK10" s="423"/>
      <c r="AL10" s="423"/>
      <c r="AM10" s="423"/>
      <c r="AN10" s="423"/>
      <c r="AO10" s="423"/>
      <c r="AP10" s="423"/>
      <c r="AQ10" s="423"/>
      <c r="AR10" s="423"/>
      <c r="AS10" s="423"/>
    </row>
    <row r="11" spans="1:45" ht="15" customHeight="1" collapsed="1" x14ac:dyDescent="0.3">
      <c r="A11" s="415" t="s">
        <v>555</v>
      </c>
      <c r="B11" s="416"/>
      <c r="C11" s="417"/>
      <c r="D11" s="418"/>
      <c r="E11" s="416"/>
      <c r="F11" s="416"/>
      <c r="G11" s="416"/>
      <c r="H11" s="416"/>
      <c r="I11" s="416"/>
      <c r="J11" s="416"/>
      <c r="K11" s="416"/>
      <c r="L11" s="416"/>
      <c r="M11" s="416"/>
      <c r="N11" s="416"/>
      <c r="O11" s="416"/>
      <c r="P11" s="416"/>
      <c r="Q11" s="416"/>
      <c r="R11" s="416"/>
      <c r="S11" s="416"/>
      <c r="T11" s="416"/>
      <c r="U11" s="416"/>
      <c r="V11" s="416"/>
      <c r="W11" s="416"/>
      <c r="X11" s="416"/>
      <c r="Y11" s="416"/>
      <c r="Z11" s="416"/>
      <c r="AA11" s="416"/>
      <c r="AB11" s="416"/>
      <c r="AC11" s="416"/>
      <c r="AD11" s="416"/>
      <c r="AE11" s="416"/>
      <c r="AF11" s="416"/>
      <c r="AG11" s="416"/>
      <c r="AH11" s="416"/>
      <c r="AI11" s="416"/>
      <c r="AJ11" s="416"/>
      <c r="AK11" s="416"/>
      <c r="AL11" s="416"/>
      <c r="AM11" s="416"/>
      <c r="AN11" s="416"/>
      <c r="AO11" s="416"/>
      <c r="AP11" s="416"/>
      <c r="AQ11" s="416"/>
      <c r="AR11" s="416"/>
      <c r="AS11" s="416"/>
    </row>
    <row r="12" spans="1:45" ht="15" customHeight="1" x14ac:dyDescent="0.3">
      <c r="A12" s="398"/>
      <c r="B12" s="398"/>
      <c r="C12" s="421"/>
      <c r="D12" s="423"/>
      <c r="E12" s="423"/>
      <c r="F12" s="423"/>
      <c r="G12" s="423"/>
      <c r="H12" s="423"/>
      <c r="I12" s="5"/>
      <c r="J12" s="423"/>
      <c r="K12" s="423"/>
      <c r="L12" s="423"/>
      <c r="M12" s="423"/>
      <c r="N12" s="423"/>
      <c r="O12" s="423"/>
      <c r="P12" s="423"/>
      <c r="Q12" s="423"/>
      <c r="R12" s="423"/>
      <c r="S12" s="423"/>
      <c r="T12" s="423"/>
      <c r="U12" s="423"/>
      <c r="V12" s="423"/>
      <c r="W12" s="423"/>
      <c r="X12" s="423"/>
      <c r="Y12" s="423"/>
      <c r="Z12" s="423"/>
      <c r="AA12" s="423"/>
      <c r="AB12" s="423"/>
      <c r="AC12" s="423"/>
      <c r="AD12" s="423"/>
      <c r="AE12" s="423"/>
      <c r="AF12" s="423"/>
      <c r="AG12" s="423"/>
      <c r="AH12" s="423"/>
      <c r="AI12" s="423"/>
      <c r="AJ12" s="423"/>
      <c r="AK12" s="423"/>
      <c r="AL12" s="423"/>
      <c r="AM12" s="423"/>
      <c r="AN12" s="423"/>
      <c r="AO12" s="423"/>
      <c r="AP12" s="423"/>
      <c r="AQ12" s="423"/>
      <c r="AR12" s="423"/>
      <c r="AS12" s="423"/>
    </row>
    <row r="13" spans="1:45" ht="15" customHeight="1" x14ac:dyDescent="0.3">
      <c r="A13" s="428"/>
      <c r="B13" s="428"/>
      <c r="C13" s="429"/>
      <c r="D13" s="430"/>
      <c r="E13" s="1199" t="str">
        <f xml:space="preserve"> Scenarios!B$28</f>
        <v>Production case: FS or original</v>
      </c>
      <c r="F13" s="1200" t="str">
        <f xml:space="preserve"> Scenarios!C$28</f>
        <v>FS</v>
      </c>
      <c r="G13" s="1201" t="str">
        <f xml:space="preserve"> Scenarios!D$28</f>
        <v>selected</v>
      </c>
      <c r="H13" s="430"/>
      <c r="I13" s="431"/>
      <c r="J13" s="430"/>
      <c r="K13" s="430"/>
      <c r="L13" s="430"/>
      <c r="M13" s="430"/>
      <c r="N13" s="430"/>
      <c r="O13" s="430"/>
      <c r="P13" s="430"/>
      <c r="Q13" s="430"/>
      <c r="R13" s="430"/>
      <c r="S13" s="430"/>
      <c r="T13" s="430"/>
      <c r="U13" s="430"/>
      <c r="V13" s="430"/>
      <c r="W13" s="430"/>
      <c r="X13" s="430"/>
      <c r="Y13" s="430"/>
      <c r="Z13" s="430"/>
      <c r="AA13" s="430"/>
      <c r="AB13" s="430"/>
      <c r="AC13" s="430"/>
      <c r="AD13" s="430"/>
      <c r="AE13" s="430"/>
      <c r="AF13" s="430"/>
      <c r="AG13" s="430"/>
      <c r="AH13" s="430"/>
      <c r="AI13" s="430"/>
      <c r="AJ13" s="430"/>
      <c r="AK13" s="430"/>
      <c r="AL13" s="430"/>
      <c r="AM13" s="430"/>
      <c r="AN13" s="430"/>
      <c r="AO13" s="430"/>
      <c r="AP13" s="430"/>
      <c r="AQ13" s="430"/>
      <c r="AR13" s="430"/>
      <c r="AS13" s="430"/>
    </row>
    <row r="14" spans="1:45" ht="15" customHeight="1" x14ac:dyDescent="0.3">
      <c r="A14" s="428"/>
      <c r="B14" s="428"/>
      <c r="C14" s="429"/>
      <c r="D14" s="430"/>
      <c r="E14" s="1199" t="str">
        <f xml:space="preserve"> Scenarios!B$29</f>
        <v>Operating costs: FS or original</v>
      </c>
      <c r="F14" s="1200" t="str">
        <f xml:space="preserve"> Scenarios!C$29</f>
        <v>FS</v>
      </c>
      <c r="G14" s="1201" t="str">
        <f xml:space="preserve"> Scenarios!D$29</f>
        <v>selected</v>
      </c>
      <c r="H14" s="430"/>
      <c r="I14" s="431"/>
      <c r="J14" s="430"/>
      <c r="K14" s="430"/>
      <c r="L14" s="430"/>
      <c r="M14" s="430"/>
      <c r="N14" s="430"/>
      <c r="O14" s="430"/>
      <c r="P14" s="430"/>
      <c r="Q14" s="430"/>
      <c r="R14" s="430"/>
      <c r="S14" s="430"/>
      <c r="T14" s="430"/>
      <c r="U14" s="430"/>
      <c r="V14" s="430"/>
      <c r="W14" s="430"/>
      <c r="X14" s="430"/>
      <c r="Y14" s="430"/>
      <c r="Z14" s="430"/>
      <c r="AA14" s="430"/>
      <c r="AB14" s="430"/>
      <c r="AC14" s="430"/>
      <c r="AD14" s="430"/>
      <c r="AE14" s="430"/>
      <c r="AF14" s="430"/>
      <c r="AG14" s="430"/>
      <c r="AH14" s="430"/>
      <c r="AI14" s="430"/>
      <c r="AJ14" s="430"/>
      <c r="AK14" s="430"/>
      <c r="AL14" s="430"/>
      <c r="AM14" s="430"/>
      <c r="AN14" s="430"/>
      <c r="AO14" s="430"/>
      <c r="AP14" s="430"/>
      <c r="AQ14" s="430"/>
      <c r="AR14" s="430"/>
      <c r="AS14" s="430"/>
    </row>
    <row r="15" spans="1:45" ht="15" customHeight="1" x14ac:dyDescent="0.3">
      <c r="A15" s="428"/>
      <c r="B15" s="428"/>
      <c r="C15" s="429"/>
      <c r="D15" s="430"/>
      <c r="E15" s="1199" t="str">
        <f xml:space="preserve"> Scenarios!B$30</f>
        <v>Capital costs: FS or original</v>
      </c>
      <c r="F15" s="1200" t="str">
        <f xml:space="preserve"> Scenarios!C$30</f>
        <v>FS</v>
      </c>
      <c r="G15" s="1202" t="str">
        <f xml:space="preserve"> Scenarios!D$30</f>
        <v>selected</v>
      </c>
      <c r="H15" s="430"/>
      <c r="I15" s="431"/>
      <c r="J15" s="430"/>
      <c r="K15" s="430"/>
      <c r="L15" s="430"/>
      <c r="M15" s="430"/>
      <c r="N15" s="430"/>
      <c r="O15" s="430"/>
      <c r="P15" s="430"/>
      <c r="Q15" s="430"/>
      <c r="R15" s="430"/>
      <c r="S15" s="430"/>
      <c r="T15" s="430"/>
      <c r="U15" s="430"/>
      <c r="V15" s="430"/>
      <c r="W15" s="430"/>
      <c r="X15" s="430"/>
      <c r="Y15" s="430"/>
      <c r="Z15" s="430"/>
      <c r="AA15" s="430"/>
      <c r="AB15" s="430"/>
      <c r="AC15" s="430"/>
      <c r="AD15" s="430"/>
      <c r="AE15" s="430"/>
      <c r="AF15" s="430"/>
      <c r="AG15" s="430"/>
      <c r="AH15" s="430"/>
      <c r="AI15" s="430"/>
      <c r="AJ15" s="430"/>
      <c r="AK15" s="430"/>
      <c r="AL15" s="430"/>
      <c r="AM15" s="430"/>
      <c r="AN15" s="430"/>
      <c r="AO15" s="430"/>
      <c r="AP15" s="430"/>
      <c r="AQ15" s="430"/>
      <c r="AR15" s="430"/>
      <c r="AS15" s="430"/>
    </row>
    <row r="16" spans="1:45" s="70" customFormat="1" ht="15" customHeight="1" x14ac:dyDescent="0.3">
      <c r="A16" s="428"/>
      <c r="B16" s="428"/>
      <c r="C16" s="429"/>
      <c r="D16" s="430"/>
      <c r="E16" s="1199" t="str">
        <f xml:space="preserve"> Scenarios!B$31</f>
        <v>Depreciation: calculated or per FS</v>
      </c>
      <c r="F16" s="1203" t="str">
        <f xml:space="preserve"> Scenarios!C$31</f>
        <v>Calculated</v>
      </c>
      <c r="G16" s="1202" t="str">
        <f xml:space="preserve"> Scenarios!D$31</f>
        <v>selected</v>
      </c>
      <c r="H16" s="430"/>
      <c r="I16" s="431"/>
      <c r="J16" s="430"/>
      <c r="K16" s="430"/>
      <c r="L16" s="430"/>
      <c r="M16" s="430"/>
      <c r="N16" s="430"/>
      <c r="O16" s="430"/>
      <c r="P16" s="430"/>
      <c r="Q16" s="430"/>
      <c r="R16" s="430"/>
      <c r="S16" s="430"/>
      <c r="T16" s="430"/>
      <c r="U16" s="430"/>
      <c r="V16" s="430"/>
      <c r="W16" s="430"/>
      <c r="X16" s="430"/>
      <c r="Y16" s="430"/>
      <c r="Z16" s="430"/>
      <c r="AA16" s="430"/>
      <c r="AB16" s="430"/>
      <c r="AC16" s="430"/>
      <c r="AD16" s="430"/>
      <c r="AE16" s="430"/>
      <c r="AF16" s="430"/>
      <c r="AG16" s="430"/>
      <c r="AH16" s="430"/>
      <c r="AI16" s="430"/>
      <c r="AJ16" s="430"/>
      <c r="AK16" s="430"/>
      <c r="AL16" s="430"/>
      <c r="AM16" s="430"/>
      <c r="AN16" s="430"/>
      <c r="AO16" s="430"/>
      <c r="AP16" s="430"/>
      <c r="AQ16" s="430"/>
      <c r="AR16" s="430"/>
      <c r="AS16" s="430"/>
    </row>
    <row r="17" spans="1:45" ht="15" customHeight="1" x14ac:dyDescent="0.3">
      <c r="A17" s="398"/>
      <c r="B17" s="398"/>
      <c r="C17" s="421"/>
      <c r="D17" s="423"/>
      <c r="E17" s="423"/>
      <c r="F17" s="423"/>
      <c r="G17" s="423"/>
      <c r="H17" s="423"/>
      <c r="I17" s="5"/>
      <c r="J17" s="423"/>
      <c r="K17" s="423"/>
      <c r="L17" s="423"/>
      <c r="M17" s="423"/>
      <c r="N17" s="423"/>
      <c r="O17" s="423"/>
      <c r="P17" s="423"/>
      <c r="Q17" s="423"/>
      <c r="R17" s="423"/>
      <c r="S17" s="423"/>
      <c r="T17" s="423"/>
      <c r="U17" s="423"/>
      <c r="V17" s="423"/>
      <c r="W17" s="423"/>
      <c r="X17" s="423"/>
      <c r="Y17" s="423"/>
      <c r="Z17" s="423"/>
      <c r="AA17" s="423"/>
      <c r="AB17" s="423"/>
      <c r="AC17" s="423"/>
      <c r="AD17" s="423"/>
      <c r="AE17" s="423"/>
      <c r="AF17" s="423"/>
      <c r="AG17" s="423"/>
      <c r="AH17" s="423"/>
      <c r="AI17" s="423"/>
      <c r="AJ17" s="423"/>
      <c r="AK17" s="423"/>
      <c r="AL17" s="423"/>
      <c r="AM17" s="423"/>
      <c r="AN17" s="423"/>
      <c r="AO17" s="423"/>
      <c r="AP17" s="423"/>
      <c r="AQ17" s="423"/>
      <c r="AR17" s="423"/>
      <c r="AS17" s="423"/>
    </row>
    <row r="18" spans="1:45" ht="15" customHeight="1" collapsed="1" x14ac:dyDescent="0.3">
      <c r="A18" s="415" t="s">
        <v>495</v>
      </c>
      <c r="B18" s="416"/>
      <c r="C18" s="417"/>
      <c r="D18" s="418"/>
      <c r="E18" s="416"/>
      <c r="F18" s="416"/>
      <c r="G18" s="416"/>
      <c r="H18" s="416"/>
      <c r="I18" s="416"/>
      <c r="J18" s="416"/>
      <c r="K18" s="416"/>
      <c r="L18" s="416"/>
      <c r="M18" s="416"/>
      <c r="N18" s="416"/>
      <c r="O18" s="416"/>
      <c r="P18" s="416"/>
      <c r="Q18" s="416"/>
      <c r="R18" s="416"/>
      <c r="S18" s="416"/>
      <c r="T18" s="416"/>
      <c r="U18" s="416"/>
      <c r="V18" s="416"/>
      <c r="W18" s="416"/>
      <c r="X18" s="416"/>
      <c r="Y18" s="416"/>
      <c r="Z18" s="416"/>
      <c r="AA18" s="416"/>
      <c r="AB18" s="416"/>
      <c r="AC18" s="416"/>
      <c r="AD18" s="416"/>
      <c r="AE18" s="416"/>
      <c r="AF18" s="416"/>
      <c r="AG18" s="416"/>
      <c r="AH18" s="416"/>
      <c r="AI18" s="416"/>
      <c r="AJ18" s="416"/>
      <c r="AK18" s="416"/>
      <c r="AL18" s="416"/>
      <c r="AM18" s="416"/>
      <c r="AN18" s="416"/>
      <c r="AO18" s="416"/>
      <c r="AP18" s="416"/>
      <c r="AQ18" s="416"/>
      <c r="AR18" s="416"/>
      <c r="AS18" s="416"/>
    </row>
    <row r="19" spans="1:45" ht="15" customHeight="1" x14ac:dyDescent="0.3">
      <c r="A19" s="398"/>
      <c r="B19" s="398"/>
      <c r="C19" s="421"/>
      <c r="D19" s="423"/>
      <c r="E19" s="423"/>
      <c r="F19" s="423"/>
      <c r="G19" s="423"/>
      <c r="H19" s="423"/>
      <c r="I19" s="5"/>
      <c r="J19" s="423"/>
      <c r="K19" s="423"/>
      <c r="L19" s="423"/>
      <c r="M19" s="423"/>
      <c r="N19" s="423"/>
      <c r="O19" s="423"/>
      <c r="P19" s="423"/>
      <c r="Q19" s="423"/>
      <c r="R19" s="423"/>
      <c r="S19" s="423"/>
      <c r="T19" s="423"/>
      <c r="U19" s="423"/>
      <c r="V19" s="423"/>
      <c r="W19" s="423"/>
      <c r="X19" s="423"/>
      <c r="Y19" s="423"/>
      <c r="Z19" s="423"/>
      <c r="AA19" s="423"/>
      <c r="AB19" s="423"/>
      <c r="AC19" s="423"/>
      <c r="AD19" s="423"/>
      <c r="AE19" s="423"/>
      <c r="AF19" s="423"/>
      <c r="AG19" s="423"/>
      <c r="AH19" s="423"/>
      <c r="AI19" s="423"/>
      <c r="AJ19" s="423"/>
      <c r="AK19" s="423"/>
      <c r="AL19" s="423"/>
      <c r="AM19" s="423"/>
      <c r="AN19" s="423"/>
      <c r="AO19" s="423"/>
      <c r="AP19" s="423"/>
      <c r="AQ19" s="423"/>
      <c r="AR19" s="423"/>
      <c r="AS19" s="423"/>
    </row>
    <row r="20" spans="1:45" ht="15" customHeight="1" x14ac:dyDescent="0.3">
      <c r="A20" s="428"/>
      <c r="B20" s="428"/>
      <c r="C20" s="429"/>
      <c r="D20" s="430"/>
      <c r="E20" s="340" t="s">
        <v>496</v>
      </c>
      <c r="F20" s="221">
        <v>0.02</v>
      </c>
      <c r="G20" s="430"/>
      <c r="H20" s="430"/>
      <c r="I20" s="431"/>
      <c r="J20" s="430"/>
      <c r="K20" s="430"/>
      <c r="L20" s="430"/>
      <c r="M20" s="430"/>
      <c r="N20" s="430"/>
      <c r="O20" s="430"/>
      <c r="P20" s="430"/>
      <c r="Q20" s="430"/>
      <c r="R20" s="430"/>
      <c r="S20" s="430"/>
      <c r="T20" s="430"/>
      <c r="U20" s="430"/>
      <c r="V20" s="430"/>
      <c r="W20" s="430"/>
      <c r="X20" s="430"/>
      <c r="Y20" s="430"/>
      <c r="Z20" s="430"/>
      <c r="AA20" s="430"/>
      <c r="AB20" s="430"/>
      <c r="AC20" s="430"/>
      <c r="AD20" s="430"/>
      <c r="AE20" s="430"/>
      <c r="AF20" s="430"/>
      <c r="AG20" s="430"/>
      <c r="AH20" s="430"/>
      <c r="AI20" s="430"/>
      <c r="AJ20" s="430"/>
      <c r="AK20" s="430"/>
      <c r="AL20" s="430"/>
      <c r="AM20" s="430"/>
      <c r="AN20" s="430"/>
      <c r="AO20" s="430"/>
      <c r="AP20" s="430"/>
      <c r="AQ20" s="430"/>
      <c r="AR20" s="430"/>
      <c r="AS20" s="430"/>
    </row>
    <row r="21" spans="1:45" ht="15" customHeight="1" x14ac:dyDescent="0.3">
      <c r="A21" s="428"/>
      <c r="B21" s="428"/>
      <c r="C21" s="429"/>
      <c r="D21" s="430"/>
      <c r="E21" s="1007" t="str">
        <f xml:space="preserve"> Scenarios!B$45</f>
        <v>Discount rate</v>
      </c>
      <c r="F21" s="1013">
        <f xml:space="preserve"> Scenarios!C$45</f>
        <v>0.1</v>
      </c>
      <c r="G21" s="1008" t="str">
        <f xml:space="preserve"> Scenarios!D$45</f>
        <v>%nominal</v>
      </c>
      <c r="H21" s="430"/>
      <c r="I21" s="431"/>
      <c r="J21" s="430"/>
      <c r="K21" s="430"/>
      <c r="L21" s="430"/>
      <c r="M21" s="430"/>
      <c r="N21" s="430"/>
      <c r="O21" s="430"/>
      <c r="P21" s="430"/>
      <c r="Q21" s="430"/>
      <c r="R21" s="430"/>
      <c r="S21" s="430"/>
      <c r="T21" s="430"/>
      <c r="U21" s="430"/>
      <c r="V21" s="430"/>
      <c r="W21" s="430"/>
      <c r="X21" s="430"/>
      <c r="Y21" s="430"/>
      <c r="Z21" s="430"/>
      <c r="AA21" s="430"/>
      <c r="AB21" s="430"/>
      <c r="AC21" s="430"/>
      <c r="AD21" s="430"/>
      <c r="AE21" s="430"/>
      <c r="AF21" s="430"/>
      <c r="AG21" s="430"/>
      <c r="AH21" s="430"/>
      <c r="AI21" s="430"/>
      <c r="AJ21" s="430"/>
      <c r="AK21" s="430"/>
      <c r="AL21" s="430"/>
      <c r="AM21" s="430"/>
      <c r="AN21" s="430"/>
      <c r="AO21" s="430"/>
      <c r="AP21" s="430"/>
      <c r="AQ21" s="430"/>
      <c r="AR21" s="430"/>
      <c r="AS21" s="430"/>
    </row>
    <row r="22" spans="1:45" ht="15" customHeight="1" x14ac:dyDescent="0.3">
      <c r="A22" s="398"/>
      <c r="B22" s="398"/>
      <c r="C22" s="421"/>
      <c r="D22" s="423"/>
      <c r="E22" s="434"/>
      <c r="F22" s="435"/>
      <c r="G22" s="434"/>
      <c r="H22" s="423"/>
      <c r="I22" s="5"/>
      <c r="J22" s="423"/>
      <c r="K22" s="423"/>
      <c r="L22" s="423"/>
      <c r="M22" s="423"/>
      <c r="N22" s="423"/>
      <c r="O22" s="423"/>
      <c r="P22" s="423"/>
      <c r="Q22" s="423"/>
      <c r="R22" s="423"/>
      <c r="S22" s="423"/>
      <c r="T22" s="423"/>
      <c r="U22" s="423"/>
      <c r="V22" s="423"/>
      <c r="W22" s="423"/>
      <c r="X22" s="423"/>
      <c r="Y22" s="423"/>
      <c r="Z22" s="423"/>
      <c r="AA22" s="423"/>
      <c r="AB22" s="423"/>
      <c r="AC22" s="423"/>
      <c r="AD22" s="423"/>
      <c r="AE22" s="423"/>
      <c r="AF22" s="423"/>
      <c r="AG22" s="423"/>
      <c r="AH22" s="423"/>
      <c r="AI22" s="423"/>
      <c r="AJ22" s="423"/>
      <c r="AK22" s="423"/>
      <c r="AL22" s="423"/>
      <c r="AM22" s="423"/>
      <c r="AN22" s="423"/>
      <c r="AO22" s="423"/>
      <c r="AP22" s="423"/>
      <c r="AQ22" s="423"/>
      <c r="AR22" s="423"/>
      <c r="AS22" s="423"/>
    </row>
    <row r="23" spans="1:45" s="70" customFormat="1" ht="15" customHeight="1" x14ac:dyDescent="0.3">
      <c r="A23" s="428"/>
      <c r="B23" s="428"/>
      <c r="C23" s="429"/>
      <c r="D23" s="430"/>
      <c r="E23" s="834" t="s">
        <v>1005</v>
      </c>
      <c r="F23" s="798">
        <v>1.4999999999999999E-2</v>
      </c>
      <c r="G23" s="834" t="s">
        <v>34</v>
      </c>
      <c r="H23" s="430"/>
      <c r="I23" s="431"/>
      <c r="J23" s="430"/>
      <c r="K23" s="430"/>
      <c r="L23" s="430"/>
      <c r="M23" s="430"/>
      <c r="N23" s="430"/>
      <c r="O23" s="430"/>
      <c r="P23" s="430"/>
      <c r="Q23" s="430"/>
      <c r="R23" s="430"/>
      <c r="S23" s="430"/>
      <c r="T23" s="430"/>
      <c r="U23" s="430"/>
      <c r="V23" s="430"/>
      <c r="W23" s="430"/>
      <c r="X23" s="430"/>
      <c r="Y23" s="430"/>
      <c r="Z23" s="430"/>
      <c r="AA23" s="430"/>
      <c r="AB23" s="430"/>
      <c r="AC23" s="430"/>
      <c r="AD23" s="430"/>
      <c r="AE23" s="430"/>
      <c r="AF23" s="430"/>
      <c r="AG23" s="430"/>
      <c r="AH23" s="430"/>
      <c r="AI23" s="430"/>
      <c r="AJ23" s="430"/>
      <c r="AK23" s="430"/>
      <c r="AL23" s="430"/>
      <c r="AM23" s="430"/>
      <c r="AN23" s="430"/>
      <c r="AO23" s="430"/>
      <c r="AP23" s="430"/>
      <c r="AQ23" s="430"/>
      <c r="AR23" s="430"/>
      <c r="AS23" s="430"/>
    </row>
    <row r="24" spans="1:45" ht="15" customHeight="1" x14ac:dyDescent="0.3">
      <c r="A24" s="398"/>
      <c r="B24" s="398"/>
      <c r="C24" s="421"/>
      <c r="D24" s="423"/>
      <c r="E24" s="423"/>
      <c r="F24" s="423"/>
      <c r="G24" s="423"/>
      <c r="H24" s="423"/>
      <c r="I24" s="5"/>
      <c r="J24" s="423"/>
      <c r="K24" s="423"/>
      <c r="L24" s="423"/>
      <c r="M24" s="423"/>
      <c r="N24" s="423"/>
      <c r="O24" s="423"/>
      <c r="P24" s="423"/>
      <c r="Q24" s="423"/>
      <c r="R24" s="423"/>
      <c r="S24" s="423"/>
      <c r="T24" s="423"/>
      <c r="U24" s="423"/>
      <c r="V24" s="423"/>
      <c r="W24" s="423"/>
      <c r="X24" s="423"/>
      <c r="Y24" s="423"/>
      <c r="Z24" s="423"/>
      <c r="AA24" s="423"/>
      <c r="AB24" s="423"/>
      <c r="AC24" s="423"/>
      <c r="AD24" s="423"/>
      <c r="AE24" s="423"/>
      <c r="AF24" s="423"/>
      <c r="AG24" s="423"/>
      <c r="AH24" s="423"/>
      <c r="AI24" s="423"/>
      <c r="AJ24" s="423"/>
      <c r="AK24" s="423"/>
      <c r="AL24" s="423"/>
      <c r="AM24" s="423"/>
      <c r="AN24" s="423"/>
      <c r="AO24" s="423"/>
      <c r="AP24" s="423"/>
      <c r="AQ24" s="423"/>
      <c r="AR24" s="423"/>
      <c r="AS24" s="423"/>
    </row>
    <row r="25" spans="1:45" ht="15" customHeight="1" x14ac:dyDescent="0.3">
      <c r="A25" s="398"/>
      <c r="B25" s="398"/>
      <c r="C25" s="421"/>
      <c r="D25" s="423"/>
      <c r="E25" s="423"/>
      <c r="F25" s="423"/>
      <c r="G25" s="423"/>
      <c r="H25" s="423"/>
      <c r="I25" s="5"/>
      <c r="J25" s="423"/>
      <c r="K25" s="423"/>
      <c r="L25" s="423"/>
      <c r="M25" s="423"/>
      <c r="N25" s="423"/>
      <c r="O25" s="423"/>
      <c r="P25" s="423"/>
      <c r="Q25" s="423"/>
      <c r="R25" s="423"/>
      <c r="S25" s="423"/>
      <c r="T25" s="423"/>
      <c r="U25" s="423"/>
      <c r="V25" s="423"/>
      <c r="W25" s="423"/>
      <c r="X25" s="423"/>
      <c r="Y25" s="423"/>
      <c r="Z25" s="423"/>
      <c r="AA25" s="423"/>
      <c r="AB25" s="423"/>
      <c r="AC25" s="423"/>
      <c r="AD25" s="423"/>
      <c r="AE25" s="423"/>
      <c r="AF25" s="423"/>
      <c r="AG25" s="423"/>
      <c r="AH25" s="423"/>
      <c r="AI25" s="423"/>
      <c r="AJ25" s="423"/>
      <c r="AK25" s="423"/>
      <c r="AL25" s="423"/>
      <c r="AM25" s="423"/>
      <c r="AN25" s="423"/>
      <c r="AO25" s="423"/>
      <c r="AP25" s="423"/>
      <c r="AQ25" s="423"/>
      <c r="AR25" s="423"/>
      <c r="AS25" s="423"/>
    </row>
    <row r="26" spans="1:45" ht="15" customHeight="1" collapsed="1" x14ac:dyDescent="0.3">
      <c r="A26" s="415" t="s">
        <v>497</v>
      </c>
      <c r="B26" s="416"/>
      <c r="C26" s="417"/>
      <c r="D26" s="418"/>
      <c r="E26" s="416"/>
      <c r="F26" s="416"/>
      <c r="G26" s="416"/>
      <c r="H26" s="416"/>
      <c r="I26" s="416"/>
      <c r="J26" s="416"/>
      <c r="K26" s="416"/>
      <c r="L26" s="416"/>
      <c r="M26" s="416"/>
      <c r="N26" s="416"/>
      <c r="O26" s="416"/>
      <c r="P26" s="416"/>
      <c r="Q26" s="416"/>
      <c r="R26" s="416"/>
      <c r="S26" s="416"/>
      <c r="T26" s="416"/>
      <c r="U26" s="416"/>
      <c r="V26" s="416"/>
      <c r="W26" s="416"/>
      <c r="X26" s="416"/>
      <c r="Y26" s="416"/>
      <c r="Z26" s="416"/>
      <c r="AA26" s="416"/>
      <c r="AB26" s="416"/>
      <c r="AC26" s="416"/>
      <c r="AD26" s="416"/>
      <c r="AE26" s="416"/>
      <c r="AF26" s="416"/>
      <c r="AG26" s="416"/>
      <c r="AH26" s="416"/>
      <c r="AI26" s="416"/>
      <c r="AJ26" s="416"/>
      <c r="AK26" s="416"/>
      <c r="AL26" s="416"/>
      <c r="AM26" s="416"/>
      <c r="AN26" s="416"/>
      <c r="AO26" s="416"/>
      <c r="AP26" s="416"/>
      <c r="AQ26" s="416"/>
      <c r="AR26" s="416"/>
      <c r="AS26" s="416"/>
    </row>
    <row r="27" spans="1:45" ht="15" customHeight="1" x14ac:dyDescent="0.3"/>
    <row r="28" spans="1:45" s="70" customFormat="1" ht="15" customHeight="1" x14ac:dyDescent="0.3">
      <c r="E28" s="521" t="s">
        <v>967</v>
      </c>
      <c r="F28" s="907">
        <v>2025</v>
      </c>
      <c r="G28" s="499" t="s">
        <v>27</v>
      </c>
    </row>
    <row r="29" spans="1:45" s="70" customFormat="1" ht="15" customHeight="1" x14ac:dyDescent="0.3">
      <c r="E29" s="461" t="str">
        <f xml:space="preserve"> Scenarios!B$46</f>
        <v xml:space="preserve">Forecast / point forward year </v>
      </c>
      <c r="F29" s="461">
        <f xml:space="preserve"> Scenarios!C$46</f>
        <v>2025</v>
      </c>
      <c r="G29" s="461" t="str">
        <f xml:space="preserve"> Scenarios!D$46</f>
        <v>year</v>
      </c>
    </row>
    <row r="30" spans="1:45" s="70" customFormat="1" ht="15" customHeight="1" x14ac:dyDescent="0.3">
      <c r="E30" s="1011" t="str">
        <f xml:space="preserve"> Scenarios!B$53</f>
        <v>Focus year for sensitivity analysis</v>
      </c>
      <c r="F30" s="461">
        <f xml:space="preserve"> Scenarios!C$53</f>
        <v>2022</v>
      </c>
      <c r="G30" s="1011" t="str">
        <f xml:space="preserve"> Scenarios!D$53</f>
        <v>year</v>
      </c>
    </row>
    <row r="31" spans="1:45" s="70" customFormat="1" ht="15" customHeight="1" x14ac:dyDescent="0.3">
      <c r="E31" s="50" t="s">
        <v>968</v>
      </c>
      <c r="F31" s="1003">
        <v>2023</v>
      </c>
      <c r="G31" s="470" t="s">
        <v>27</v>
      </c>
    </row>
    <row r="32" spans="1:45" s="70" customFormat="1" ht="15" customHeight="1" x14ac:dyDescent="0.3">
      <c r="E32" s="50"/>
      <c r="F32" s="50"/>
      <c r="G32" s="50"/>
    </row>
    <row r="33" spans="1:45" s="70" customFormat="1" ht="15" customHeight="1" x14ac:dyDescent="0.3">
      <c r="E33" s="1014" t="str">
        <f xml:space="preserve"> Scenarios!B$23</f>
        <v>Copper production sensitivity (forecast period)</v>
      </c>
      <c r="F33" s="468">
        <f>Scenarios!C23</f>
        <v>1</v>
      </c>
      <c r="G33" s="1015" t="str">
        <f xml:space="preserve"> Scenarios!D$23</f>
        <v>%</v>
      </c>
    </row>
    <row r="34" spans="1:45" s="70" customFormat="1" ht="15" customHeight="1" x14ac:dyDescent="0.3">
      <c r="E34" s="1014" t="str">
        <f xml:space="preserve"> Scenarios!B$24</f>
        <v>Cobalt production sensitivity (forecast period)</v>
      </c>
      <c r="F34" s="468">
        <f>Scenarios!C24</f>
        <v>1</v>
      </c>
      <c r="G34" s="1015" t="str">
        <f xml:space="preserve"> Scenarios!D$24</f>
        <v>%</v>
      </c>
    </row>
    <row r="35" spans="1:45" s="70" customFormat="1" ht="15" customHeight="1" x14ac:dyDescent="0.3">
      <c r="E35" s="1014" t="str">
        <f xml:space="preserve"> Scenarios!B$25</f>
        <v>Operating cost Sensitivity (forecast period)</v>
      </c>
      <c r="F35" s="468">
        <f>Scenarios!C25</f>
        <v>1</v>
      </c>
      <c r="G35" s="1015" t="str">
        <f xml:space="preserve"> Scenarios!D$25</f>
        <v>%</v>
      </c>
    </row>
    <row r="36" spans="1:45" s="70" customFormat="1" ht="15" customHeight="1" x14ac:dyDescent="0.3">
      <c r="E36" s="1014" t="str">
        <f xml:space="preserve"> Scenarios!B$26</f>
        <v>Capital cost sensitivity (forecast period)</v>
      </c>
      <c r="F36" s="468">
        <f>Scenarios!C26</f>
        <v>1</v>
      </c>
      <c r="G36" s="1015" t="str">
        <f xml:space="preserve"> Scenarios!D$26</f>
        <v>%</v>
      </c>
    </row>
    <row r="37" spans="1:45" ht="15" customHeight="1" x14ac:dyDescent="0.3"/>
    <row r="38" spans="1:45" ht="15" customHeight="1" collapsed="1" x14ac:dyDescent="0.3">
      <c r="A38" s="415" t="s">
        <v>514</v>
      </c>
      <c r="B38" s="416"/>
      <c r="C38" s="417"/>
      <c r="D38" s="418"/>
      <c r="E38" s="416"/>
      <c r="F38" s="416"/>
      <c r="G38" s="416"/>
      <c r="H38" s="416"/>
      <c r="I38" s="416"/>
      <c r="J38" s="416"/>
      <c r="K38" s="416"/>
      <c r="L38" s="416"/>
      <c r="M38" s="416"/>
      <c r="N38" s="416"/>
      <c r="O38" s="416"/>
      <c r="P38" s="416"/>
      <c r="Q38" s="416"/>
      <c r="R38" s="416"/>
      <c r="S38" s="416"/>
      <c r="T38" s="416"/>
      <c r="U38" s="416"/>
      <c r="V38" s="416"/>
      <c r="W38" s="416"/>
      <c r="X38" s="416"/>
      <c r="Y38" s="416"/>
      <c r="Z38" s="416"/>
      <c r="AA38" s="416"/>
      <c r="AB38" s="416"/>
      <c r="AC38" s="416"/>
      <c r="AD38" s="416"/>
      <c r="AE38" s="416"/>
      <c r="AF38" s="416"/>
      <c r="AG38" s="416"/>
      <c r="AH38" s="416"/>
      <c r="AI38" s="416"/>
      <c r="AJ38" s="416"/>
      <c r="AK38" s="416"/>
      <c r="AL38" s="416"/>
      <c r="AM38" s="416"/>
      <c r="AN38" s="416"/>
      <c r="AO38" s="416"/>
      <c r="AP38" s="416"/>
      <c r="AQ38" s="416"/>
      <c r="AR38" s="416"/>
      <c r="AS38" s="416"/>
    </row>
    <row r="39" spans="1:45" ht="15" customHeight="1" x14ac:dyDescent="0.3">
      <c r="A39" s="471"/>
      <c r="B39" s="419"/>
      <c r="C39" s="472"/>
      <c r="D39" s="473"/>
      <c r="E39" s="419"/>
      <c r="F39" s="419"/>
      <c r="G39" s="419"/>
      <c r="H39" s="419"/>
      <c r="I39" s="419"/>
      <c r="J39" s="419"/>
      <c r="K39" s="419"/>
      <c r="L39" s="419"/>
      <c r="M39" s="419"/>
      <c r="N39" s="419"/>
      <c r="O39" s="419"/>
      <c r="P39" s="419"/>
      <c r="Q39" s="419"/>
      <c r="R39" s="419"/>
      <c r="S39" s="419"/>
      <c r="T39" s="419"/>
      <c r="U39" s="419"/>
      <c r="V39" s="419"/>
      <c r="W39" s="419"/>
      <c r="X39" s="419"/>
      <c r="Y39" s="419"/>
      <c r="Z39" s="419"/>
      <c r="AA39" s="419"/>
      <c r="AB39" s="419"/>
      <c r="AC39" s="419"/>
      <c r="AD39" s="419"/>
      <c r="AE39" s="419"/>
      <c r="AF39" s="419"/>
      <c r="AG39" s="419"/>
      <c r="AH39" s="419"/>
      <c r="AI39" s="419"/>
      <c r="AJ39" s="419"/>
      <c r="AK39" s="419"/>
      <c r="AL39" s="419"/>
      <c r="AM39" s="419"/>
      <c r="AN39" s="419"/>
      <c r="AO39" s="419"/>
      <c r="AP39" s="419"/>
      <c r="AQ39" s="419"/>
      <c r="AR39" s="419"/>
      <c r="AS39" s="419"/>
    </row>
    <row r="40" spans="1:45" ht="15" customHeight="1" x14ac:dyDescent="0.3">
      <c r="A40" s="625"/>
      <c r="B40" s="625"/>
      <c r="C40" s="644"/>
      <c r="D40" s="645"/>
      <c r="E40" s="1017" t="str">
        <f xml:space="preserve"> Scenarios!B$11</f>
        <v>Copper forecast price</v>
      </c>
      <c r="F40" s="1018" t="str">
        <f>Scenarios!C11</f>
        <v>IMF_WEO</v>
      </c>
      <c r="G40" s="1019" t="str">
        <f xml:space="preserve"> Scenarios!D$11</f>
        <v>option selected</v>
      </c>
      <c r="H40" s="625"/>
      <c r="I40" s="625"/>
      <c r="J40" s="625"/>
      <c r="K40" s="625"/>
      <c r="L40" s="625"/>
      <c r="M40" s="625"/>
      <c r="N40" s="625"/>
      <c r="O40" s="625"/>
      <c r="P40" s="625"/>
      <c r="Q40" s="625"/>
      <c r="R40" s="625"/>
      <c r="S40" s="625"/>
      <c r="T40" s="625"/>
      <c r="U40" s="625"/>
      <c r="V40" s="625"/>
      <c r="W40" s="625"/>
      <c r="X40" s="625"/>
      <c r="Y40" s="625"/>
      <c r="Z40" s="625"/>
      <c r="AA40" s="625"/>
      <c r="AB40" s="625"/>
      <c r="AC40" s="625"/>
      <c r="AD40" s="625"/>
      <c r="AE40" s="625"/>
      <c r="AF40" s="625"/>
      <c r="AG40" s="625"/>
      <c r="AH40" s="625"/>
      <c r="AI40" s="625"/>
      <c r="AJ40" s="625"/>
      <c r="AK40" s="625"/>
      <c r="AL40" s="625"/>
      <c r="AM40" s="625"/>
      <c r="AN40" s="625"/>
      <c r="AO40" s="625"/>
      <c r="AP40" s="625"/>
      <c r="AQ40" s="625"/>
      <c r="AR40" s="625"/>
      <c r="AS40" s="625"/>
    </row>
    <row r="41" spans="1:45" ht="15" customHeight="1" x14ac:dyDescent="0.3">
      <c r="A41" s="518"/>
      <c r="B41" s="518"/>
      <c r="C41" s="519"/>
      <c r="D41" s="520"/>
      <c r="E41" s="1017" t="str">
        <f xml:space="preserve"> Scenarios!B$12</f>
        <v>Cobalt forecast price</v>
      </c>
      <c r="F41" s="1017" t="str">
        <f>Scenarios!C12</f>
        <v>IMF_WEO</v>
      </c>
      <c r="G41" s="1020" t="str">
        <f xml:space="preserve"> Scenarios!D$12</f>
        <v>option selected</v>
      </c>
      <c r="H41" s="518"/>
      <c r="I41" s="518"/>
      <c r="J41" s="518"/>
      <c r="K41" s="518"/>
      <c r="L41" s="518"/>
      <c r="M41" s="518"/>
      <c r="N41" s="518"/>
      <c r="O41" s="518"/>
      <c r="P41" s="518"/>
      <c r="Q41" s="518"/>
      <c r="R41" s="518"/>
      <c r="S41" s="518"/>
      <c r="T41" s="518"/>
      <c r="U41" s="518"/>
      <c r="V41" s="518"/>
      <c r="W41" s="518"/>
      <c r="X41" s="518"/>
      <c r="Y41" s="518"/>
      <c r="Z41" s="518"/>
      <c r="AA41" s="518"/>
      <c r="AB41" s="518"/>
      <c r="AC41" s="518"/>
      <c r="AD41" s="518"/>
      <c r="AE41" s="518"/>
      <c r="AF41" s="518"/>
      <c r="AG41" s="518"/>
      <c r="AH41" s="518"/>
      <c r="AI41" s="518"/>
      <c r="AJ41" s="518"/>
      <c r="AK41" s="518"/>
      <c r="AL41" s="518"/>
      <c r="AM41" s="518"/>
      <c r="AN41" s="518"/>
      <c r="AO41" s="518"/>
      <c r="AP41" s="518"/>
      <c r="AQ41" s="518"/>
      <c r="AR41" s="518"/>
      <c r="AS41" s="518"/>
    </row>
    <row r="42" spans="1:45" ht="15" customHeight="1" x14ac:dyDescent="0.3">
      <c r="A42" s="625"/>
      <c r="B42" s="625"/>
      <c r="C42" s="644"/>
      <c r="D42" s="645"/>
      <c r="E42" s="1017" t="str">
        <f xml:space="preserve"> Scenarios!B$13</f>
        <v>Cu realized price method</v>
      </c>
      <c r="F42" s="1017" t="str">
        <f>Scenarios!C13</f>
        <v>SOM_Contract</v>
      </c>
      <c r="G42" s="1020" t="str">
        <f xml:space="preserve"> Scenarios!D$13</f>
        <v>selected</v>
      </c>
      <c r="H42" s="625"/>
      <c r="I42" s="625"/>
      <c r="J42" s="625"/>
      <c r="K42" s="625"/>
      <c r="L42" s="625"/>
      <c r="M42" s="625"/>
      <c r="N42" s="625"/>
      <c r="O42" s="625"/>
      <c r="P42" s="625"/>
      <c r="Q42" s="625"/>
      <c r="R42" s="625"/>
      <c r="S42" s="625"/>
      <c r="T42" s="625"/>
      <c r="U42" s="625"/>
      <c r="V42" s="625"/>
      <c r="W42" s="625"/>
      <c r="X42" s="625"/>
      <c r="Y42" s="625"/>
      <c r="Z42" s="625"/>
      <c r="AA42" s="625"/>
      <c r="AB42" s="625"/>
      <c r="AC42" s="625"/>
      <c r="AD42" s="625"/>
      <c r="AE42" s="625"/>
      <c r="AF42" s="625"/>
      <c r="AG42" s="625"/>
      <c r="AH42" s="625"/>
      <c r="AI42" s="625"/>
      <c r="AJ42" s="625"/>
      <c r="AK42" s="625"/>
      <c r="AL42" s="625"/>
      <c r="AM42" s="625"/>
      <c r="AN42" s="625"/>
      <c r="AO42" s="625"/>
      <c r="AP42" s="625"/>
      <c r="AQ42" s="625"/>
      <c r="AR42" s="625"/>
      <c r="AS42" s="625"/>
    </row>
    <row r="43" spans="1:45" ht="15" customHeight="1" x14ac:dyDescent="0.3">
      <c r="A43" s="625"/>
      <c r="B43" s="625"/>
      <c r="C43" s="644"/>
      <c r="D43" s="645"/>
      <c r="E43" s="1021" t="str">
        <f xml:space="preserve"> Scenarios!B$14</f>
        <v>Copper: Realised Price vs LME for "LMEAssumed"</v>
      </c>
      <c r="F43" s="1013">
        <f>Scenarios!C14</f>
        <v>0.95</v>
      </c>
      <c r="G43" s="1005" t="str">
        <f xml:space="preserve"> Scenarios!D$14</f>
        <v>%</v>
      </c>
      <c r="H43" s="625"/>
      <c r="I43" s="625"/>
      <c r="J43" s="625"/>
      <c r="K43" s="625"/>
      <c r="L43" s="625"/>
      <c r="M43" s="625"/>
      <c r="N43" s="625"/>
      <c r="O43" s="625"/>
      <c r="P43" s="625"/>
      <c r="Q43" s="625"/>
      <c r="R43" s="625"/>
      <c r="S43" s="625"/>
      <c r="T43" s="625"/>
      <c r="U43" s="625"/>
      <c r="V43" s="625"/>
      <c r="W43" s="625"/>
      <c r="X43" s="625"/>
      <c r="Y43" s="625"/>
      <c r="Z43" s="625"/>
      <c r="AA43" s="625"/>
      <c r="AB43" s="625"/>
      <c r="AC43" s="625"/>
      <c r="AD43" s="625"/>
      <c r="AE43" s="625"/>
      <c r="AF43" s="625"/>
      <c r="AG43" s="625"/>
      <c r="AH43" s="625"/>
      <c r="AI43" s="625"/>
      <c r="AJ43" s="625"/>
      <c r="AK43" s="625"/>
      <c r="AL43" s="625"/>
      <c r="AM43" s="625"/>
      <c r="AN43" s="625"/>
      <c r="AO43" s="625"/>
      <c r="AP43" s="625"/>
      <c r="AQ43" s="625"/>
      <c r="AR43" s="625"/>
      <c r="AS43" s="625"/>
    </row>
    <row r="44" spans="1:45" ht="15" customHeight="1" x14ac:dyDescent="0.3">
      <c r="A44" s="518"/>
      <c r="B44" s="518"/>
      <c r="C44" s="519"/>
      <c r="D44" s="520"/>
      <c r="E44" s="1017" t="str">
        <f xml:space="preserve"> Scenarios!B$15</f>
        <v>Co realized price method</v>
      </c>
      <c r="F44" s="1013" t="str">
        <f>Scenarios!C15</f>
        <v>SOM_Contract</v>
      </c>
      <c r="G44" s="1020" t="str">
        <f xml:space="preserve"> Scenarios!D$15</f>
        <v>selected</v>
      </c>
      <c r="H44" s="518"/>
      <c r="I44" s="518"/>
      <c r="J44" s="518"/>
      <c r="K44" s="518"/>
      <c r="L44" s="518"/>
      <c r="M44" s="518"/>
      <c r="N44" s="518"/>
      <c r="O44" s="518"/>
      <c r="P44" s="518"/>
      <c r="Q44" s="518"/>
      <c r="R44" s="518"/>
      <c r="S44" s="518"/>
      <c r="T44" s="518"/>
      <c r="U44" s="518"/>
      <c r="V44" s="518"/>
      <c r="W44" s="518"/>
      <c r="X44" s="518"/>
      <c r="Y44" s="518"/>
      <c r="Z44" s="518"/>
      <c r="AA44" s="518"/>
      <c r="AB44" s="518"/>
      <c r="AC44" s="518"/>
      <c r="AD44" s="518"/>
      <c r="AE44" s="518"/>
      <c r="AF44" s="518"/>
      <c r="AG44" s="518"/>
      <c r="AH44" s="518"/>
      <c r="AI44" s="518"/>
      <c r="AJ44" s="518"/>
      <c r="AK44" s="518"/>
      <c r="AL44" s="518"/>
      <c r="AM44" s="518"/>
      <c r="AN44" s="518"/>
      <c r="AO44" s="518"/>
      <c r="AP44" s="518"/>
      <c r="AQ44" s="518"/>
      <c r="AR44" s="518"/>
      <c r="AS44" s="518"/>
    </row>
    <row r="45" spans="1:45" ht="15" customHeight="1" x14ac:dyDescent="0.3">
      <c r="A45" s="625"/>
      <c r="B45" s="625"/>
      <c r="C45" s="644"/>
      <c r="D45" s="645"/>
      <c r="E45" s="1021" t="str">
        <f xml:space="preserve"> Scenarios!B$18</f>
        <v>Cobalt: Realised Price vs LME for "LMEAssumed"</v>
      </c>
      <c r="F45" s="1013">
        <f>Scenarios!C18</f>
        <v>0.9</v>
      </c>
      <c r="G45" s="1019" t="str">
        <f xml:space="preserve"> Scenarios!D$18</f>
        <v>%</v>
      </c>
      <c r="H45" s="625"/>
      <c r="I45" s="625"/>
      <c r="J45" s="625"/>
      <c r="K45" s="625"/>
      <c r="L45" s="625"/>
      <c r="M45" s="625"/>
      <c r="N45" s="625"/>
      <c r="O45" s="625"/>
      <c r="P45" s="625"/>
      <c r="Q45" s="625"/>
      <c r="R45" s="625"/>
      <c r="S45" s="625"/>
      <c r="T45" s="625"/>
      <c r="U45" s="625"/>
      <c r="V45" s="625"/>
      <c r="W45" s="625"/>
      <c r="X45" s="625"/>
      <c r="Y45" s="625"/>
      <c r="Z45" s="625"/>
      <c r="AA45" s="625"/>
      <c r="AB45" s="625"/>
      <c r="AC45" s="625"/>
      <c r="AD45" s="625"/>
      <c r="AE45" s="625"/>
      <c r="AF45" s="625"/>
      <c r="AG45" s="625"/>
      <c r="AH45" s="625"/>
      <c r="AI45" s="625"/>
      <c r="AJ45" s="625"/>
      <c r="AK45" s="625"/>
      <c r="AL45" s="625"/>
      <c r="AM45" s="625"/>
      <c r="AN45" s="625"/>
      <c r="AO45" s="625"/>
      <c r="AP45" s="625"/>
      <c r="AQ45" s="625"/>
      <c r="AR45" s="625"/>
      <c r="AS45" s="625"/>
    </row>
    <row r="46" spans="1:45" ht="15" customHeight="1" x14ac:dyDescent="0.3">
      <c r="A46" s="625"/>
      <c r="B46" s="625"/>
      <c r="C46" s="644"/>
      <c r="D46" s="645"/>
      <c r="E46" s="1021" t="str">
        <f xml:space="preserve"> Scenarios!B$19</f>
        <v>Apply selling costs FS23</v>
      </c>
      <c r="F46" s="1013" t="str">
        <f>Scenarios!C19</f>
        <v>no</v>
      </c>
      <c r="G46" s="1022" t="str">
        <f xml:space="preserve"> Scenarios!D$19</f>
        <v>selected</v>
      </c>
      <c r="H46" s="625"/>
      <c r="I46" s="625"/>
      <c r="J46" s="625"/>
      <c r="K46" s="625"/>
      <c r="L46" s="625"/>
      <c r="M46" s="625"/>
      <c r="N46" s="625"/>
      <c r="O46" s="625"/>
      <c r="P46" s="625"/>
      <c r="Q46" s="625"/>
      <c r="R46" s="625"/>
      <c r="S46" s="625"/>
      <c r="T46" s="625"/>
      <c r="U46" s="625"/>
      <c r="V46" s="625"/>
      <c r="W46" s="625"/>
      <c r="X46" s="625"/>
      <c r="Y46" s="625"/>
      <c r="Z46" s="625"/>
      <c r="AA46" s="625"/>
      <c r="AB46" s="625"/>
      <c r="AC46" s="625"/>
      <c r="AD46" s="625"/>
      <c r="AE46" s="625"/>
      <c r="AF46" s="625"/>
      <c r="AG46" s="625"/>
      <c r="AH46" s="625"/>
      <c r="AI46" s="625"/>
      <c r="AJ46" s="625"/>
      <c r="AK46" s="625"/>
      <c r="AL46" s="625"/>
      <c r="AM46" s="625"/>
      <c r="AN46" s="625"/>
      <c r="AO46" s="625"/>
      <c r="AP46" s="625"/>
      <c r="AQ46" s="625"/>
      <c r="AR46" s="625"/>
      <c r="AS46" s="625"/>
    </row>
    <row r="47" spans="1:45" ht="15" customHeight="1" x14ac:dyDescent="0.3">
      <c r="A47" s="518"/>
      <c r="B47" s="518"/>
      <c r="C47" s="519"/>
      <c r="D47" s="520"/>
      <c r="E47" s="522"/>
      <c r="F47" s="193"/>
      <c r="G47" s="522"/>
      <c r="H47" s="518"/>
      <c r="I47" s="518"/>
      <c r="J47" s="518"/>
      <c r="K47" s="518"/>
      <c r="L47" s="518"/>
      <c r="M47" s="518"/>
      <c r="N47" s="518"/>
      <c r="O47" s="518"/>
      <c r="P47" s="518"/>
      <c r="Q47" s="518"/>
      <c r="R47" s="518"/>
      <c r="S47" s="518"/>
      <c r="T47" s="518"/>
      <c r="U47" s="518"/>
      <c r="V47" s="518"/>
      <c r="W47" s="518"/>
      <c r="X47" s="518"/>
      <c r="Y47" s="518"/>
      <c r="Z47" s="518"/>
      <c r="AA47" s="518"/>
      <c r="AB47" s="518"/>
      <c r="AC47" s="518"/>
      <c r="AD47" s="518"/>
      <c r="AE47" s="518"/>
      <c r="AF47" s="518"/>
      <c r="AG47" s="518"/>
      <c r="AH47" s="518"/>
      <c r="AI47" s="518"/>
      <c r="AJ47" s="518"/>
      <c r="AK47" s="518"/>
      <c r="AL47" s="518"/>
      <c r="AM47" s="518"/>
      <c r="AN47" s="518"/>
      <c r="AO47" s="518"/>
      <c r="AP47" s="518"/>
      <c r="AQ47" s="518"/>
      <c r="AR47" s="518"/>
      <c r="AS47" s="518"/>
    </row>
    <row r="48" spans="1:45" s="70" customFormat="1" ht="15" customHeight="1" x14ac:dyDescent="0.3">
      <c r="A48" s="625"/>
      <c r="B48" s="625"/>
      <c r="C48" s="644"/>
      <c r="D48" s="645"/>
      <c r="E48" s="1045" t="str">
        <f xml:space="preserve"> Scenarios!B$16</f>
        <v>Apply Cu transport / quality discount (1 = yes)</v>
      </c>
      <c r="F48" s="1046">
        <f xml:space="preserve"> Scenarios!C$16</f>
        <v>1</v>
      </c>
      <c r="G48" s="1047" t="str">
        <f xml:space="preserve"> Scenarios!D$16</f>
        <v>flag</v>
      </c>
      <c r="H48" s="625"/>
      <c r="I48" s="625"/>
      <c r="J48" s="625"/>
      <c r="K48" s="625"/>
      <c r="L48" s="625"/>
      <c r="M48" s="625"/>
      <c r="N48" s="625"/>
      <c r="O48" s="625"/>
      <c r="P48" s="625"/>
      <c r="Q48" s="625"/>
      <c r="R48" s="625"/>
      <c r="S48" s="625"/>
      <c r="T48" s="625"/>
      <c r="U48" s="625"/>
      <c r="V48" s="625"/>
      <c r="W48" s="625"/>
      <c r="X48" s="625"/>
      <c r="Y48" s="625"/>
      <c r="Z48" s="625"/>
      <c r="AA48" s="625"/>
      <c r="AB48" s="625"/>
      <c r="AC48" s="625"/>
      <c r="AD48" s="625"/>
      <c r="AE48" s="625"/>
      <c r="AF48" s="625"/>
      <c r="AG48" s="625"/>
      <c r="AH48" s="625"/>
      <c r="AI48" s="625"/>
      <c r="AJ48" s="625"/>
      <c r="AK48" s="625"/>
      <c r="AL48" s="625"/>
      <c r="AM48" s="625"/>
      <c r="AN48" s="625"/>
      <c r="AO48" s="625"/>
      <c r="AP48" s="625"/>
      <c r="AQ48" s="625"/>
      <c r="AR48" s="625"/>
      <c r="AS48" s="625"/>
    </row>
    <row r="49" spans="1:45" ht="15" customHeight="1" x14ac:dyDescent="0.3">
      <c r="A49" s="518"/>
      <c r="B49" s="518"/>
      <c r="C49" s="519"/>
      <c r="D49" s="520"/>
      <c r="E49" s="522"/>
      <c r="F49" s="193"/>
      <c r="G49" s="522"/>
      <c r="H49" s="518"/>
      <c r="I49" s="518"/>
      <c r="J49" s="518"/>
      <c r="K49" s="518"/>
      <c r="L49" s="518"/>
      <c r="M49" s="518"/>
      <c r="N49" s="518"/>
      <c r="O49" s="518"/>
      <c r="P49" s="518"/>
      <c r="Q49" s="518"/>
      <c r="R49" s="518"/>
      <c r="S49" s="518"/>
      <c r="T49" s="518"/>
      <c r="U49" s="518"/>
      <c r="V49" s="518"/>
      <c r="W49" s="518"/>
      <c r="X49" s="518"/>
      <c r="Y49" s="518"/>
      <c r="Z49" s="518"/>
      <c r="AA49" s="518"/>
      <c r="AB49" s="518"/>
      <c r="AC49" s="518"/>
      <c r="AD49" s="518"/>
      <c r="AE49" s="518"/>
      <c r="AF49" s="518"/>
      <c r="AG49" s="518"/>
      <c r="AH49" s="518"/>
      <c r="AI49" s="518"/>
      <c r="AJ49" s="518"/>
      <c r="AK49" s="518"/>
      <c r="AL49" s="518"/>
      <c r="AM49" s="518"/>
      <c r="AN49" s="518"/>
      <c r="AO49" s="518"/>
      <c r="AP49" s="518"/>
      <c r="AQ49" s="518"/>
      <c r="AR49" s="518"/>
      <c r="AS49" s="518"/>
    </row>
    <row r="50" spans="1:45" ht="15" customHeight="1" x14ac:dyDescent="0.3">
      <c r="A50" s="625"/>
      <c r="B50" s="625"/>
      <c r="C50" s="644"/>
      <c r="D50" s="645"/>
      <c r="E50" s="1023" t="s">
        <v>604</v>
      </c>
      <c r="F50" s="240">
        <v>8500</v>
      </c>
      <c r="G50" s="1023" t="s">
        <v>321</v>
      </c>
      <c r="H50" s="625"/>
      <c r="I50" s="625"/>
      <c r="J50" s="625"/>
      <c r="K50" s="625"/>
      <c r="L50" s="625"/>
      <c r="M50" s="625"/>
      <c r="N50" s="625"/>
      <c r="O50" s="625"/>
      <c r="P50" s="625"/>
      <c r="Q50" s="625"/>
      <c r="R50" s="625"/>
      <c r="S50" s="625"/>
      <c r="T50" s="625"/>
      <c r="U50" s="625"/>
      <c r="V50" s="625"/>
      <c r="W50" s="625"/>
      <c r="X50" s="625"/>
      <c r="Y50" s="625"/>
      <c r="Z50" s="625"/>
      <c r="AA50" s="625"/>
      <c r="AB50" s="625"/>
      <c r="AC50" s="625"/>
      <c r="AD50" s="625"/>
      <c r="AE50" s="625"/>
      <c r="AF50" s="625"/>
      <c r="AG50" s="625"/>
      <c r="AH50" s="625"/>
      <c r="AI50" s="625"/>
      <c r="AJ50" s="625"/>
      <c r="AK50" s="625"/>
      <c r="AL50" s="625"/>
      <c r="AM50" s="625"/>
      <c r="AN50" s="625"/>
      <c r="AO50" s="625"/>
      <c r="AP50" s="625"/>
      <c r="AQ50" s="625"/>
      <c r="AR50" s="625"/>
      <c r="AS50" s="625"/>
    </row>
    <row r="51" spans="1:45" ht="15" customHeight="1" x14ac:dyDescent="0.3">
      <c r="A51" s="625"/>
      <c r="B51" s="625"/>
      <c r="C51" s="644"/>
      <c r="D51" s="645"/>
      <c r="E51" s="1023" t="s">
        <v>605</v>
      </c>
      <c r="F51" s="1024">
        <v>35000</v>
      </c>
      <c r="G51" s="1023" t="s">
        <v>321</v>
      </c>
      <c r="H51" s="625"/>
      <c r="I51" s="625"/>
      <c r="J51" s="625"/>
      <c r="K51" s="625"/>
      <c r="L51" s="625"/>
      <c r="M51" s="625"/>
      <c r="N51" s="625"/>
      <c r="O51" s="625"/>
      <c r="P51" s="625"/>
      <c r="Q51" s="625"/>
      <c r="R51" s="625"/>
      <c r="S51" s="625"/>
      <c r="T51" s="625"/>
      <c r="U51" s="625"/>
      <c r="V51" s="625"/>
      <c r="W51" s="625"/>
      <c r="X51" s="625"/>
      <c r="Y51" s="625"/>
      <c r="Z51" s="625"/>
      <c r="AA51" s="625"/>
      <c r="AB51" s="625"/>
      <c r="AC51" s="625"/>
      <c r="AD51" s="625"/>
      <c r="AE51" s="625"/>
      <c r="AF51" s="625"/>
      <c r="AG51" s="625"/>
      <c r="AH51" s="625"/>
      <c r="AI51" s="625"/>
      <c r="AJ51" s="625"/>
      <c r="AK51" s="625"/>
      <c r="AL51" s="625"/>
      <c r="AM51" s="625"/>
      <c r="AN51" s="625"/>
      <c r="AO51" s="625"/>
      <c r="AP51" s="625"/>
      <c r="AQ51" s="625"/>
      <c r="AR51" s="625"/>
      <c r="AS51" s="625"/>
    </row>
    <row r="52" spans="1:45" ht="15" customHeight="1" x14ac:dyDescent="0.3"/>
    <row r="53" spans="1:45" ht="15" customHeight="1" collapsed="1" x14ac:dyDescent="0.3">
      <c r="A53" s="415" t="s">
        <v>515</v>
      </c>
      <c r="B53" s="416"/>
      <c r="C53" s="417"/>
      <c r="D53" s="418"/>
      <c r="E53" s="416"/>
      <c r="F53" s="416"/>
      <c r="G53" s="416"/>
      <c r="H53" s="416"/>
      <c r="I53" s="416"/>
      <c r="J53" s="416"/>
      <c r="K53" s="416"/>
      <c r="L53" s="416"/>
      <c r="M53" s="416"/>
      <c r="N53" s="416"/>
      <c r="O53" s="416"/>
      <c r="P53" s="416"/>
      <c r="Q53" s="416"/>
      <c r="R53" s="416"/>
      <c r="S53" s="416"/>
      <c r="T53" s="416"/>
      <c r="U53" s="416"/>
      <c r="V53" s="416"/>
      <c r="W53" s="416"/>
      <c r="X53" s="416"/>
      <c r="Y53" s="416"/>
      <c r="Z53" s="416"/>
      <c r="AA53" s="416"/>
      <c r="AB53" s="416"/>
      <c r="AC53" s="416"/>
      <c r="AD53" s="416"/>
      <c r="AE53" s="416"/>
      <c r="AF53" s="416"/>
      <c r="AG53" s="416"/>
      <c r="AH53" s="416"/>
      <c r="AI53" s="416"/>
      <c r="AJ53" s="416"/>
      <c r="AK53" s="416"/>
      <c r="AL53" s="416"/>
      <c r="AM53" s="416"/>
      <c r="AN53" s="416"/>
      <c r="AO53" s="416"/>
      <c r="AP53" s="416"/>
      <c r="AQ53" s="416"/>
      <c r="AR53" s="416"/>
      <c r="AS53" s="416"/>
    </row>
    <row r="54" spans="1:45" ht="15" customHeight="1" x14ac:dyDescent="0.3">
      <c r="A54" s="398"/>
      <c r="B54" s="398"/>
      <c r="C54" s="421"/>
      <c r="D54" s="423"/>
      <c r="E54" s="423"/>
      <c r="F54" s="423"/>
      <c r="G54" s="423"/>
      <c r="H54" s="423"/>
      <c r="I54" s="5"/>
      <c r="J54" s="423"/>
      <c r="K54" s="426"/>
      <c r="L54" s="423"/>
      <c r="M54" s="423"/>
      <c r="N54" s="423"/>
      <c r="O54" s="423"/>
      <c r="P54" s="423"/>
      <c r="Q54" s="423"/>
      <c r="R54" s="423"/>
      <c r="S54" s="423"/>
      <c r="T54" s="423"/>
      <c r="U54" s="423"/>
      <c r="V54" s="423"/>
      <c r="W54" s="423"/>
      <c r="X54" s="423"/>
      <c r="Y54" s="423"/>
      <c r="Z54" s="423"/>
      <c r="AA54" s="423"/>
      <c r="AB54" s="423"/>
      <c r="AC54" s="423"/>
      <c r="AD54" s="423"/>
      <c r="AE54" s="423"/>
      <c r="AF54" s="423"/>
      <c r="AG54" s="423"/>
      <c r="AH54" s="423"/>
      <c r="AI54" s="423"/>
      <c r="AJ54" s="423"/>
      <c r="AK54" s="423"/>
      <c r="AL54" s="423"/>
      <c r="AM54" s="423"/>
      <c r="AN54" s="423"/>
      <c r="AO54" s="423"/>
      <c r="AP54" s="423"/>
      <c r="AQ54" s="423"/>
      <c r="AR54" s="423"/>
      <c r="AS54" s="423"/>
    </row>
    <row r="55" spans="1:45" ht="15" customHeight="1" x14ac:dyDescent="0.3">
      <c r="A55" s="398"/>
      <c r="B55" s="398" t="s">
        <v>1006</v>
      </c>
      <c r="C55" s="421"/>
      <c r="D55" s="423"/>
      <c r="E55" s="423"/>
      <c r="F55" s="423"/>
      <c r="G55" s="423"/>
      <c r="H55" s="423"/>
      <c r="I55" s="5"/>
      <c r="J55" s="423"/>
      <c r="K55" s="426"/>
      <c r="L55" s="423"/>
      <c r="M55" s="423"/>
      <c r="N55" s="423"/>
      <c r="O55" s="423"/>
      <c r="P55" s="423"/>
      <c r="Q55" s="423"/>
      <c r="R55" s="423"/>
      <c r="S55" s="423"/>
      <c r="T55" s="423"/>
      <c r="U55" s="423"/>
      <c r="V55" s="423"/>
      <c r="W55" s="423"/>
      <c r="X55" s="423"/>
      <c r="Y55" s="423"/>
      <c r="Z55" s="423"/>
      <c r="AA55" s="423"/>
      <c r="AB55" s="423"/>
      <c r="AC55" s="423"/>
      <c r="AD55" s="423"/>
      <c r="AE55" s="423"/>
      <c r="AF55" s="423"/>
      <c r="AG55" s="423"/>
      <c r="AH55" s="423"/>
      <c r="AI55" s="423"/>
      <c r="AJ55" s="423"/>
      <c r="AK55" s="423"/>
      <c r="AL55" s="423"/>
      <c r="AM55" s="423"/>
      <c r="AN55" s="423"/>
      <c r="AO55" s="423"/>
      <c r="AP55" s="423"/>
      <c r="AQ55" s="423"/>
      <c r="AR55" s="423"/>
      <c r="AS55" s="423"/>
    </row>
    <row r="56" spans="1:45" s="70" customFormat="1" ht="15" customHeight="1" x14ac:dyDescent="0.3">
      <c r="A56" s="428"/>
      <c r="B56" s="428"/>
      <c r="C56" s="429"/>
      <c r="D56" s="430"/>
      <c r="E56" s="470" t="s">
        <v>1007</v>
      </c>
      <c r="F56" s="1025" t="s">
        <v>735</v>
      </c>
      <c r="G56" s="615" t="s">
        <v>282</v>
      </c>
      <c r="H56" s="430"/>
      <c r="I56" s="431"/>
      <c r="J56" s="430"/>
      <c r="K56" s="432"/>
      <c r="L56" s="430"/>
      <c r="M56" s="430"/>
      <c r="N56" s="430"/>
      <c r="O56" s="430"/>
      <c r="P56" s="430"/>
      <c r="Q56" s="430"/>
      <c r="R56" s="430"/>
      <c r="S56" s="430"/>
      <c r="T56" s="430"/>
      <c r="U56" s="430"/>
      <c r="V56" s="430"/>
      <c r="W56" s="430"/>
      <c r="X56" s="430"/>
      <c r="Y56" s="430"/>
      <c r="Z56" s="430"/>
      <c r="AA56" s="430"/>
      <c r="AB56" s="430"/>
      <c r="AC56" s="430"/>
      <c r="AD56" s="430"/>
      <c r="AE56" s="430"/>
      <c r="AF56" s="430"/>
      <c r="AG56" s="430"/>
      <c r="AH56" s="430"/>
      <c r="AI56" s="430"/>
      <c r="AJ56" s="430"/>
      <c r="AK56" s="430"/>
      <c r="AL56" s="430"/>
      <c r="AM56" s="430"/>
      <c r="AN56" s="430"/>
      <c r="AO56" s="430"/>
      <c r="AP56" s="430"/>
      <c r="AQ56" s="430"/>
      <c r="AR56" s="430"/>
      <c r="AS56" s="430"/>
    </row>
    <row r="57" spans="1:45" s="70" customFormat="1" ht="15" customHeight="1" x14ac:dyDescent="0.3">
      <c r="A57" s="428"/>
      <c r="B57" s="428"/>
      <c r="C57" s="429"/>
      <c r="D57" s="430"/>
      <c r="E57" s="470" t="s">
        <v>1007</v>
      </c>
      <c r="F57" s="1025" t="s">
        <v>887</v>
      </c>
      <c r="G57" s="615" t="s">
        <v>282</v>
      </c>
      <c r="H57" s="430"/>
      <c r="I57" s="431"/>
      <c r="J57" s="430"/>
      <c r="K57" s="432"/>
      <c r="L57" s="430"/>
      <c r="M57" s="430"/>
      <c r="N57" s="430"/>
      <c r="O57" s="430"/>
      <c r="P57" s="430"/>
      <c r="Q57" s="430"/>
      <c r="R57" s="430"/>
      <c r="S57" s="430"/>
      <c r="T57" s="430"/>
      <c r="U57" s="430"/>
      <c r="V57" s="430"/>
      <c r="W57" s="430"/>
      <c r="X57" s="430"/>
      <c r="Y57" s="430"/>
      <c r="Z57" s="430"/>
      <c r="AA57" s="430"/>
      <c r="AB57" s="430"/>
      <c r="AC57" s="430"/>
      <c r="AD57" s="430"/>
      <c r="AE57" s="430"/>
      <c r="AF57" s="430"/>
      <c r="AG57" s="430"/>
      <c r="AH57" s="430"/>
      <c r="AI57" s="430"/>
      <c r="AJ57" s="430"/>
      <c r="AK57" s="430"/>
      <c r="AL57" s="430"/>
      <c r="AM57" s="430"/>
      <c r="AN57" s="430"/>
      <c r="AO57" s="430"/>
      <c r="AP57" s="430"/>
      <c r="AQ57" s="430"/>
      <c r="AR57" s="430"/>
      <c r="AS57" s="430"/>
    </row>
    <row r="58" spans="1:45" ht="15" customHeight="1" x14ac:dyDescent="0.3">
      <c r="A58" s="398"/>
      <c r="B58" s="398"/>
      <c r="C58" s="421"/>
      <c r="D58" s="423"/>
      <c r="E58" s="423"/>
      <c r="F58" s="423"/>
      <c r="G58" s="423"/>
      <c r="H58" s="423"/>
      <c r="I58" s="5"/>
      <c r="J58" s="423"/>
      <c r="K58" s="426"/>
      <c r="L58" s="423"/>
      <c r="M58" s="423"/>
      <c r="N58" s="423"/>
      <c r="O58" s="423"/>
      <c r="P58" s="423"/>
      <c r="Q58" s="423"/>
      <c r="R58" s="423"/>
      <c r="S58" s="423"/>
      <c r="T58" s="423"/>
      <c r="U58" s="423"/>
      <c r="V58" s="423"/>
      <c r="W58" s="423"/>
      <c r="X58" s="423"/>
      <c r="Y58" s="423"/>
      <c r="Z58" s="423"/>
      <c r="AA58" s="423"/>
      <c r="AB58" s="423"/>
      <c r="AC58" s="423"/>
      <c r="AD58" s="423"/>
      <c r="AE58" s="423"/>
      <c r="AF58" s="423"/>
      <c r="AG58" s="423"/>
      <c r="AH58" s="423"/>
      <c r="AI58" s="423"/>
      <c r="AJ58" s="423"/>
      <c r="AK58" s="423"/>
      <c r="AL58" s="423"/>
      <c r="AM58" s="423"/>
      <c r="AN58" s="423"/>
      <c r="AO58" s="423"/>
      <c r="AP58" s="423"/>
      <c r="AQ58" s="423"/>
      <c r="AR58" s="423"/>
      <c r="AS58" s="423"/>
    </row>
    <row r="59" spans="1:45" ht="15" customHeight="1" x14ac:dyDescent="0.3">
      <c r="A59" s="398"/>
      <c r="B59" s="398"/>
      <c r="C59" s="421"/>
      <c r="D59" s="423"/>
      <c r="E59" s="423"/>
      <c r="F59" s="423"/>
      <c r="G59" s="423"/>
      <c r="H59" s="423"/>
      <c r="I59" s="5"/>
      <c r="J59" s="423"/>
      <c r="K59" s="426"/>
      <c r="L59" s="423"/>
      <c r="M59" s="423"/>
      <c r="N59" s="423"/>
      <c r="O59" s="423"/>
      <c r="P59" s="423"/>
      <c r="Q59" s="423"/>
      <c r="R59" s="423"/>
      <c r="S59" s="423"/>
      <c r="T59" s="423"/>
      <c r="U59" s="423"/>
      <c r="V59" s="423"/>
      <c r="W59" s="423"/>
      <c r="X59" s="423"/>
      <c r="Y59" s="423"/>
      <c r="Z59" s="423"/>
      <c r="AA59" s="423"/>
      <c r="AB59" s="423"/>
      <c r="AC59" s="423"/>
      <c r="AD59" s="423"/>
      <c r="AE59" s="423"/>
      <c r="AF59" s="423"/>
      <c r="AG59" s="423"/>
      <c r="AH59" s="423"/>
      <c r="AI59" s="423"/>
      <c r="AJ59" s="423"/>
      <c r="AK59" s="423"/>
      <c r="AL59" s="423"/>
      <c r="AM59" s="423"/>
      <c r="AN59" s="423"/>
      <c r="AO59" s="423"/>
      <c r="AP59" s="423"/>
      <c r="AQ59" s="423"/>
      <c r="AR59" s="423"/>
      <c r="AS59" s="423"/>
    </row>
    <row r="60" spans="1:45" s="70" customFormat="1" ht="15" customHeight="1" x14ac:dyDescent="0.3">
      <c r="A60" s="428"/>
      <c r="B60" s="428"/>
      <c r="C60" s="429"/>
      <c r="D60" s="430"/>
      <c r="E60" s="470" t="s">
        <v>1008</v>
      </c>
      <c r="F60" s="1044" t="s">
        <v>603</v>
      </c>
      <c r="G60" s="615" t="s">
        <v>282</v>
      </c>
      <c r="H60" s="430"/>
      <c r="I60" s="431"/>
      <c r="J60" s="430"/>
      <c r="K60" s="432"/>
      <c r="L60" s="430"/>
      <c r="M60" s="430"/>
      <c r="N60" s="430"/>
      <c r="O60" s="430"/>
      <c r="P60" s="430"/>
      <c r="Q60" s="430"/>
      <c r="R60" s="430"/>
      <c r="S60" s="430"/>
      <c r="T60" s="430"/>
      <c r="U60" s="430"/>
      <c r="V60" s="430"/>
      <c r="W60" s="430"/>
      <c r="X60" s="430"/>
      <c r="Y60" s="430"/>
      <c r="Z60" s="430"/>
      <c r="AA60" s="430"/>
      <c r="AB60" s="430"/>
      <c r="AC60" s="430"/>
      <c r="AD60" s="430"/>
      <c r="AE60" s="430"/>
      <c r="AF60" s="430"/>
      <c r="AG60" s="430"/>
      <c r="AH60" s="430"/>
      <c r="AI60" s="430"/>
      <c r="AJ60" s="430"/>
      <c r="AK60" s="430"/>
      <c r="AL60" s="430"/>
      <c r="AM60" s="430"/>
      <c r="AN60" s="430"/>
      <c r="AO60" s="430"/>
      <c r="AP60" s="430"/>
      <c r="AQ60" s="430"/>
      <c r="AR60" s="430"/>
      <c r="AS60" s="430"/>
    </row>
    <row r="61" spans="1:45" s="70" customFormat="1" ht="15" customHeight="1" x14ac:dyDescent="0.3">
      <c r="A61" s="428"/>
      <c r="B61" s="428"/>
      <c r="C61" s="429"/>
      <c r="D61" s="430"/>
      <c r="E61" s="470" t="s">
        <v>1008</v>
      </c>
      <c r="F61" s="1044" t="s">
        <v>608</v>
      </c>
      <c r="G61" s="615" t="s">
        <v>282</v>
      </c>
      <c r="H61" s="430"/>
      <c r="I61" s="431"/>
      <c r="J61" s="430"/>
      <c r="K61" s="432"/>
      <c r="L61" s="430"/>
      <c r="M61" s="430"/>
      <c r="N61" s="430"/>
      <c r="O61" s="430"/>
      <c r="P61" s="430"/>
      <c r="Q61" s="430"/>
      <c r="R61" s="430"/>
      <c r="S61" s="430"/>
      <c r="T61" s="430"/>
      <c r="U61" s="430"/>
      <c r="V61" s="430"/>
      <c r="W61" s="430"/>
      <c r="X61" s="430"/>
      <c r="Y61" s="430"/>
      <c r="Z61" s="430"/>
      <c r="AA61" s="430"/>
      <c r="AB61" s="430"/>
      <c r="AC61" s="430"/>
      <c r="AD61" s="430"/>
      <c r="AE61" s="430"/>
      <c r="AF61" s="430"/>
      <c r="AG61" s="430"/>
      <c r="AH61" s="430"/>
      <c r="AI61" s="430"/>
      <c r="AJ61" s="430"/>
      <c r="AK61" s="430"/>
      <c r="AL61" s="430"/>
      <c r="AM61" s="430"/>
      <c r="AN61" s="430"/>
      <c r="AO61" s="430"/>
      <c r="AP61" s="430"/>
      <c r="AQ61" s="430"/>
      <c r="AR61" s="430"/>
      <c r="AS61" s="430"/>
    </row>
    <row r="62" spans="1:45" ht="15" customHeight="1" x14ac:dyDescent="0.3">
      <c r="A62" s="398"/>
      <c r="B62" s="398"/>
      <c r="C62" s="421"/>
      <c r="D62" s="423"/>
      <c r="E62" s="423"/>
      <c r="F62" s="423"/>
      <c r="G62" s="423"/>
      <c r="H62" s="423"/>
      <c r="I62" s="5"/>
      <c r="J62" s="423"/>
      <c r="K62" s="426"/>
      <c r="L62" s="423"/>
      <c r="M62" s="423"/>
      <c r="N62" s="423"/>
      <c r="O62" s="423"/>
      <c r="P62" s="423"/>
      <c r="Q62" s="423"/>
      <c r="R62" s="423"/>
      <c r="S62" s="423"/>
      <c r="T62" s="423"/>
      <c r="U62" s="423"/>
      <c r="V62" s="423"/>
      <c r="W62" s="423"/>
      <c r="X62" s="423"/>
      <c r="Y62" s="423"/>
      <c r="Z62" s="423"/>
      <c r="AA62" s="423"/>
      <c r="AB62" s="423"/>
      <c r="AC62" s="423"/>
      <c r="AD62" s="423"/>
      <c r="AE62" s="423"/>
      <c r="AF62" s="423"/>
      <c r="AG62" s="423"/>
      <c r="AH62" s="423"/>
      <c r="AI62" s="423"/>
      <c r="AJ62" s="423"/>
      <c r="AK62" s="423"/>
      <c r="AL62" s="423"/>
      <c r="AM62" s="423"/>
      <c r="AN62" s="423"/>
      <c r="AO62" s="423"/>
      <c r="AP62" s="423"/>
      <c r="AQ62" s="423"/>
      <c r="AR62" s="423"/>
      <c r="AS62" s="423"/>
    </row>
    <row r="63" spans="1:45" ht="15" customHeight="1" x14ac:dyDescent="0.3">
      <c r="A63" s="398"/>
      <c r="B63" s="398" t="s">
        <v>93</v>
      </c>
      <c r="C63" s="421"/>
      <c r="D63" s="423"/>
      <c r="E63" s="423"/>
      <c r="F63" s="423"/>
      <c r="G63" s="423"/>
      <c r="H63" s="423"/>
      <c r="I63" s="5"/>
      <c r="J63" s="423"/>
      <c r="K63" s="426"/>
      <c r="L63" s="423"/>
      <c r="M63" s="423"/>
      <c r="N63" s="423"/>
      <c r="O63" s="423"/>
      <c r="P63" s="423"/>
      <c r="Q63" s="423"/>
      <c r="R63" s="423"/>
      <c r="S63" s="423"/>
      <c r="T63" s="423"/>
      <c r="U63" s="423"/>
      <c r="V63" s="423"/>
      <c r="W63" s="423"/>
      <c r="X63" s="423"/>
      <c r="Y63" s="423"/>
      <c r="Z63" s="423"/>
      <c r="AA63" s="423"/>
      <c r="AB63" s="423"/>
      <c r="AC63" s="423"/>
      <c r="AD63" s="423"/>
      <c r="AE63" s="423"/>
      <c r="AF63" s="423"/>
      <c r="AG63" s="423"/>
      <c r="AH63" s="423"/>
      <c r="AI63" s="423"/>
      <c r="AJ63" s="423"/>
      <c r="AK63" s="423"/>
      <c r="AL63" s="423"/>
      <c r="AM63" s="423"/>
      <c r="AN63" s="423"/>
      <c r="AO63" s="423"/>
      <c r="AP63" s="423"/>
      <c r="AQ63" s="423"/>
      <c r="AR63" s="423"/>
      <c r="AS63" s="423"/>
    </row>
    <row r="64" spans="1:45" ht="15" customHeight="1" x14ac:dyDescent="0.3">
      <c r="A64" s="428"/>
      <c r="B64" s="428"/>
      <c r="C64" s="429"/>
      <c r="D64" s="430"/>
      <c r="E64" s="142" t="s">
        <v>180</v>
      </c>
      <c r="F64" s="785">
        <v>0.02</v>
      </c>
      <c r="G64" s="79" t="s">
        <v>807</v>
      </c>
      <c r="H64" s="183" t="str">
        <f xml:space="preserve"> Sources!I$30</f>
        <v>XXV</v>
      </c>
      <c r="I64" s="431"/>
      <c r="J64" s="430"/>
      <c r="K64" s="432"/>
      <c r="L64" s="430"/>
      <c r="M64" s="430"/>
      <c r="N64" s="430"/>
      <c r="O64" s="430"/>
      <c r="P64" s="430"/>
      <c r="Q64" s="430"/>
      <c r="R64" s="430"/>
      <c r="S64" s="430"/>
      <c r="T64" s="430"/>
      <c r="U64" s="430"/>
      <c r="V64" s="430"/>
      <c r="W64" s="430"/>
      <c r="X64" s="430"/>
      <c r="Y64" s="430"/>
      <c r="Z64" s="430"/>
      <c r="AA64" s="430"/>
      <c r="AB64" s="430"/>
      <c r="AC64" s="430"/>
      <c r="AD64" s="430"/>
      <c r="AE64" s="430"/>
      <c r="AF64" s="430"/>
      <c r="AG64" s="430"/>
      <c r="AH64" s="430"/>
      <c r="AI64" s="430"/>
      <c r="AJ64" s="430"/>
      <c r="AK64" s="430"/>
      <c r="AL64" s="430"/>
      <c r="AM64" s="430"/>
      <c r="AN64" s="430"/>
      <c r="AO64" s="430"/>
      <c r="AP64" s="430"/>
      <c r="AQ64" s="430"/>
      <c r="AR64" s="430"/>
      <c r="AS64" s="430"/>
    </row>
    <row r="65" spans="1:45" ht="15" customHeight="1" x14ac:dyDescent="0.3">
      <c r="A65" s="428"/>
      <c r="B65" s="428"/>
      <c r="C65" s="429"/>
      <c r="D65" s="430"/>
      <c r="E65" s="142" t="s">
        <v>181</v>
      </c>
      <c r="F65" s="188">
        <v>3.5000000000000003E-2</v>
      </c>
      <c r="G65" s="79" t="s">
        <v>808</v>
      </c>
      <c r="H65" s="183" t="str">
        <f xml:space="preserve"> Sources!I$24</f>
        <v>XIX</v>
      </c>
      <c r="I65" s="431"/>
      <c r="J65" s="430"/>
      <c r="K65" s="432"/>
      <c r="L65" s="430"/>
      <c r="M65" s="430"/>
      <c r="N65" s="430"/>
      <c r="O65" s="430"/>
      <c r="P65" s="430"/>
      <c r="Q65" s="430"/>
      <c r="R65" s="430"/>
      <c r="S65" s="430"/>
      <c r="T65" s="430"/>
      <c r="U65" s="430"/>
      <c r="V65" s="430"/>
      <c r="W65" s="430"/>
      <c r="X65" s="430"/>
      <c r="Y65" s="430"/>
      <c r="Z65" s="430"/>
      <c r="AA65" s="430"/>
      <c r="AB65" s="430"/>
      <c r="AC65" s="430"/>
      <c r="AD65" s="430"/>
      <c r="AE65" s="430"/>
      <c r="AF65" s="430"/>
      <c r="AG65" s="430"/>
      <c r="AH65" s="430"/>
      <c r="AI65" s="430"/>
      <c r="AJ65" s="430"/>
      <c r="AK65" s="430"/>
      <c r="AL65" s="430"/>
      <c r="AM65" s="430"/>
      <c r="AN65" s="430"/>
      <c r="AO65" s="430"/>
      <c r="AP65" s="430"/>
      <c r="AQ65" s="430"/>
      <c r="AR65" s="430"/>
      <c r="AS65" s="430"/>
    </row>
    <row r="66" spans="1:45" ht="15" customHeight="1" x14ac:dyDescent="0.3">
      <c r="A66" s="428"/>
      <c r="B66" s="428"/>
      <c r="C66" s="429"/>
      <c r="D66" s="430"/>
      <c r="E66" s="142" t="s">
        <v>270</v>
      </c>
      <c r="F66" s="193">
        <f>AVERAGE(F64:F65)</f>
        <v>2.7500000000000004E-2</v>
      </c>
      <c r="G66" s="142" t="s">
        <v>34</v>
      </c>
      <c r="H66" s="230"/>
      <c r="I66" s="431"/>
      <c r="J66" s="430"/>
      <c r="K66" s="432"/>
      <c r="L66" s="430"/>
      <c r="M66" s="430"/>
      <c r="N66" s="430"/>
      <c r="O66" s="430"/>
      <c r="P66" s="430"/>
      <c r="Q66" s="430"/>
      <c r="R66" s="430"/>
      <c r="S66" s="430"/>
      <c r="T66" s="430"/>
      <c r="U66" s="430"/>
      <c r="V66" s="430"/>
      <c r="W66" s="430"/>
      <c r="X66" s="430"/>
      <c r="Y66" s="430"/>
      <c r="Z66" s="430"/>
      <c r="AA66" s="430"/>
      <c r="AB66" s="430"/>
      <c r="AC66" s="430"/>
      <c r="AD66" s="430"/>
      <c r="AE66" s="430"/>
      <c r="AF66" s="430"/>
      <c r="AG66" s="430"/>
      <c r="AH66" s="430"/>
      <c r="AI66" s="430"/>
      <c r="AJ66" s="430"/>
      <c r="AK66" s="430"/>
      <c r="AL66" s="430"/>
      <c r="AM66" s="430"/>
      <c r="AN66" s="430"/>
      <c r="AO66" s="430"/>
      <c r="AP66" s="430"/>
      <c r="AQ66" s="430"/>
      <c r="AR66" s="430"/>
      <c r="AS66" s="430"/>
    </row>
    <row r="67" spans="1:45" ht="15" customHeight="1" x14ac:dyDescent="0.3">
      <c r="A67" s="428"/>
      <c r="B67" s="428"/>
      <c r="C67" s="429"/>
      <c r="D67" s="430"/>
      <c r="E67" s="142"/>
      <c r="F67" s="193"/>
      <c r="G67" s="142"/>
      <c r="H67" s="230"/>
      <c r="I67" s="431"/>
      <c r="J67" s="430"/>
      <c r="K67" s="432"/>
      <c r="L67" s="430"/>
      <c r="M67" s="430"/>
      <c r="N67" s="430"/>
      <c r="O67" s="430"/>
      <c r="P67" s="430"/>
      <c r="Q67" s="430"/>
      <c r="R67" s="430"/>
      <c r="S67" s="430"/>
      <c r="T67" s="430"/>
      <c r="U67" s="430"/>
      <c r="V67" s="430"/>
      <c r="W67" s="430"/>
      <c r="X67" s="430"/>
      <c r="Y67" s="430"/>
      <c r="Z67" s="430"/>
      <c r="AA67" s="430"/>
      <c r="AB67" s="430"/>
      <c r="AC67" s="430"/>
      <c r="AD67" s="430"/>
      <c r="AE67" s="430"/>
      <c r="AF67" s="430"/>
      <c r="AG67" s="430"/>
      <c r="AH67" s="430"/>
      <c r="AI67" s="430"/>
      <c r="AJ67" s="430"/>
      <c r="AK67" s="430"/>
      <c r="AL67" s="430"/>
      <c r="AM67" s="430"/>
      <c r="AN67" s="430"/>
      <c r="AO67" s="430"/>
      <c r="AP67" s="430"/>
      <c r="AQ67" s="430"/>
      <c r="AR67" s="430"/>
      <c r="AS67" s="430"/>
    </row>
    <row r="68" spans="1:45" ht="15" customHeight="1" x14ac:dyDescent="0.3">
      <c r="A68" s="428"/>
      <c r="B68" s="428"/>
      <c r="C68" s="429"/>
      <c r="D68" s="430"/>
      <c r="E68" s="142" t="s">
        <v>110</v>
      </c>
      <c r="F68" s="828">
        <v>0.1</v>
      </c>
      <c r="G68" s="79" t="s">
        <v>808</v>
      </c>
      <c r="H68" s="183" t="str">
        <f xml:space="preserve"> Sources!I$24</f>
        <v>XIX</v>
      </c>
      <c r="I68" s="431"/>
      <c r="J68" s="430"/>
      <c r="K68" s="432"/>
      <c r="L68" s="430"/>
      <c r="M68" s="430"/>
      <c r="N68" s="430"/>
      <c r="O68" s="430"/>
      <c r="P68" s="430"/>
      <c r="Q68" s="430"/>
      <c r="R68" s="430"/>
      <c r="S68" s="430"/>
      <c r="T68" s="430"/>
      <c r="U68" s="430"/>
      <c r="V68" s="430"/>
      <c r="W68" s="430"/>
      <c r="X68" s="430"/>
      <c r="Y68" s="430"/>
      <c r="Z68" s="430"/>
      <c r="AA68" s="430"/>
      <c r="AB68" s="430"/>
      <c r="AC68" s="430"/>
      <c r="AD68" s="430"/>
      <c r="AE68" s="430"/>
      <c r="AF68" s="430"/>
      <c r="AG68" s="430"/>
      <c r="AH68" s="430"/>
      <c r="AI68" s="430"/>
      <c r="AJ68" s="430"/>
      <c r="AK68" s="430"/>
      <c r="AL68" s="430"/>
      <c r="AM68" s="430"/>
      <c r="AN68" s="430"/>
      <c r="AO68" s="430"/>
      <c r="AP68" s="430"/>
      <c r="AQ68" s="430"/>
      <c r="AR68" s="430"/>
      <c r="AS68" s="430"/>
    </row>
    <row r="69" spans="1:45" ht="15" customHeight="1" x14ac:dyDescent="0.3">
      <c r="A69" s="428"/>
      <c r="B69" s="428"/>
      <c r="C69" s="429"/>
      <c r="D69" s="430"/>
      <c r="I69" s="431"/>
      <c r="J69" s="430"/>
      <c r="K69" s="432"/>
      <c r="L69" s="430"/>
      <c r="M69" s="430"/>
      <c r="N69" s="430"/>
      <c r="O69" s="430"/>
      <c r="P69" s="430"/>
      <c r="Q69" s="430"/>
      <c r="R69" s="430"/>
      <c r="S69" s="430"/>
      <c r="T69" s="430"/>
      <c r="U69" s="430"/>
      <c r="V69" s="430"/>
      <c r="W69" s="430"/>
      <c r="X69" s="430"/>
      <c r="Y69" s="430"/>
      <c r="Z69" s="430"/>
      <c r="AA69" s="430"/>
      <c r="AB69" s="430"/>
      <c r="AC69" s="430"/>
      <c r="AD69" s="430"/>
      <c r="AE69" s="430"/>
      <c r="AF69" s="430"/>
      <c r="AG69" s="430"/>
      <c r="AH69" s="430"/>
      <c r="AI69" s="430"/>
      <c r="AJ69" s="430"/>
      <c r="AK69" s="430"/>
      <c r="AL69" s="430"/>
      <c r="AM69" s="430"/>
      <c r="AN69" s="430"/>
      <c r="AO69" s="430"/>
      <c r="AP69" s="430"/>
      <c r="AQ69" s="430"/>
      <c r="AR69" s="430"/>
      <c r="AS69" s="430"/>
    </row>
    <row r="70" spans="1:45" ht="15" customHeight="1" x14ac:dyDescent="0.3">
      <c r="A70" s="428"/>
      <c r="B70" s="428"/>
      <c r="C70" s="429"/>
      <c r="D70" s="430"/>
      <c r="E70" s="463" t="s">
        <v>809</v>
      </c>
      <c r="F70" s="833" t="s">
        <v>807</v>
      </c>
      <c r="G70" s="463" t="s">
        <v>282</v>
      </c>
      <c r="I70" s="431"/>
      <c r="J70" s="430"/>
      <c r="K70" s="432"/>
      <c r="L70" s="430"/>
      <c r="M70" s="430"/>
      <c r="N70" s="430"/>
      <c r="O70" s="430"/>
      <c r="P70" s="430"/>
      <c r="Q70" s="430"/>
      <c r="R70" s="430"/>
      <c r="S70" s="430"/>
      <c r="T70" s="430"/>
      <c r="U70" s="430"/>
      <c r="V70" s="430"/>
      <c r="W70" s="430"/>
      <c r="X70" s="430"/>
      <c r="Y70" s="430"/>
      <c r="Z70" s="430"/>
      <c r="AA70" s="430"/>
      <c r="AB70" s="430"/>
      <c r="AC70" s="430"/>
      <c r="AD70" s="430"/>
      <c r="AE70" s="430"/>
      <c r="AF70" s="430"/>
      <c r="AG70" s="430"/>
      <c r="AH70" s="430"/>
      <c r="AI70" s="430"/>
      <c r="AJ70" s="430"/>
      <c r="AK70" s="430"/>
      <c r="AL70" s="430"/>
      <c r="AM70" s="430"/>
      <c r="AN70" s="430"/>
      <c r="AO70" s="430"/>
      <c r="AP70" s="430"/>
      <c r="AQ70" s="430"/>
      <c r="AR70" s="430"/>
      <c r="AS70" s="430"/>
    </row>
    <row r="71" spans="1:45" ht="15" customHeight="1" x14ac:dyDescent="0.3">
      <c r="A71" s="428"/>
      <c r="B71" s="428"/>
      <c r="C71" s="429"/>
      <c r="D71" s="430"/>
      <c r="E71" s="463" t="s">
        <v>809</v>
      </c>
      <c r="F71" s="833" t="s">
        <v>808</v>
      </c>
      <c r="G71" s="463" t="s">
        <v>282</v>
      </c>
      <c r="I71" s="431"/>
      <c r="J71" s="430"/>
      <c r="K71" s="432"/>
      <c r="L71" s="430"/>
      <c r="M71" s="430"/>
      <c r="N71" s="430"/>
      <c r="O71" s="430"/>
      <c r="P71" s="430"/>
      <c r="Q71" s="430"/>
      <c r="R71" s="430"/>
      <c r="S71" s="430"/>
      <c r="T71" s="430"/>
      <c r="U71" s="430"/>
      <c r="V71" s="430"/>
      <c r="W71" s="430"/>
      <c r="X71" s="430"/>
      <c r="Y71" s="430"/>
      <c r="Z71" s="430"/>
      <c r="AA71" s="430"/>
      <c r="AB71" s="430"/>
      <c r="AC71" s="430"/>
      <c r="AD71" s="430"/>
      <c r="AE71" s="430"/>
      <c r="AF71" s="430"/>
      <c r="AG71" s="430"/>
      <c r="AH71" s="430"/>
      <c r="AI71" s="430"/>
      <c r="AJ71" s="430"/>
      <c r="AK71" s="430"/>
      <c r="AL71" s="430"/>
      <c r="AM71" s="430"/>
      <c r="AN71" s="430"/>
      <c r="AO71" s="430"/>
      <c r="AP71" s="430"/>
      <c r="AQ71" s="430"/>
      <c r="AR71" s="430"/>
      <c r="AS71" s="430"/>
    </row>
    <row r="72" spans="1:45" ht="15" customHeight="1" x14ac:dyDescent="0.3">
      <c r="A72" s="428"/>
      <c r="B72" s="428"/>
      <c r="C72" s="429"/>
      <c r="D72" s="430"/>
      <c r="I72" s="431"/>
      <c r="J72" s="430"/>
      <c r="K72" s="432"/>
      <c r="L72" s="430"/>
      <c r="M72" s="430"/>
      <c r="N72" s="430"/>
      <c r="O72" s="430"/>
      <c r="P72" s="430"/>
      <c r="Q72" s="430"/>
      <c r="R72" s="430"/>
      <c r="S72" s="430"/>
      <c r="T72" s="430"/>
      <c r="U72" s="430"/>
      <c r="V72" s="430"/>
      <c r="W72" s="430"/>
      <c r="X72" s="430"/>
      <c r="Y72" s="430"/>
      <c r="Z72" s="430"/>
      <c r="AA72" s="430"/>
      <c r="AB72" s="430"/>
      <c r="AC72" s="430"/>
      <c r="AD72" s="430"/>
      <c r="AE72" s="430"/>
      <c r="AF72" s="430"/>
      <c r="AG72" s="430"/>
      <c r="AH72" s="430"/>
      <c r="AI72" s="430"/>
      <c r="AJ72" s="430"/>
      <c r="AK72" s="430"/>
      <c r="AL72" s="430"/>
      <c r="AM72" s="430"/>
      <c r="AN72" s="430"/>
      <c r="AO72" s="430"/>
      <c r="AP72" s="430"/>
      <c r="AQ72" s="430"/>
      <c r="AR72" s="430"/>
      <c r="AS72" s="430"/>
    </row>
    <row r="73" spans="1:45" ht="15" customHeight="1" x14ac:dyDescent="0.3">
      <c r="A73" s="428"/>
      <c r="B73" s="398" t="s">
        <v>516</v>
      </c>
      <c r="C73" s="429"/>
      <c r="D73" s="430"/>
      <c r="E73" s="462"/>
      <c r="F73" s="423"/>
      <c r="G73" s="423"/>
      <c r="H73" s="430"/>
      <c r="I73" s="431"/>
      <c r="J73" s="430"/>
      <c r="K73" s="432"/>
      <c r="L73" s="430"/>
      <c r="M73" s="430"/>
      <c r="N73" s="430"/>
      <c r="O73" s="430"/>
      <c r="P73" s="430"/>
      <c r="Q73" s="430"/>
      <c r="R73" s="430"/>
      <c r="S73" s="430"/>
      <c r="T73" s="430"/>
      <c r="U73" s="430"/>
      <c r="V73" s="430"/>
      <c r="W73" s="430"/>
      <c r="X73" s="430"/>
      <c r="Y73" s="430"/>
      <c r="Z73" s="430"/>
      <c r="AA73" s="430"/>
      <c r="AB73" s="430"/>
      <c r="AC73" s="430"/>
      <c r="AD73" s="430"/>
      <c r="AE73" s="430"/>
      <c r="AF73" s="430"/>
      <c r="AG73" s="430"/>
      <c r="AH73" s="430"/>
      <c r="AI73" s="430"/>
      <c r="AJ73" s="430"/>
      <c r="AK73" s="430"/>
      <c r="AL73" s="430"/>
      <c r="AM73" s="430"/>
      <c r="AN73" s="430"/>
      <c r="AO73" s="430"/>
      <c r="AP73" s="430"/>
      <c r="AQ73" s="430"/>
      <c r="AR73" s="430"/>
      <c r="AS73" s="430"/>
    </row>
    <row r="74" spans="1:45" ht="15" customHeight="1" x14ac:dyDescent="0.3">
      <c r="A74" s="428"/>
      <c r="B74" s="428"/>
      <c r="C74" s="429"/>
      <c r="D74" s="430"/>
      <c r="E74" s="463" t="s">
        <v>206</v>
      </c>
      <c r="F74" s="221">
        <v>0.6</v>
      </c>
      <c r="G74" s="463" t="s">
        <v>34</v>
      </c>
      <c r="H74" s="430"/>
      <c r="I74" s="431"/>
      <c r="J74" s="430"/>
      <c r="K74" s="432"/>
      <c r="L74" s="430"/>
      <c r="M74" s="430"/>
      <c r="N74" s="430"/>
      <c r="O74" s="430"/>
      <c r="P74" s="430"/>
      <c r="Q74" s="430"/>
      <c r="R74" s="430"/>
      <c r="S74" s="430"/>
      <c r="T74" s="430"/>
      <c r="U74" s="430"/>
      <c r="V74" s="430"/>
      <c r="W74" s="430"/>
      <c r="X74" s="430"/>
      <c r="Y74" s="430"/>
      <c r="Z74" s="430"/>
      <c r="AA74" s="430"/>
      <c r="AB74" s="430"/>
      <c r="AC74" s="430"/>
      <c r="AD74" s="430"/>
      <c r="AE74" s="430"/>
      <c r="AF74" s="430"/>
      <c r="AG74" s="430"/>
      <c r="AH74" s="430"/>
      <c r="AI74" s="430"/>
      <c r="AJ74" s="430"/>
      <c r="AK74" s="430"/>
      <c r="AL74" s="430"/>
      <c r="AM74" s="430"/>
      <c r="AN74" s="430"/>
      <c r="AO74" s="430"/>
      <c r="AP74" s="430"/>
      <c r="AQ74" s="430"/>
      <c r="AR74" s="430"/>
      <c r="AS74" s="430"/>
    </row>
    <row r="75" spans="1:45" ht="15" customHeight="1" x14ac:dyDescent="0.3">
      <c r="A75" s="428"/>
      <c r="B75" s="428"/>
      <c r="C75" s="429"/>
      <c r="D75" s="430"/>
      <c r="E75" s="463" t="s">
        <v>207</v>
      </c>
      <c r="F75" s="221">
        <v>0.3</v>
      </c>
      <c r="G75" s="463" t="s">
        <v>34</v>
      </c>
      <c r="H75" s="430"/>
      <c r="I75" s="431"/>
      <c r="J75" s="430"/>
      <c r="K75" s="432"/>
      <c r="L75" s="430"/>
      <c r="M75" s="430"/>
      <c r="N75" s="430"/>
      <c r="O75" s="430"/>
      <c r="P75" s="430"/>
      <c r="Q75" s="430"/>
      <c r="R75" s="430"/>
      <c r="S75" s="430"/>
      <c r="T75" s="430"/>
      <c r="U75" s="430"/>
      <c r="V75" s="430"/>
      <c r="W75" s="430"/>
      <c r="X75" s="430"/>
      <c r="Y75" s="430"/>
      <c r="Z75" s="430"/>
      <c r="AA75" s="430"/>
      <c r="AB75" s="430"/>
      <c r="AC75" s="430"/>
      <c r="AD75" s="430"/>
      <c r="AE75" s="430"/>
      <c r="AF75" s="430"/>
      <c r="AG75" s="430"/>
      <c r="AH75" s="430"/>
      <c r="AI75" s="430"/>
      <c r="AJ75" s="430"/>
      <c r="AK75" s="430"/>
      <c r="AL75" s="430"/>
      <c r="AM75" s="430"/>
      <c r="AN75" s="430"/>
      <c r="AO75" s="430"/>
      <c r="AP75" s="430"/>
      <c r="AQ75" s="430"/>
      <c r="AR75" s="430"/>
      <c r="AS75" s="430"/>
    </row>
    <row r="76" spans="1:45" ht="15" customHeight="1" x14ac:dyDescent="0.3">
      <c r="A76" s="428"/>
      <c r="B76" s="428"/>
      <c r="C76" s="429"/>
      <c r="D76" s="430"/>
      <c r="E76" s="462"/>
      <c r="F76" s="423"/>
      <c r="G76" s="423"/>
      <c r="H76" s="430"/>
      <c r="I76" s="431"/>
      <c r="J76" s="430"/>
      <c r="K76" s="432"/>
      <c r="L76" s="430"/>
      <c r="M76" s="430"/>
      <c r="N76" s="430"/>
      <c r="O76" s="430"/>
      <c r="P76" s="430"/>
      <c r="Q76" s="430"/>
      <c r="R76" s="430"/>
      <c r="S76" s="430"/>
      <c r="T76" s="430"/>
      <c r="U76" s="430"/>
      <c r="V76" s="430"/>
      <c r="W76" s="430"/>
      <c r="X76" s="430"/>
      <c r="Y76" s="430"/>
      <c r="Z76" s="430"/>
      <c r="AA76" s="430"/>
      <c r="AB76" s="430"/>
      <c r="AC76" s="430"/>
      <c r="AD76" s="430"/>
      <c r="AE76" s="430"/>
      <c r="AF76" s="430"/>
      <c r="AG76" s="430"/>
      <c r="AH76" s="430"/>
      <c r="AI76" s="430"/>
      <c r="AJ76" s="430"/>
      <c r="AK76" s="430"/>
      <c r="AL76" s="430"/>
      <c r="AM76" s="430"/>
      <c r="AN76" s="430"/>
      <c r="AO76" s="430"/>
      <c r="AP76" s="430"/>
      <c r="AQ76" s="430"/>
      <c r="AR76" s="430"/>
      <c r="AS76" s="430"/>
    </row>
    <row r="77" spans="1:45" ht="15" customHeight="1" x14ac:dyDescent="0.3">
      <c r="A77" s="428"/>
      <c r="B77" s="428"/>
      <c r="C77" s="429"/>
      <c r="D77" s="430"/>
      <c r="E77" s="1027" t="str">
        <f xml:space="preserve"> Scenarios!B$32</f>
        <v>Straight line depreciation years (AVERAGE)</v>
      </c>
      <c r="F77" s="1028">
        <f xml:space="preserve"> Scenarios!C$32</f>
        <v>7</v>
      </c>
      <c r="G77" s="1028" t="str">
        <f xml:space="preserve"> Scenarios!D$32</f>
        <v>years</v>
      </c>
      <c r="H77" s="430"/>
      <c r="I77" s="431"/>
      <c r="J77" s="430"/>
      <c r="K77" s="432"/>
      <c r="L77" s="430"/>
      <c r="M77" s="430"/>
      <c r="N77" s="430"/>
      <c r="O77" s="430"/>
      <c r="P77" s="430"/>
      <c r="Q77" s="430"/>
      <c r="R77" s="430"/>
      <c r="S77" s="430"/>
      <c r="T77" s="430"/>
      <c r="U77" s="430"/>
      <c r="V77" s="430"/>
      <c r="W77" s="430"/>
      <c r="X77" s="430"/>
      <c r="Y77" s="430"/>
      <c r="Z77" s="430"/>
      <c r="AA77" s="430"/>
      <c r="AB77" s="430"/>
      <c r="AC77" s="430"/>
      <c r="AD77" s="430"/>
      <c r="AE77" s="430"/>
      <c r="AF77" s="430"/>
      <c r="AG77" s="430"/>
      <c r="AH77" s="430"/>
      <c r="AI77" s="430"/>
      <c r="AJ77" s="430"/>
      <c r="AK77" s="430"/>
      <c r="AL77" s="430"/>
      <c r="AM77" s="430"/>
      <c r="AN77" s="430"/>
      <c r="AO77" s="430"/>
      <c r="AP77" s="430"/>
      <c r="AQ77" s="430"/>
      <c r="AR77" s="430"/>
      <c r="AS77" s="430"/>
    </row>
    <row r="78" spans="1:45" ht="15" customHeight="1" x14ac:dyDescent="0.3">
      <c r="A78" s="428"/>
      <c r="B78" s="428"/>
      <c r="C78" s="429"/>
      <c r="D78" s="430"/>
      <c r="E78" s="462"/>
      <c r="F78" s="423"/>
      <c r="G78" s="423"/>
      <c r="H78" s="430"/>
      <c r="I78" s="431"/>
      <c r="J78" s="430"/>
      <c r="K78" s="432"/>
      <c r="L78" s="430"/>
      <c r="M78" s="430"/>
      <c r="N78" s="430"/>
      <c r="O78" s="430"/>
      <c r="P78" s="430"/>
      <c r="Q78" s="430"/>
      <c r="R78" s="430"/>
      <c r="S78" s="430"/>
      <c r="T78" s="430"/>
      <c r="U78" s="430"/>
      <c r="V78" s="430"/>
      <c r="W78" s="430"/>
      <c r="X78" s="430"/>
      <c r="Y78" s="430"/>
      <c r="Z78" s="430"/>
      <c r="AA78" s="430"/>
      <c r="AB78" s="430"/>
      <c r="AC78" s="430"/>
      <c r="AD78" s="430"/>
      <c r="AE78" s="430"/>
      <c r="AF78" s="430"/>
      <c r="AG78" s="430"/>
      <c r="AH78" s="430"/>
      <c r="AI78" s="430"/>
      <c r="AJ78" s="430"/>
      <c r="AK78" s="430"/>
      <c r="AL78" s="430"/>
      <c r="AM78" s="430"/>
      <c r="AN78" s="430"/>
      <c r="AO78" s="430"/>
      <c r="AP78" s="430"/>
      <c r="AQ78" s="430"/>
      <c r="AR78" s="430"/>
      <c r="AS78" s="430"/>
    </row>
    <row r="79" spans="1:45" ht="15" customHeight="1" x14ac:dyDescent="0.3">
      <c r="A79" s="428"/>
      <c r="B79" s="464" t="s">
        <v>517</v>
      </c>
      <c r="C79" s="429"/>
      <c r="D79" s="430"/>
      <c r="E79" s="462"/>
      <c r="F79" s="423"/>
      <c r="G79" s="423"/>
      <c r="H79" s="430"/>
      <c r="I79" s="431"/>
      <c r="J79" s="430"/>
      <c r="K79" s="432"/>
      <c r="L79" s="430"/>
      <c r="M79" s="430"/>
      <c r="N79" s="430"/>
      <c r="O79" s="430"/>
      <c r="P79" s="430"/>
      <c r="Q79" s="430"/>
      <c r="R79" s="430"/>
      <c r="S79" s="430"/>
      <c r="T79" s="430"/>
      <c r="U79" s="430"/>
      <c r="V79" s="430"/>
      <c r="W79" s="430"/>
      <c r="X79" s="430"/>
      <c r="Y79" s="430"/>
      <c r="Z79" s="430"/>
      <c r="AA79" s="430"/>
      <c r="AB79" s="430"/>
      <c r="AC79" s="430"/>
      <c r="AD79" s="430"/>
      <c r="AE79" s="430"/>
      <c r="AF79" s="430"/>
      <c r="AG79" s="430"/>
      <c r="AH79" s="430"/>
      <c r="AI79" s="430"/>
      <c r="AJ79" s="430"/>
      <c r="AK79" s="430"/>
      <c r="AL79" s="430"/>
      <c r="AM79" s="430"/>
      <c r="AN79" s="430"/>
      <c r="AO79" s="430"/>
      <c r="AP79" s="430"/>
      <c r="AQ79" s="430"/>
      <c r="AR79" s="430"/>
      <c r="AS79" s="430"/>
    </row>
    <row r="80" spans="1:45" ht="15" customHeight="1" x14ac:dyDescent="0.3">
      <c r="A80" s="428"/>
      <c r="B80" s="428"/>
      <c r="C80" s="429"/>
      <c r="D80" s="430"/>
      <c r="E80" s="615" t="s">
        <v>518</v>
      </c>
      <c r="F80" s="618" t="s">
        <v>589</v>
      </c>
      <c r="G80" s="615" t="s">
        <v>519</v>
      </c>
      <c r="H80" s="430"/>
      <c r="I80" s="431"/>
      <c r="J80" s="430"/>
      <c r="K80" s="432"/>
      <c r="L80" s="430"/>
      <c r="M80" s="430"/>
      <c r="N80" s="430"/>
      <c r="O80" s="430"/>
      <c r="P80" s="430"/>
      <c r="Q80" s="430"/>
      <c r="R80" s="430"/>
      <c r="S80" s="430"/>
      <c r="T80" s="430"/>
      <c r="U80" s="430"/>
      <c r="V80" s="430"/>
      <c r="W80" s="430"/>
      <c r="X80" s="430"/>
      <c r="Y80" s="430"/>
      <c r="Z80" s="430"/>
      <c r="AA80" s="430"/>
      <c r="AB80" s="430"/>
      <c r="AC80" s="430"/>
      <c r="AD80" s="430"/>
      <c r="AE80" s="430"/>
      <c r="AF80" s="430"/>
      <c r="AG80" s="430"/>
      <c r="AH80" s="430"/>
      <c r="AI80" s="430"/>
      <c r="AJ80" s="430"/>
      <c r="AK80" s="430"/>
      <c r="AL80" s="430"/>
      <c r="AM80" s="430"/>
      <c r="AN80" s="430"/>
      <c r="AO80" s="430"/>
      <c r="AP80" s="430"/>
      <c r="AQ80" s="430"/>
      <c r="AR80" s="430"/>
      <c r="AS80" s="430"/>
    </row>
    <row r="81" spans="1:45" ht="15" customHeight="1" x14ac:dyDescent="0.3">
      <c r="A81" s="428"/>
      <c r="B81" s="428"/>
      <c r="C81" s="429"/>
      <c r="D81" s="430"/>
      <c r="E81" s="615"/>
      <c r="F81" s="470"/>
      <c r="G81" s="615"/>
      <c r="H81" s="430"/>
      <c r="I81" s="431"/>
      <c r="J81" s="430"/>
      <c r="K81" s="432"/>
      <c r="L81" s="430"/>
      <c r="M81" s="430"/>
      <c r="N81" s="430"/>
      <c r="O81" s="430"/>
      <c r="P81" s="430"/>
      <c r="Q81" s="430"/>
      <c r="R81" s="430"/>
      <c r="S81" s="430"/>
      <c r="T81" s="430"/>
      <c r="U81" s="430"/>
      <c r="V81" s="430"/>
      <c r="W81" s="430"/>
      <c r="X81" s="430"/>
      <c r="Y81" s="430"/>
      <c r="Z81" s="430"/>
      <c r="AA81" s="430"/>
      <c r="AB81" s="430"/>
      <c r="AC81" s="430"/>
      <c r="AD81" s="430"/>
      <c r="AE81" s="430"/>
      <c r="AF81" s="430"/>
      <c r="AG81" s="430"/>
      <c r="AH81" s="430"/>
      <c r="AI81" s="430"/>
      <c r="AJ81" s="430"/>
      <c r="AK81" s="430"/>
      <c r="AL81" s="430"/>
      <c r="AM81" s="430"/>
      <c r="AN81" s="430"/>
      <c r="AO81" s="430"/>
      <c r="AP81" s="430"/>
      <c r="AQ81" s="430"/>
      <c r="AR81" s="430"/>
      <c r="AS81" s="430"/>
    </row>
    <row r="82" spans="1:45" s="70" customFormat="1" ht="15" customHeight="1" x14ac:dyDescent="0.3">
      <c r="A82" s="428"/>
      <c r="B82" s="428"/>
      <c r="C82" s="429"/>
      <c r="D82" s="430"/>
      <c r="E82" s="1026" t="str">
        <f xml:space="preserve"> Scenarios!B$27</f>
        <v>Interest deductible for CIT</v>
      </c>
      <c r="F82" s="1088">
        <f xml:space="preserve"> Scenarios!C$27</f>
        <v>1</v>
      </c>
      <c r="G82" s="1087" t="str">
        <f xml:space="preserve"> Scenarios!D$27</f>
        <v>%</v>
      </c>
      <c r="H82" s="430"/>
      <c r="I82" s="431"/>
      <c r="J82" s="430"/>
      <c r="K82" s="432"/>
      <c r="L82" s="430"/>
      <c r="M82" s="430"/>
      <c r="N82" s="430"/>
      <c r="O82" s="430"/>
      <c r="P82" s="430"/>
      <c r="Q82" s="430"/>
      <c r="R82" s="430"/>
      <c r="S82" s="430"/>
      <c r="T82" s="430"/>
      <c r="U82" s="430"/>
      <c r="V82" s="430"/>
      <c r="W82" s="430"/>
      <c r="X82" s="430"/>
      <c r="Y82" s="430"/>
      <c r="Z82" s="430"/>
      <c r="AA82" s="430"/>
      <c r="AB82" s="430"/>
      <c r="AC82" s="430"/>
      <c r="AD82" s="430"/>
      <c r="AE82" s="430"/>
      <c r="AF82" s="430"/>
      <c r="AG82" s="430"/>
      <c r="AH82" s="430"/>
      <c r="AI82" s="430"/>
      <c r="AJ82" s="430"/>
      <c r="AK82" s="430"/>
      <c r="AL82" s="430"/>
      <c r="AM82" s="430"/>
      <c r="AN82" s="430"/>
      <c r="AO82" s="430"/>
      <c r="AP82" s="430"/>
      <c r="AQ82" s="430"/>
      <c r="AR82" s="430"/>
      <c r="AS82" s="430"/>
    </row>
    <row r="83" spans="1:45" ht="15" customHeight="1" x14ac:dyDescent="0.3">
      <c r="A83" s="428"/>
      <c r="B83" s="428"/>
      <c r="C83" s="429"/>
      <c r="D83" s="430"/>
      <c r="E83" s="440"/>
      <c r="F83" s="423"/>
      <c r="G83" s="440"/>
      <c r="H83" s="430"/>
      <c r="I83" s="431"/>
      <c r="J83" s="430"/>
      <c r="K83" s="432"/>
      <c r="L83" s="430"/>
      <c r="M83" s="430"/>
      <c r="N83" s="430"/>
      <c r="O83" s="430"/>
      <c r="P83" s="430"/>
      <c r="Q83" s="430"/>
      <c r="R83" s="430"/>
      <c r="S83" s="430"/>
      <c r="T83" s="430"/>
      <c r="U83" s="430"/>
      <c r="V83" s="430"/>
      <c r="W83" s="430"/>
      <c r="X83" s="430"/>
      <c r="Y83" s="430"/>
      <c r="Z83" s="430"/>
      <c r="AA83" s="430"/>
      <c r="AB83" s="430"/>
      <c r="AC83" s="430"/>
      <c r="AD83" s="430"/>
      <c r="AE83" s="430"/>
      <c r="AF83" s="430"/>
      <c r="AG83" s="430"/>
      <c r="AH83" s="430"/>
      <c r="AI83" s="430"/>
      <c r="AJ83" s="430"/>
      <c r="AK83" s="430"/>
      <c r="AL83" s="430"/>
      <c r="AM83" s="430"/>
      <c r="AN83" s="430"/>
      <c r="AO83" s="430"/>
      <c r="AP83" s="430"/>
      <c r="AQ83" s="430"/>
      <c r="AR83" s="430"/>
      <c r="AS83" s="430"/>
    </row>
    <row r="84" spans="1:45" ht="15" customHeight="1" x14ac:dyDescent="0.3">
      <c r="A84" s="428"/>
      <c r="B84" s="428"/>
      <c r="C84" s="429"/>
      <c r="D84" s="430"/>
      <c r="E84" s="467" t="s">
        <v>229</v>
      </c>
      <c r="F84" s="188">
        <v>0.3</v>
      </c>
      <c r="G84" s="467" t="s">
        <v>34</v>
      </c>
      <c r="H84" s="430"/>
      <c r="I84" s="431"/>
      <c r="J84" s="430"/>
      <c r="K84" s="432"/>
      <c r="L84" s="430"/>
      <c r="M84" s="430"/>
      <c r="N84" s="430"/>
      <c r="O84" s="430"/>
      <c r="P84" s="430"/>
      <c r="Q84" s="430"/>
      <c r="R84" s="430"/>
      <c r="S84" s="430"/>
      <c r="T84" s="430"/>
      <c r="U84" s="430"/>
      <c r="V84" s="430"/>
      <c r="W84" s="430"/>
      <c r="X84" s="430"/>
      <c r="Y84" s="430"/>
      <c r="Z84" s="430"/>
      <c r="AA84" s="430"/>
      <c r="AB84" s="430"/>
      <c r="AC84" s="430"/>
      <c r="AD84" s="430"/>
      <c r="AE84" s="430"/>
      <c r="AF84" s="430"/>
      <c r="AG84" s="430"/>
      <c r="AH84" s="430"/>
      <c r="AI84" s="430"/>
      <c r="AJ84" s="430"/>
      <c r="AK84" s="430"/>
      <c r="AL84" s="430"/>
      <c r="AM84" s="430"/>
      <c r="AN84" s="430"/>
      <c r="AO84" s="430"/>
      <c r="AP84" s="430"/>
      <c r="AQ84" s="430"/>
      <c r="AR84" s="430"/>
      <c r="AS84" s="430"/>
    </row>
    <row r="85" spans="1:45" ht="15" customHeight="1" x14ac:dyDescent="0.3">
      <c r="A85" s="428"/>
      <c r="B85" s="428"/>
      <c r="C85" s="429"/>
      <c r="D85" s="430"/>
      <c r="E85" s="467"/>
      <c r="F85" s="193"/>
      <c r="G85" s="467"/>
      <c r="H85" s="430"/>
      <c r="I85" s="431"/>
      <c r="J85" s="430"/>
      <c r="K85" s="432"/>
      <c r="L85" s="430"/>
      <c r="M85" s="430"/>
      <c r="N85" s="430"/>
      <c r="O85" s="430"/>
      <c r="P85" s="430"/>
      <c r="Q85" s="430"/>
      <c r="R85" s="430"/>
      <c r="S85" s="430"/>
      <c r="T85" s="430"/>
      <c r="U85" s="430"/>
      <c r="V85" s="430"/>
      <c r="W85" s="430"/>
      <c r="X85" s="430"/>
      <c r="Y85" s="430"/>
      <c r="Z85" s="430"/>
      <c r="AA85" s="430"/>
      <c r="AB85" s="430"/>
      <c r="AC85" s="430"/>
      <c r="AD85" s="430"/>
      <c r="AE85" s="430"/>
      <c r="AF85" s="430"/>
      <c r="AG85" s="430"/>
      <c r="AH85" s="430"/>
      <c r="AI85" s="430"/>
      <c r="AJ85" s="430"/>
      <c r="AK85" s="430"/>
      <c r="AL85" s="430"/>
      <c r="AM85" s="430"/>
      <c r="AN85" s="430"/>
      <c r="AO85" s="430"/>
      <c r="AP85" s="430"/>
      <c r="AQ85" s="430"/>
      <c r="AR85" s="430"/>
      <c r="AS85" s="430"/>
    </row>
    <row r="86" spans="1:45" ht="15" customHeight="1" x14ac:dyDescent="0.3">
      <c r="A86" s="428"/>
      <c r="B86" s="428"/>
      <c r="C86" s="429"/>
      <c r="D86" s="430"/>
      <c r="E86" s="467" t="s">
        <v>792</v>
      </c>
      <c r="F86" s="188">
        <v>0.01</v>
      </c>
      <c r="G86" s="467" t="s">
        <v>817</v>
      </c>
      <c r="H86" s="430"/>
      <c r="I86" s="431"/>
      <c r="J86" s="430"/>
      <c r="K86" s="432"/>
      <c r="L86" s="430"/>
      <c r="M86" s="430"/>
      <c r="N86" s="430"/>
      <c r="O86" s="430"/>
      <c r="P86" s="430"/>
      <c r="Q86" s="430"/>
      <c r="R86" s="430"/>
      <c r="S86" s="430"/>
      <c r="T86" s="430"/>
      <c r="U86" s="430"/>
      <c r="V86" s="430"/>
      <c r="W86" s="430"/>
      <c r="X86" s="430"/>
      <c r="Y86" s="430"/>
      <c r="Z86" s="430"/>
      <c r="AA86" s="430"/>
      <c r="AB86" s="430"/>
      <c r="AC86" s="430"/>
      <c r="AD86" s="430"/>
      <c r="AE86" s="430"/>
      <c r="AF86" s="430"/>
      <c r="AG86" s="430"/>
      <c r="AH86" s="430"/>
      <c r="AI86" s="430"/>
      <c r="AJ86" s="430"/>
      <c r="AK86" s="430"/>
      <c r="AL86" s="430"/>
      <c r="AM86" s="430"/>
      <c r="AN86" s="430"/>
      <c r="AO86" s="430"/>
      <c r="AP86" s="430"/>
      <c r="AQ86" s="430"/>
      <c r="AR86" s="430"/>
      <c r="AS86" s="430"/>
    </row>
    <row r="87" spans="1:45" ht="15" customHeight="1" x14ac:dyDescent="0.3">
      <c r="A87" s="428"/>
      <c r="B87" s="428"/>
      <c r="C87" s="429"/>
      <c r="D87" s="430"/>
      <c r="E87" s="467"/>
      <c r="F87" s="193"/>
      <c r="G87" s="467"/>
      <c r="H87" s="430"/>
      <c r="I87" s="431"/>
      <c r="J87" s="430"/>
      <c r="K87" s="432"/>
      <c r="L87" s="430"/>
      <c r="M87" s="430"/>
      <c r="N87" s="430"/>
      <c r="O87" s="430"/>
      <c r="P87" s="430"/>
      <c r="Q87" s="430"/>
      <c r="R87" s="430"/>
      <c r="S87" s="430"/>
      <c r="T87" s="430"/>
      <c r="U87" s="430"/>
      <c r="V87" s="430"/>
      <c r="W87" s="430"/>
      <c r="X87" s="430"/>
      <c r="Y87" s="430"/>
      <c r="Z87" s="430"/>
      <c r="AA87" s="430"/>
      <c r="AB87" s="430"/>
      <c r="AC87" s="430"/>
      <c r="AD87" s="430"/>
      <c r="AE87" s="430"/>
      <c r="AF87" s="430"/>
      <c r="AG87" s="430"/>
      <c r="AH87" s="430"/>
      <c r="AI87" s="430"/>
      <c r="AJ87" s="430"/>
      <c r="AK87" s="430"/>
      <c r="AL87" s="430"/>
      <c r="AM87" s="430"/>
      <c r="AN87" s="430"/>
      <c r="AO87" s="430"/>
      <c r="AP87" s="430"/>
      <c r="AQ87" s="430"/>
      <c r="AR87" s="430"/>
      <c r="AS87" s="430"/>
    </row>
    <row r="88" spans="1:45" ht="15" customHeight="1" x14ac:dyDescent="0.3">
      <c r="A88" s="428"/>
      <c r="B88" s="464" t="s">
        <v>777</v>
      </c>
      <c r="C88" s="429"/>
      <c r="D88" s="430"/>
      <c r="E88" s="624"/>
      <c r="F88" s="470"/>
      <c r="G88" s="470"/>
      <c r="H88" s="430"/>
      <c r="I88" s="431"/>
      <c r="J88" s="430"/>
      <c r="K88" s="432"/>
      <c r="L88" s="430"/>
      <c r="M88" s="430"/>
      <c r="N88" s="430"/>
      <c r="O88" s="430"/>
      <c r="P88" s="430"/>
      <c r="Q88" s="430"/>
      <c r="R88" s="430"/>
      <c r="S88" s="430"/>
      <c r="T88" s="430"/>
      <c r="U88" s="430"/>
      <c r="V88" s="430"/>
      <c r="W88" s="430"/>
      <c r="X88" s="430"/>
      <c r="Y88" s="430"/>
      <c r="Z88" s="430"/>
      <c r="AA88" s="430"/>
      <c r="AB88" s="430"/>
      <c r="AC88" s="430"/>
      <c r="AD88" s="430"/>
      <c r="AE88" s="430"/>
      <c r="AF88" s="430"/>
      <c r="AG88" s="430"/>
      <c r="AH88" s="430"/>
      <c r="AI88" s="430"/>
      <c r="AJ88" s="430"/>
      <c r="AK88" s="430"/>
      <c r="AL88" s="430"/>
      <c r="AM88" s="430"/>
      <c r="AN88" s="430"/>
      <c r="AO88" s="430"/>
      <c r="AP88" s="430"/>
      <c r="AQ88" s="430"/>
      <c r="AR88" s="430"/>
      <c r="AS88" s="430"/>
    </row>
    <row r="89" spans="1:45" ht="15" customHeight="1" x14ac:dyDescent="0.3">
      <c r="A89" s="428"/>
      <c r="B89" s="428"/>
      <c r="C89" s="429"/>
      <c r="D89" s="430"/>
      <c r="E89" s="467" t="s">
        <v>778</v>
      </c>
      <c r="F89" s="190">
        <v>1.25</v>
      </c>
      <c r="G89" s="467" t="s">
        <v>582</v>
      </c>
      <c r="H89" s="430"/>
      <c r="I89" s="431"/>
      <c r="J89" s="430"/>
      <c r="K89" s="432"/>
      <c r="L89" s="430"/>
      <c r="M89" s="430"/>
      <c r="N89" s="430"/>
      <c r="O89" s="430"/>
      <c r="P89" s="430"/>
      <c r="Q89" s="430"/>
      <c r="R89" s="430"/>
      <c r="S89" s="430"/>
      <c r="T89" s="430"/>
      <c r="U89" s="430"/>
      <c r="V89" s="430"/>
      <c r="W89" s="430"/>
      <c r="X89" s="430"/>
      <c r="Y89" s="430"/>
      <c r="Z89" s="430"/>
      <c r="AA89" s="430"/>
      <c r="AB89" s="430"/>
      <c r="AC89" s="430"/>
      <c r="AD89" s="430"/>
      <c r="AE89" s="430"/>
      <c r="AF89" s="430"/>
      <c r="AG89" s="430"/>
      <c r="AH89" s="430"/>
      <c r="AI89" s="430"/>
      <c r="AJ89" s="430"/>
      <c r="AK89" s="430"/>
      <c r="AL89" s="430"/>
      <c r="AM89" s="430"/>
      <c r="AN89" s="430"/>
      <c r="AO89" s="430"/>
      <c r="AP89" s="430"/>
      <c r="AQ89" s="430"/>
      <c r="AR89" s="430"/>
      <c r="AS89" s="430"/>
    </row>
    <row r="90" spans="1:45" ht="15" customHeight="1" x14ac:dyDescent="0.3">
      <c r="A90" s="428"/>
      <c r="B90" s="428"/>
      <c r="C90" s="429"/>
      <c r="D90" s="430"/>
      <c r="E90" s="467" t="s">
        <v>779</v>
      </c>
      <c r="F90" s="798">
        <v>0.5</v>
      </c>
      <c r="G90" s="467" t="s">
        <v>34</v>
      </c>
      <c r="H90" s="430"/>
      <c r="I90" s="431"/>
      <c r="J90" s="430"/>
      <c r="K90" s="432"/>
      <c r="L90" s="430"/>
      <c r="M90" s="430"/>
      <c r="N90" s="430"/>
      <c r="O90" s="430"/>
      <c r="P90" s="430"/>
      <c r="Q90" s="430"/>
      <c r="R90" s="430"/>
      <c r="S90" s="430"/>
      <c r="T90" s="430"/>
      <c r="U90" s="430"/>
      <c r="V90" s="430"/>
      <c r="W90" s="430"/>
      <c r="X90" s="430"/>
      <c r="Y90" s="430"/>
      <c r="Z90" s="430"/>
      <c r="AA90" s="430"/>
      <c r="AB90" s="430"/>
      <c r="AC90" s="430"/>
      <c r="AD90" s="430"/>
      <c r="AE90" s="430"/>
      <c r="AF90" s="430"/>
      <c r="AG90" s="430"/>
      <c r="AH90" s="430"/>
      <c r="AI90" s="430"/>
      <c r="AJ90" s="430"/>
      <c r="AK90" s="430"/>
      <c r="AL90" s="430"/>
      <c r="AM90" s="430"/>
      <c r="AN90" s="430"/>
      <c r="AO90" s="430"/>
      <c r="AP90" s="430"/>
      <c r="AQ90" s="430"/>
      <c r="AR90" s="430"/>
      <c r="AS90" s="430"/>
    </row>
    <row r="91" spans="1:45" ht="15" customHeight="1" x14ac:dyDescent="0.3">
      <c r="A91" s="428"/>
      <c r="B91" s="428"/>
      <c r="C91" s="429"/>
      <c r="D91" s="430"/>
      <c r="E91" s="1027" t="str">
        <f xml:space="preserve"> Scenarios!B$34</f>
        <v>Excess Profits Tax applied (1 = yes)</v>
      </c>
      <c r="F91" s="1005">
        <f xml:space="preserve"> Scenarios!C$34</f>
        <v>1</v>
      </c>
      <c r="G91" s="1028" t="str">
        <f xml:space="preserve"> Scenarios!D$34</f>
        <v>flag</v>
      </c>
      <c r="H91" s="430"/>
      <c r="I91" s="431"/>
      <c r="J91" s="430"/>
      <c r="K91" s="432"/>
      <c r="L91" s="430"/>
      <c r="M91" s="430"/>
      <c r="N91" s="430"/>
      <c r="O91" s="430"/>
      <c r="P91" s="430"/>
      <c r="Q91" s="430"/>
      <c r="R91" s="430"/>
      <c r="S91" s="430"/>
      <c r="T91" s="430"/>
      <c r="U91" s="430"/>
      <c r="V91" s="430"/>
      <c r="W91" s="430"/>
      <c r="X91" s="430"/>
      <c r="Y91" s="430"/>
      <c r="Z91" s="430"/>
      <c r="AA91" s="430"/>
      <c r="AB91" s="430"/>
      <c r="AC91" s="430"/>
      <c r="AD91" s="430"/>
      <c r="AE91" s="430"/>
      <c r="AF91" s="430"/>
      <c r="AG91" s="430"/>
      <c r="AH91" s="430"/>
      <c r="AI91" s="430"/>
      <c r="AJ91" s="430"/>
      <c r="AK91" s="430"/>
      <c r="AL91" s="430"/>
      <c r="AM91" s="430"/>
      <c r="AN91" s="430"/>
      <c r="AO91" s="430"/>
      <c r="AP91" s="430"/>
      <c r="AQ91" s="430"/>
      <c r="AR91" s="430"/>
      <c r="AS91" s="430"/>
    </row>
    <row r="92" spans="1:45" s="70" customFormat="1" ht="15" customHeight="1" x14ac:dyDescent="0.3">
      <c r="A92" s="428"/>
      <c r="B92" s="428"/>
      <c r="C92" s="429"/>
      <c r="D92" s="430"/>
      <c r="E92" s="1004" t="str">
        <f xml:space="preserve"> Scenarios!B$35</f>
        <v>EPT: Apply inflation to FS prices and Operating Surplus</v>
      </c>
      <c r="F92" s="1005" t="str">
        <f xml:space="preserve"> Scenarios!C$35</f>
        <v>no</v>
      </c>
      <c r="G92" s="1006" t="str">
        <f xml:space="preserve"> Scenarios!D$35</f>
        <v>selected</v>
      </c>
      <c r="H92" s="430"/>
      <c r="I92" s="431"/>
      <c r="J92" s="430"/>
      <c r="K92" s="432"/>
      <c r="L92" s="430"/>
      <c r="M92" s="430"/>
      <c r="N92" s="430"/>
      <c r="O92" s="430"/>
      <c r="P92" s="430"/>
      <c r="Q92" s="430"/>
      <c r="R92" s="430"/>
      <c r="S92" s="430"/>
      <c r="T92" s="430"/>
      <c r="U92" s="430"/>
      <c r="V92" s="430"/>
      <c r="W92" s="430"/>
      <c r="X92" s="430"/>
      <c r="Y92" s="430"/>
      <c r="Z92" s="430"/>
      <c r="AA92" s="430"/>
      <c r="AB92" s="430"/>
      <c r="AC92" s="430"/>
      <c r="AD92" s="430"/>
      <c r="AE92" s="430"/>
      <c r="AF92" s="430"/>
      <c r="AG92" s="430"/>
      <c r="AH92" s="430"/>
      <c r="AI92" s="430"/>
      <c r="AJ92" s="430"/>
      <c r="AK92" s="430"/>
      <c r="AL92" s="430"/>
      <c r="AM92" s="430"/>
      <c r="AN92" s="430"/>
      <c r="AO92" s="430"/>
      <c r="AP92" s="430"/>
      <c r="AQ92" s="430"/>
      <c r="AR92" s="430"/>
      <c r="AS92" s="430"/>
    </row>
    <row r="93" spans="1:45" s="70" customFormat="1" ht="15" customHeight="1" x14ac:dyDescent="0.3">
      <c r="A93" s="428"/>
      <c r="B93" s="428"/>
      <c r="C93" s="429"/>
      <c r="D93" s="430"/>
      <c r="E93" s="467" t="s">
        <v>1004</v>
      </c>
      <c r="F93" s="523">
        <v>2019</v>
      </c>
      <c r="G93" s="467" t="s">
        <v>27</v>
      </c>
      <c r="H93" s="430"/>
      <c r="I93" s="431"/>
      <c r="J93" s="430"/>
      <c r="K93" s="432"/>
      <c r="L93" s="430"/>
      <c r="M93" s="430"/>
      <c r="N93" s="430"/>
      <c r="O93" s="430"/>
      <c r="P93" s="430"/>
      <c r="Q93" s="430"/>
      <c r="R93" s="430"/>
      <c r="S93" s="430"/>
      <c r="T93" s="430"/>
      <c r="U93" s="430"/>
      <c r="V93" s="430"/>
      <c r="W93" s="430"/>
      <c r="X93" s="430"/>
      <c r="Y93" s="430"/>
      <c r="Z93" s="430"/>
      <c r="AA93" s="430"/>
      <c r="AB93" s="430"/>
      <c r="AC93" s="430"/>
      <c r="AD93" s="430"/>
      <c r="AE93" s="430"/>
      <c r="AF93" s="430"/>
      <c r="AG93" s="430"/>
      <c r="AH93" s="430"/>
      <c r="AI93" s="430"/>
      <c r="AJ93" s="430"/>
      <c r="AK93" s="430"/>
      <c r="AL93" s="430"/>
      <c r="AM93" s="430"/>
      <c r="AN93" s="430"/>
      <c r="AO93" s="430"/>
      <c r="AP93" s="430"/>
      <c r="AQ93" s="430"/>
      <c r="AR93" s="430"/>
      <c r="AS93" s="430"/>
    </row>
    <row r="94" spans="1:45" ht="15" customHeight="1" x14ac:dyDescent="0.3">
      <c r="A94" s="428"/>
      <c r="B94" s="428"/>
      <c r="C94" s="429"/>
      <c r="D94" s="430"/>
      <c r="E94" s="462"/>
      <c r="F94" s="423"/>
      <c r="G94" s="423"/>
      <c r="H94" s="430"/>
      <c r="I94" s="431"/>
      <c r="J94" s="430"/>
      <c r="K94" s="432"/>
      <c r="L94" s="430"/>
      <c r="M94" s="430"/>
      <c r="N94" s="430"/>
      <c r="O94" s="430"/>
      <c r="P94" s="430"/>
      <c r="Q94" s="430"/>
      <c r="R94" s="430"/>
      <c r="S94" s="430"/>
      <c r="T94" s="430"/>
      <c r="U94" s="430"/>
      <c r="V94" s="430"/>
      <c r="W94" s="430"/>
      <c r="X94" s="430"/>
      <c r="Y94" s="430"/>
      <c r="Z94" s="430"/>
      <c r="AA94" s="430"/>
      <c r="AB94" s="430"/>
      <c r="AC94" s="430"/>
      <c r="AD94" s="430"/>
      <c r="AE94" s="430"/>
      <c r="AF94" s="430"/>
      <c r="AG94" s="430"/>
      <c r="AH94" s="430"/>
      <c r="AI94" s="430"/>
      <c r="AJ94" s="430"/>
      <c r="AK94" s="430"/>
      <c r="AL94" s="430"/>
      <c r="AM94" s="430"/>
      <c r="AN94" s="430"/>
      <c r="AO94" s="430"/>
      <c r="AP94" s="430"/>
      <c r="AQ94" s="430"/>
      <c r="AR94" s="430"/>
      <c r="AS94" s="430"/>
    </row>
    <row r="95" spans="1:45" ht="15" customHeight="1" x14ac:dyDescent="0.3">
      <c r="A95" s="428"/>
      <c r="B95" s="464" t="s">
        <v>1032</v>
      </c>
      <c r="C95" s="429"/>
      <c r="D95" s="430"/>
      <c r="E95" s="462"/>
      <c r="F95" s="423"/>
      <c r="G95" s="423"/>
      <c r="H95" s="430"/>
      <c r="I95" s="431"/>
      <c r="J95" s="430"/>
      <c r="K95" s="432"/>
      <c r="L95" s="430"/>
      <c r="M95" s="430"/>
      <c r="N95" s="430"/>
      <c r="O95" s="430"/>
      <c r="P95" s="430"/>
      <c r="Q95" s="430"/>
      <c r="R95" s="430"/>
      <c r="S95" s="430"/>
      <c r="T95" s="430"/>
      <c r="U95" s="430"/>
      <c r="V95" s="430"/>
      <c r="W95" s="430"/>
      <c r="X95" s="430"/>
      <c r="Y95" s="430"/>
      <c r="Z95" s="430"/>
      <c r="AA95" s="430"/>
      <c r="AB95" s="430"/>
      <c r="AC95" s="430"/>
      <c r="AD95" s="430"/>
      <c r="AE95" s="430"/>
      <c r="AF95" s="430"/>
      <c r="AG95" s="430"/>
      <c r="AH95" s="430"/>
      <c r="AI95" s="430"/>
      <c r="AJ95" s="430"/>
      <c r="AK95" s="430"/>
      <c r="AL95" s="430"/>
      <c r="AM95" s="430"/>
      <c r="AN95" s="430"/>
      <c r="AO95" s="430"/>
      <c r="AP95" s="430"/>
      <c r="AQ95" s="430"/>
      <c r="AR95" s="430"/>
      <c r="AS95" s="430"/>
    </row>
    <row r="96" spans="1:45" s="70" customFormat="1" ht="15" customHeight="1" x14ac:dyDescent="0.3">
      <c r="A96" s="428"/>
      <c r="B96" s="428"/>
      <c r="C96" s="429"/>
      <c r="D96" s="430"/>
      <c r="E96" s="1075" t="str">
        <f xml:space="preserve"> Scenarios!B$33</f>
        <v>Management fees added to operating costs</v>
      </c>
      <c r="F96" s="1076">
        <f xml:space="preserve"> Scenarios!C$33</f>
        <v>0</v>
      </c>
      <c r="G96" s="1077" t="str">
        <f xml:space="preserve"> Scenarios!D$33</f>
        <v>%</v>
      </c>
      <c r="H96" s="430"/>
      <c r="I96" s="431"/>
      <c r="J96" s="430"/>
      <c r="K96" s="432"/>
      <c r="L96" s="430"/>
      <c r="M96" s="430"/>
      <c r="N96" s="430"/>
      <c r="O96" s="430"/>
      <c r="P96" s="430"/>
      <c r="Q96" s="430"/>
      <c r="R96" s="430"/>
      <c r="S96" s="430"/>
      <c r="T96" s="430"/>
      <c r="U96" s="430"/>
      <c r="V96" s="430"/>
      <c r="W96" s="430"/>
      <c r="X96" s="430"/>
      <c r="Y96" s="430"/>
      <c r="Z96" s="430"/>
      <c r="AA96" s="430"/>
      <c r="AB96" s="430"/>
      <c r="AC96" s="430"/>
      <c r="AD96" s="430"/>
      <c r="AE96" s="430"/>
      <c r="AF96" s="430"/>
      <c r="AG96" s="430"/>
      <c r="AH96" s="430"/>
      <c r="AI96" s="430"/>
      <c r="AJ96" s="430"/>
      <c r="AK96" s="430"/>
      <c r="AL96" s="430"/>
      <c r="AM96" s="430"/>
      <c r="AN96" s="430"/>
      <c r="AO96" s="430"/>
      <c r="AP96" s="430"/>
      <c r="AQ96" s="430"/>
      <c r="AR96" s="430"/>
      <c r="AS96" s="430"/>
    </row>
    <row r="97" spans="1:45" ht="15" customHeight="1" x14ac:dyDescent="0.3">
      <c r="A97" s="428"/>
      <c r="B97" s="428"/>
      <c r="C97" s="429"/>
      <c r="D97" s="430"/>
      <c r="E97" s="462"/>
      <c r="F97" s="423"/>
      <c r="G97" s="423"/>
      <c r="H97" s="430"/>
      <c r="I97" s="431"/>
      <c r="J97" s="430"/>
      <c r="K97" s="432"/>
      <c r="L97" s="430"/>
      <c r="M97" s="430"/>
      <c r="N97" s="430"/>
      <c r="O97" s="430"/>
      <c r="P97" s="430"/>
      <c r="Q97" s="430"/>
      <c r="R97" s="430"/>
      <c r="S97" s="430"/>
      <c r="T97" s="430"/>
      <c r="U97" s="430"/>
      <c r="V97" s="430"/>
      <c r="W97" s="430"/>
      <c r="X97" s="430"/>
      <c r="Y97" s="430"/>
      <c r="Z97" s="430"/>
      <c r="AA97" s="430"/>
      <c r="AB97" s="430"/>
      <c r="AC97" s="430"/>
      <c r="AD97" s="430"/>
      <c r="AE97" s="430"/>
      <c r="AF97" s="430"/>
      <c r="AG97" s="430"/>
      <c r="AH97" s="430"/>
      <c r="AI97" s="430"/>
      <c r="AJ97" s="430"/>
      <c r="AK97" s="430"/>
      <c r="AL97" s="430"/>
      <c r="AM97" s="430"/>
      <c r="AN97" s="430"/>
      <c r="AO97" s="430"/>
      <c r="AP97" s="430"/>
      <c r="AQ97" s="430"/>
      <c r="AR97" s="430"/>
      <c r="AS97" s="430"/>
    </row>
    <row r="98" spans="1:45" ht="15" customHeight="1" x14ac:dyDescent="0.3">
      <c r="A98" s="428"/>
      <c r="B98" s="464" t="s">
        <v>712</v>
      </c>
      <c r="C98" s="429"/>
      <c r="D98" s="430"/>
      <c r="E98" s="462"/>
      <c r="F98" s="423"/>
      <c r="G98" s="423"/>
      <c r="H98" s="430"/>
      <c r="I98" s="431"/>
      <c r="J98" s="430"/>
      <c r="K98" s="432"/>
      <c r="L98" s="430"/>
      <c r="M98" s="430"/>
      <c r="N98" s="430"/>
      <c r="O98" s="430"/>
      <c r="P98" s="430"/>
      <c r="Q98" s="430"/>
      <c r="R98" s="430"/>
      <c r="S98" s="430"/>
      <c r="T98" s="430"/>
      <c r="U98" s="430"/>
      <c r="V98" s="430"/>
      <c r="W98" s="430"/>
      <c r="X98" s="430"/>
      <c r="Y98" s="430"/>
      <c r="Z98" s="430"/>
      <c r="AA98" s="430"/>
      <c r="AB98" s="430"/>
      <c r="AC98" s="430"/>
      <c r="AD98" s="430"/>
      <c r="AE98" s="430"/>
      <c r="AF98" s="430"/>
      <c r="AG98" s="430"/>
      <c r="AH98" s="430"/>
      <c r="AI98" s="430"/>
      <c r="AJ98" s="430"/>
      <c r="AK98" s="430"/>
      <c r="AL98" s="430"/>
      <c r="AM98" s="430"/>
      <c r="AN98" s="430"/>
      <c r="AO98" s="430"/>
      <c r="AP98" s="430"/>
      <c r="AQ98" s="430"/>
      <c r="AR98" s="430"/>
      <c r="AS98" s="430"/>
    </row>
    <row r="99" spans="1:45" ht="15" customHeight="1" x14ac:dyDescent="0.3">
      <c r="A99" s="428"/>
      <c r="B99" s="428"/>
      <c r="C99" s="429"/>
      <c r="D99" s="430"/>
      <c r="E99" s="624" t="s">
        <v>719</v>
      </c>
      <c r="F99" s="188">
        <v>0.05</v>
      </c>
      <c r="G99" s="470" t="s">
        <v>34</v>
      </c>
      <c r="H99" s="430"/>
      <c r="I99" s="431"/>
      <c r="J99" s="430"/>
      <c r="K99" s="432"/>
      <c r="L99" s="430"/>
      <c r="M99" s="430"/>
      <c r="N99" s="430"/>
      <c r="O99" s="430"/>
      <c r="P99" s="430"/>
      <c r="Q99" s="430"/>
      <c r="R99" s="430"/>
      <c r="S99" s="430"/>
      <c r="T99" s="430"/>
      <c r="U99" s="430"/>
      <c r="V99" s="430"/>
      <c r="W99" s="430"/>
      <c r="X99" s="430"/>
      <c r="Y99" s="430"/>
      <c r="Z99" s="430"/>
      <c r="AA99" s="430"/>
      <c r="AB99" s="430"/>
      <c r="AC99" s="430"/>
      <c r="AD99" s="430"/>
      <c r="AE99" s="430"/>
      <c r="AF99" s="430"/>
      <c r="AG99" s="430"/>
      <c r="AH99" s="430"/>
      <c r="AI99" s="430"/>
      <c r="AJ99" s="430"/>
      <c r="AK99" s="430"/>
      <c r="AL99" s="430"/>
      <c r="AM99" s="430"/>
      <c r="AN99" s="430"/>
      <c r="AO99" s="430"/>
      <c r="AP99" s="430"/>
      <c r="AQ99" s="430"/>
      <c r="AR99" s="430"/>
      <c r="AS99" s="430"/>
    </row>
    <row r="100" spans="1:45" ht="15" customHeight="1" x14ac:dyDescent="0.3">
      <c r="A100" s="428"/>
      <c r="B100" s="428"/>
      <c r="C100" s="429"/>
      <c r="D100" s="430"/>
      <c r="E100" s="1027" t="str">
        <f xml:space="preserve"> Scenarios!B$37</f>
        <v>Include Import Duties in forecast (1 = yes)</v>
      </c>
      <c r="F100" s="1005">
        <f xml:space="preserve"> Scenarios!C$37</f>
        <v>1</v>
      </c>
      <c r="G100" s="1005" t="str">
        <f xml:space="preserve"> Scenarios!D$37</f>
        <v>flag</v>
      </c>
      <c r="H100" s="430"/>
      <c r="I100" s="431"/>
      <c r="J100" s="430"/>
      <c r="K100" s="432"/>
      <c r="L100" s="430"/>
      <c r="M100" s="430"/>
      <c r="N100" s="430"/>
      <c r="O100" s="430"/>
      <c r="P100" s="430"/>
      <c r="Q100" s="430"/>
      <c r="R100" s="430"/>
      <c r="S100" s="430"/>
      <c r="T100" s="430"/>
      <c r="U100" s="430"/>
      <c r="V100" s="430"/>
      <c r="W100" s="430"/>
      <c r="X100" s="430"/>
      <c r="Y100" s="430"/>
      <c r="Z100" s="430"/>
      <c r="AA100" s="430"/>
      <c r="AB100" s="430"/>
      <c r="AC100" s="430"/>
      <c r="AD100" s="430"/>
      <c r="AE100" s="430"/>
      <c r="AF100" s="430"/>
      <c r="AG100" s="430"/>
      <c r="AH100" s="430"/>
      <c r="AI100" s="430"/>
      <c r="AJ100" s="430"/>
      <c r="AK100" s="430"/>
      <c r="AL100" s="430"/>
      <c r="AM100" s="430"/>
      <c r="AN100" s="430"/>
      <c r="AO100" s="430"/>
      <c r="AP100" s="430"/>
      <c r="AQ100" s="430"/>
      <c r="AR100" s="430"/>
      <c r="AS100" s="430"/>
    </row>
    <row r="101" spans="1:45" ht="15" customHeight="1" x14ac:dyDescent="0.3">
      <c r="A101" s="428"/>
      <c r="B101" s="428"/>
      <c r="C101" s="429"/>
      <c r="D101" s="430"/>
      <c r="E101" s="462"/>
      <c r="F101" s="423"/>
      <c r="G101" s="423"/>
      <c r="H101" s="430"/>
      <c r="I101" s="431"/>
      <c r="J101" s="430"/>
      <c r="K101" s="432"/>
      <c r="L101" s="430"/>
      <c r="M101" s="430"/>
      <c r="N101" s="430"/>
      <c r="O101" s="430"/>
      <c r="P101" s="430"/>
      <c r="Q101" s="430"/>
      <c r="R101" s="430"/>
      <c r="S101" s="430"/>
      <c r="T101" s="430"/>
      <c r="U101" s="430"/>
      <c r="V101" s="430"/>
      <c r="W101" s="430"/>
      <c r="X101" s="430"/>
      <c r="Y101" s="430"/>
      <c r="Z101" s="430"/>
      <c r="AA101" s="430"/>
      <c r="AB101" s="430"/>
      <c r="AC101" s="430"/>
      <c r="AD101" s="430"/>
      <c r="AE101" s="430"/>
      <c r="AF101" s="430"/>
      <c r="AG101" s="430"/>
      <c r="AH101" s="430"/>
      <c r="AI101" s="430"/>
      <c r="AJ101" s="430"/>
      <c r="AK101" s="430"/>
      <c r="AL101" s="430"/>
      <c r="AM101" s="430"/>
      <c r="AN101" s="430"/>
      <c r="AO101" s="430"/>
      <c r="AP101" s="430"/>
      <c r="AQ101" s="430"/>
      <c r="AR101" s="430"/>
      <c r="AS101" s="430"/>
    </row>
    <row r="102" spans="1:45" s="143" customFormat="1" ht="15" customHeight="1" x14ac:dyDescent="0.3">
      <c r="A102" s="518"/>
      <c r="B102" s="518" t="s">
        <v>522</v>
      </c>
      <c r="C102" s="1153"/>
      <c r="D102" s="499"/>
      <c r="E102" s="615"/>
      <c r="F102" s="193"/>
      <c r="G102" s="624"/>
      <c r="H102" s="185"/>
      <c r="I102" s="186"/>
      <c r="J102" s="499"/>
      <c r="K102" s="499"/>
      <c r="L102" s="499"/>
      <c r="M102" s="499"/>
      <c r="N102" s="499"/>
      <c r="O102" s="499"/>
      <c r="P102" s="499"/>
      <c r="Q102" s="499"/>
      <c r="R102" s="499"/>
      <c r="S102" s="499"/>
      <c r="T102" s="499"/>
      <c r="U102" s="499"/>
      <c r="V102" s="499"/>
      <c r="W102" s="499"/>
      <c r="X102" s="499"/>
      <c r="Y102" s="499"/>
      <c r="Z102" s="499"/>
      <c r="AA102" s="499"/>
      <c r="AB102" s="499"/>
      <c r="AC102" s="499"/>
      <c r="AD102" s="499"/>
      <c r="AE102" s="499"/>
      <c r="AF102" s="499"/>
      <c r="AG102" s="499"/>
      <c r="AH102" s="499"/>
      <c r="AI102" s="499"/>
      <c r="AJ102" s="499"/>
      <c r="AK102" s="499"/>
      <c r="AL102" s="499"/>
      <c r="AM102" s="499"/>
      <c r="AN102" s="499"/>
      <c r="AO102" s="499"/>
      <c r="AP102" s="499"/>
      <c r="AQ102" s="499"/>
      <c r="AR102" s="499"/>
      <c r="AS102" s="499"/>
    </row>
    <row r="103" spans="1:45" s="70" customFormat="1" ht="15" customHeight="1" x14ac:dyDescent="0.3">
      <c r="A103" s="625"/>
      <c r="B103" s="625"/>
      <c r="C103" s="626"/>
      <c r="D103" s="432"/>
      <c r="E103" s="1026" t="str">
        <f xml:space="preserve"> Scenarios!B$36</f>
        <v>FS or alternative debt interest rates</v>
      </c>
      <c r="F103" s="1154" t="str">
        <f xml:space="preserve"> Scenarios!C$36</f>
        <v>FS</v>
      </c>
      <c r="G103" s="1075" t="str">
        <f xml:space="preserve"> Scenarios!D$36</f>
        <v>selected</v>
      </c>
      <c r="H103" s="569"/>
      <c r="I103" s="431"/>
      <c r="J103" s="432"/>
      <c r="K103" s="432"/>
      <c r="L103" s="432"/>
      <c r="M103" s="432"/>
      <c r="N103" s="432"/>
      <c r="O103" s="432"/>
      <c r="P103" s="432"/>
      <c r="Q103" s="432"/>
      <c r="R103" s="432"/>
      <c r="S103" s="432"/>
      <c r="T103" s="432"/>
      <c r="U103" s="432"/>
      <c r="V103" s="432"/>
      <c r="W103" s="432"/>
      <c r="X103" s="432"/>
      <c r="Y103" s="432"/>
      <c r="Z103" s="432"/>
      <c r="AA103" s="432"/>
      <c r="AB103" s="432"/>
      <c r="AC103" s="432"/>
      <c r="AD103" s="432"/>
      <c r="AE103" s="432"/>
      <c r="AF103" s="432"/>
      <c r="AG103" s="432"/>
      <c r="AH103" s="432"/>
      <c r="AI103" s="432"/>
      <c r="AJ103" s="432"/>
      <c r="AK103" s="432"/>
      <c r="AL103" s="432"/>
      <c r="AM103" s="432"/>
      <c r="AN103" s="432"/>
      <c r="AO103" s="432"/>
      <c r="AP103" s="432"/>
      <c r="AQ103" s="432"/>
      <c r="AR103" s="432"/>
      <c r="AS103" s="432"/>
    </row>
    <row r="104" spans="1:45" s="70" customFormat="1" ht="15" customHeight="1" x14ac:dyDescent="0.3">
      <c r="A104" s="625"/>
      <c r="B104" s="625"/>
      <c r="C104" s="626"/>
      <c r="D104" s="432"/>
      <c r="E104" s="615" t="s">
        <v>1083</v>
      </c>
      <c r="F104" s="193">
        <v>0.04</v>
      </c>
      <c r="G104" s="624" t="s">
        <v>34</v>
      </c>
      <c r="H104" s="569"/>
      <c r="I104" s="431"/>
      <c r="J104" s="432"/>
      <c r="K104" s="432"/>
      <c r="L104" s="432"/>
      <c r="M104" s="432"/>
      <c r="N104" s="432"/>
      <c r="O104" s="432"/>
      <c r="P104" s="432"/>
      <c r="Q104" s="432"/>
      <c r="R104" s="432"/>
      <c r="S104" s="432"/>
      <c r="T104" s="432"/>
      <c r="U104" s="432"/>
      <c r="V104" s="432"/>
      <c r="W104" s="432"/>
      <c r="X104" s="432"/>
      <c r="Y104" s="432"/>
      <c r="Z104" s="432"/>
      <c r="AA104" s="432"/>
      <c r="AB104" s="432"/>
      <c r="AC104" s="432"/>
      <c r="AD104" s="432"/>
      <c r="AE104" s="432"/>
      <c r="AF104" s="432"/>
      <c r="AG104" s="432"/>
      <c r="AH104" s="432"/>
      <c r="AI104" s="432"/>
      <c r="AJ104" s="432"/>
      <c r="AK104" s="432"/>
      <c r="AL104" s="432"/>
      <c r="AM104" s="432"/>
      <c r="AN104" s="432"/>
      <c r="AO104" s="432"/>
      <c r="AP104" s="432"/>
      <c r="AQ104" s="432"/>
      <c r="AR104" s="432"/>
      <c r="AS104" s="432"/>
    </row>
    <row r="105" spans="1:45" ht="15" customHeight="1" x14ac:dyDescent="0.3">
      <c r="A105" s="428"/>
      <c r="B105" s="428"/>
      <c r="C105" s="429"/>
      <c r="D105" s="430"/>
      <c r="E105" s="462"/>
      <c r="F105" s="423"/>
      <c r="G105" s="423"/>
      <c r="H105" s="430"/>
      <c r="I105" s="431"/>
      <c r="J105" s="430"/>
      <c r="K105" s="432"/>
      <c r="L105" s="430"/>
      <c r="M105" s="430"/>
      <c r="N105" s="430"/>
      <c r="O105" s="430"/>
      <c r="P105" s="430"/>
      <c r="Q105" s="430"/>
      <c r="R105" s="430"/>
      <c r="S105" s="430"/>
      <c r="T105" s="430"/>
      <c r="U105" s="430"/>
      <c r="V105" s="430"/>
      <c r="W105" s="430"/>
      <c r="X105" s="430"/>
      <c r="Y105" s="430"/>
      <c r="Z105" s="430"/>
      <c r="AA105" s="430"/>
      <c r="AB105" s="430"/>
      <c r="AC105" s="430"/>
      <c r="AD105" s="430"/>
      <c r="AE105" s="430"/>
      <c r="AF105" s="430"/>
      <c r="AG105" s="430"/>
      <c r="AH105" s="430"/>
      <c r="AI105" s="430"/>
      <c r="AJ105" s="430"/>
      <c r="AK105" s="430"/>
      <c r="AL105" s="430"/>
      <c r="AM105" s="430"/>
      <c r="AN105" s="430"/>
      <c r="AO105" s="430"/>
      <c r="AP105" s="430"/>
      <c r="AQ105" s="430"/>
      <c r="AR105" s="430"/>
      <c r="AS105" s="430"/>
    </row>
    <row r="106" spans="1:45" ht="15" customHeight="1" x14ac:dyDescent="0.3">
      <c r="A106" s="428"/>
      <c r="B106" s="464" t="s">
        <v>520</v>
      </c>
      <c r="C106" s="429"/>
      <c r="D106" s="430"/>
      <c r="E106" s="462"/>
      <c r="F106" s="423"/>
      <c r="G106" s="423"/>
      <c r="H106" s="430"/>
      <c r="I106" s="431"/>
      <c r="J106" s="430"/>
      <c r="K106" s="432"/>
      <c r="L106" s="430"/>
      <c r="M106" s="430"/>
      <c r="N106" s="430"/>
      <c r="O106" s="430"/>
      <c r="P106" s="430"/>
      <c r="Q106" s="430"/>
      <c r="R106" s="430"/>
      <c r="S106" s="430"/>
      <c r="T106" s="430"/>
      <c r="U106" s="430"/>
      <c r="V106" s="430"/>
      <c r="W106" s="430"/>
      <c r="X106" s="430"/>
      <c r="Y106" s="430"/>
      <c r="Z106" s="430"/>
      <c r="AA106" s="430"/>
      <c r="AB106" s="430"/>
      <c r="AC106" s="430"/>
      <c r="AD106" s="430"/>
      <c r="AE106" s="430"/>
      <c r="AF106" s="430"/>
      <c r="AG106" s="430"/>
      <c r="AH106" s="430"/>
      <c r="AI106" s="430"/>
      <c r="AJ106" s="430"/>
      <c r="AK106" s="430"/>
      <c r="AL106" s="430"/>
      <c r="AM106" s="430"/>
      <c r="AN106" s="430"/>
      <c r="AO106" s="430"/>
      <c r="AP106" s="430"/>
      <c r="AQ106" s="430"/>
      <c r="AR106" s="430"/>
      <c r="AS106" s="430"/>
    </row>
    <row r="107" spans="1:45" ht="15" customHeight="1" x14ac:dyDescent="0.3">
      <c r="A107" s="464"/>
      <c r="B107" s="464"/>
      <c r="C107" s="496"/>
      <c r="D107" s="470"/>
      <c r="E107" s="624" t="s">
        <v>591</v>
      </c>
      <c r="F107" s="618" t="s">
        <v>589</v>
      </c>
      <c r="G107" s="615" t="s">
        <v>519</v>
      </c>
      <c r="H107" s="470"/>
      <c r="I107" s="186"/>
      <c r="J107" s="470"/>
      <c r="K107" s="499"/>
      <c r="L107" s="470"/>
      <c r="M107" s="470"/>
      <c r="N107" s="470"/>
      <c r="O107" s="470"/>
      <c r="P107" s="470"/>
      <c r="Q107" s="470"/>
      <c r="R107" s="470"/>
      <c r="S107" s="470"/>
      <c r="T107" s="470"/>
      <c r="U107" s="470"/>
      <c r="V107" s="470"/>
      <c r="W107" s="470"/>
      <c r="X107" s="470"/>
      <c r="Y107" s="470"/>
      <c r="Z107" s="470"/>
      <c r="AA107" s="470"/>
      <c r="AB107" s="470"/>
      <c r="AC107" s="470"/>
      <c r="AD107" s="470"/>
      <c r="AE107" s="470"/>
      <c r="AF107" s="470"/>
      <c r="AG107" s="470"/>
      <c r="AH107" s="470"/>
      <c r="AI107" s="470"/>
      <c r="AJ107" s="470"/>
      <c r="AK107" s="470"/>
      <c r="AL107" s="470"/>
      <c r="AM107" s="470"/>
      <c r="AN107" s="470"/>
      <c r="AO107" s="470"/>
      <c r="AP107" s="470"/>
      <c r="AQ107" s="470"/>
      <c r="AR107" s="470"/>
      <c r="AS107" s="470"/>
    </row>
    <row r="108" spans="1:45" ht="15" customHeight="1" x14ac:dyDescent="0.3">
      <c r="A108" s="464"/>
      <c r="B108" s="464"/>
      <c r="C108" s="496"/>
      <c r="D108" s="470"/>
      <c r="E108" s="624"/>
      <c r="F108" s="470"/>
      <c r="G108" s="470"/>
      <c r="H108" s="470"/>
      <c r="I108" s="186"/>
      <c r="J108" s="470"/>
      <c r="K108" s="499"/>
      <c r="L108" s="470"/>
      <c r="M108" s="470"/>
      <c r="N108" s="470"/>
      <c r="O108" s="470"/>
      <c r="P108" s="470"/>
      <c r="Q108" s="470"/>
      <c r="R108" s="470"/>
      <c r="S108" s="470"/>
      <c r="T108" s="470"/>
      <c r="U108" s="470"/>
      <c r="V108" s="470"/>
      <c r="W108" s="470"/>
      <c r="X108" s="470"/>
      <c r="Y108" s="470"/>
      <c r="Z108" s="470"/>
      <c r="AA108" s="470"/>
      <c r="AB108" s="470"/>
      <c r="AC108" s="470"/>
      <c r="AD108" s="470"/>
      <c r="AE108" s="470"/>
      <c r="AF108" s="470"/>
      <c r="AG108" s="470"/>
      <c r="AH108" s="470"/>
      <c r="AI108" s="470"/>
      <c r="AJ108" s="470"/>
      <c r="AK108" s="470"/>
      <c r="AL108" s="470"/>
      <c r="AM108" s="470"/>
      <c r="AN108" s="470"/>
      <c r="AO108" s="470"/>
      <c r="AP108" s="470"/>
      <c r="AQ108" s="470"/>
      <c r="AR108" s="470"/>
      <c r="AS108" s="470"/>
    </row>
    <row r="109" spans="1:45" ht="15" customHeight="1" x14ac:dyDescent="0.3">
      <c r="A109" s="464"/>
      <c r="B109" s="464"/>
      <c r="C109" s="496"/>
      <c r="D109" s="470"/>
      <c r="E109" s="1021" t="str">
        <f xml:space="preserve"> Scenarios!B$38</f>
        <v>Interest withholding tax</v>
      </c>
      <c r="F109" s="1013">
        <f xml:space="preserve"> Scenarios!C$38</f>
        <v>0.1</v>
      </c>
      <c r="G109" s="1005" t="str">
        <f xml:space="preserve"> Scenarios!D$38</f>
        <v>%</v>
      </c>
      <c r="H109" s="465"/>
      <c r="I109" s="465"/>
      <c r="J109" s="470"/>
      <c r="K109" s="499"/>
      <c r="L109" s="470"/>
      <c r="M109" s="470"/>
      <c r="N109" s="470"/>
      <c r="O109" s="470"/>
      <c r="P109" s="470"/>
      <c r="Q109" s="470"/>
      <c r="R109" s="470"/>
      <c r="S109" s="470"/>
      <c r="T109" s="470"/>
      <c r="U109" s="470"/>
      <c r="V109" s="470"/>
      <c r="W109" s="470"/>
      <c r="X109" s="470"/>
      <c r="Y109" s="470"/>
      <c r="Z109" s="470"/>
      <c r="AA109" s="470"/>
      <c r="AB109" s="470"/>
      <c r="AC109" s="470"/>
      <c r="AD109" s="470"/>
      <c r="AE109" s="470"/>
      <c r="AF109" s="470"/>
      <c r="AG109" s="470"/>
      <c r="AH109" s="470"/>
      <c r="AI109" s="470"/>
      <c r="AJ109" s="470"/>
      <c r="AK109" s="470"/>
      <c r="AL109" s="470"/>
      <c r="AM109" s="470"/>
      <c r="AN109" s="470"/>
      <c r="AO109" s="470"/>
      <c r="AP109" s="470"/>
      <c r="AQ109" s="470"/>
      <c r="AR109" s="470"/>
      <c r="AS109" s="470"/>
    </row>
    <row r="110" spans="1:45" ht="15" customHeight="1" x14ac:dyDescent="0.3">
      <c r="A110" s="625"/>
      <c r="B110" s="625"/>
      <c r="C110" s="626"/>
      <c r="D110" s="432"/>
      <c r="E110" s="1027" t="str">
        <f xml:space="preserve"> Scenarios!B$39</f>
        <v>Dividend withholding tax</v>
      </c>
      <c r="F110" s="1013">
        <f xml:space="preserve"> Scenarios!C$39</f>
        <v>0.1</v>
      </c>
      <c r="G110" s="1028" t="str">
        <f xml:space="preserve"> Scenarios!D$39</f>
        <v>%</v>
      </c>
      <c r="H110" s="185"/>
      <c r="I110" s="431"/>
      <c r="J110" s="432"/>
      <c r="K110" s="432"/>
      <c r="L110" s="432"/>
      <c r="M110" s="432"/>
      <c r="N110" s="432"/>
      <c r="O110" s="432"/>
      <c r="P110" s="432"/>
      <c r="Q110" s="432"/>
      <c r="R110" s="432"/>
      <c r="S110" s="432"/>
      <c r="T110" s="432"/>
      <c r="U110" s="432"/>
      <c r="V110" s="432"/>
      <c r="W110" s="432"/>
      <c r="X110" s="432"/>
      <c r="Y110" s="432"/>
      <c r="Z110" s="432"/>
      <c r="AA110" s="432"/>
      <c r="AB110" s="432"/>
      <c r="AC110" s="432"/>
      <c r="AD110" s="432"/>
      <c r="AE110" s="432"/>
      <c r="AF110" s="432"/>
      <c r="AG110" s="432"/>
      <c r="AH110" s="432"/>
      <c r="AI110" s="432"/>
      <c r="AJ110" s="432"/>
      <c r="AK110" s="432"/>
      <c r="AL110" s="432"/>
      <c r="AM110" s="432"/>
      <c r="AN110" s="432"/>
      <c r="AO110" s="432"/>
      <c r="AP110" s="432"/>
      <c r="AQ110" s="432"/>
      <c r="AR110" s="432"/>
      <c r="AS110" s="432"/>
    </row>
    <row r="111" spans="1:45" s="70" customFormat="1" ht="15" customHeight="1" x14ac:dyDescent="0.3">
      <c r="A111" s="625"/>
      <c r="B111" s="625"/>
      <c r="C111" s="626"/>
      <c r="D111" s="432"/>
      <c r="E111" s="1170" t="s">
        <v>1122</v>
      </c>
      <c r="F111" s="135">
        <v>0.05</v>
      </c>
      <c r="G111" s="1171" t="s">
        <v>34</v>
      </c>
      <c r="H111" s="569"/>
      <c r="I111" s="431"/>
      <c r="J111" s="432"/>
      <c r="K111" s="432"/>
      <c r="L111" s="432"/>
      <c r="M111" s="432"/>
      <c r="N111" s="432"/>
      <c r="O111" s="432"/>
      <c r="P111" s="432"/>
      <c r="Q111" s="432"/>
      <c r="R111" s="432"/>
      <c r="S111" s="432"/>
      <c r="T111" s="432"/>
      <c r="U111" s="432"/>
      <c r="V111" s="432"/>
      <c r="W111" s="432"/>
      <c r="X111" s="432"/>
      <c r="Y111" s="432"/>
      <c r="Z111" s="432"/>
      <c r="AA111" s="432"/>
      <c r="AB111" s="432"/>
      <c r="AC111" s="432"/>
      <c r="AD111" s="432"/>
      <c r="AE111" s="432"/>
      <c r="AF111" s="432"/>
      <c r="AG111" s="432"/>
      <c r="AH111" s="432"/>
      <c r="AI111" s="432"/>
      <c r="AJ111" s="432"/>
      <c r="AK111" s="432"/>
      <c r="AL111" s="432"/>
      <c r="AM111" s="432"/>
      <c r="AN111" s="432"/>
      <c r="AO111" s="432"/>
      <c r="AP111" s="432"/>
      <c r="AQ111" s="432"/>
      <c r="AR111" s="432"/>
      <c r="AS111" s="432"/>
    </row>
    <row r="112" spans="1:45" s="70" customFormat="1" ht="15" customHeight="1" x14ac:dyDescent="0.3">
      <c r="A112" s="625"/>
      <c r="B112" s="625"/>
      <c r="C112" s="626"/>
      <c r="D112" s="432"/>
      <c r="E112" s="1027" t="str">
        <f xml:space="preserve"> Scenarios!B$40</f>
        <v>WHT rate non-resident services</v>
      </c>
      <c r="F112" s="1013">
        <f xml:space="preserve"> Scenarios!C$40</f>
        <v>0.14000000000000001</v>
      </c>
      <c r="G112" s="1028" t="str">
        <f xml:space="preserve"> Scenarios!D$40</f>
        <v>%</v>
      </c>
      <c r="H112" s="569"/>
      <c r="I112" s="431"/>
      <c r="J112" s="432"/>
      <c r="K112" s="432"/>
      <c r="L112" s="432"/>
      <c r="M112" s="432"/>
      <c r="N112" s="432"/>
      <c r="O112" s="432"/>
      <c r="P112" s="432"/>
      <c r="Q112" s="432"/>
      <c r="R112" s="432"/>
      <c r="S112" s="432"/>
      <c r="T112" s="432"/>
      <c r="U112" s="432"/>
      <c r="V112" s="432"/>
      <c r="W112" s="432"/>
      <c r="X112" s="432"/>
      <c r="Y112" s="432"/>
      <c r="Z112" s="432"/>
      <c r="AA112" s="432"/>
      <c r="AB112" s="432"/>
      <c r="AC112" s="432"/>
      <c r="AD112" s="432"/>
      <c r="AE112" s="432"/>
      <c r="AF112" s="432"/>
      <c r="AG112" s="432"/>
      <c r="AH112" s="432"/>
      <c r="AI112" s="432"/>
      <c r="AJ112" s="432"/>
      <c r="AK112" s="432"/>
      <c r="AL112" s="432"/>
      <c r="AM112" s="432"/>
      <c r="AN112" s="432"/>
      <c r="AO112" s="432"/>
      <c r="AP112" s="432"/>
      <c r="AQ112" s="432"/>
      <c r="AR112" s="432"/>
      <c r="AS112" s="432"/>
    </row>
    <row r="113" spans="1:45" ht="15" customHeight="1" x14ac:dyDescent="0.3">
      <c r="A113" s="625"/>
      <c r="B113" s="625"/>
      <c r="C113" s="626"/>
      <c r="D113" s="432"/>
      <c r="E113" s="615"/>
      <c r="F113" s="193"/>
      <c r="G113" s="624"/>
      <c r="H113" s="185"/>
      <c r="I113" s="431"/>
      <c r="J113" s="432"/>
      <c r="K113" s="432"/>
      <c r="L113" s="432"/>
      <c r="M113" s="432"/>
      <c r="N113" s="432"/>
      <c r="O113" s="432"/>
      <c r="P113" s="432"/>
      <c r="Q113" s="432"/>
      <c r="R113" s="432"/>
      <c r="S113" s="432"/>
      <c r="T113" s="432"/>
      <c r="U113" s="432"/>
      <c r="V113" s="432"/>
      <c r="W113" s="432"/>
      <c r="X113" s="432"/>
      <c r="Y113" s="432"/>
      <c r="Z113" s="432"/>
      <c r="AA113" s="432"/>
      <c r="AB113" s="432"/>
      <c r="AC113" s="432"/>
      <c r="AD113" s="432"/>
      <c r="AE113" s="432"/>
      <c r="AF113" s="432"/>
      <c r="AG113" s="432"/>
      <c r="AH113" s="432"/>
      <c r="AI113" s="432"/>
      <c r="AJ113" s="432"/>
      <c r="AK113" s="432"/>
      <c r="AL113" s="432"/>
      <c r="AM113" s="432"/>
      <c r="AN113" s="432"/>
      <c r="AO113" s="432"/>
      <c r="AP113" s="432"/>
      <c r="AQ113" s="432"/>
      <c r="AR113" s="432"/>
      <c r="AS113" s="432"/>
    </row>
    <row r="114" spans="1:45" ht="15" customHeight="1" x14ac:dyDescent="0.3">
      <c r="A114" s="625"/>
      <c r="B114" s="518" t="s">
        <v>725</v>
      </c>
      <c r="C114" s="626"/>
      <c r="D114" s="432"/>
      <c r="E114" s="615"/>
      <c r="F114" s="193"/>
      <c r="G114" s="624"/>
      <c r="H114" s="185"/>
      <c r="I114" s="431"/>
      <c r="J114" s="432"/>
      <c r="K114" s="432"/>
      <c r="L114" s="432"/>
      <c r="M114" s="432"/>
      <c r="N114" s="432"/>
      <c r="O114" s="432"/>
      <c r="P114" s="432"/>
      <c r="Q114" s="432"/>
      <c r="R114" s="432"/>
      <c r="S114" s="432"/>
      <c r="T114" s="432"/>
      <c r="U114" s="432"/>
      <c r="V114" s="432"/>
      <c r="W114" s="432"/>
      <c r="X114" s="432"/>
      <c r="Y114" s="432"/>
      <c r="Z114" s="432"/>
      <c r="AA114" s="432"/>
      <c r="AB114" s="432"/>
      <c r="AC114" s="432"/>
      <c r="AD114" s="432"/>
      <c r="AE114" s="432"/>
      <c r="AF114" s="432"/>
      <c r="AG114" s="432"/>
      <c r="AH114" s="432"/>
      <c r="AI114" s="432"/>
      <c r="AJ114" s="432"/>
      <c r="AK114" s="432"/>
      <c r="AL114" s="432"/>
      <c r="AM114" s="432"/>
      <c r="AN114" s="432"/>
      <c r="AO114" s="432"/>
      <c r="AP114" s="432"/>
      <c r="AQ114" s="432"/>
      <c r="AR114" s="432"/>
      <c r="AS114" s="432"/>
    </row>
    <row r="115" spans="1:45" ht="15" customHeight="1" x14ac:dyDescent="0.3">
      <c r="A115" s="625"/>
      <c r="B115" s="625"/>
      <c r="C115" s="626"/>
      <c r="D115" s="432"/>
      <c r="E115" s="615" t="s">
        <v>726</v>
      </c>
      <c r="F115" s="188">
        <v>0.04</v>
      </c>
      <c r="G115" s="624" t="s">
        <v>727</v>
      </c>
      <c r="H115" s="569"/>
      <c r="I115" s="431"/>
      <c r="J115" s="432"/>
      <c r="K115" s="432"/>
      <c r="L115" s="432"/>
      <c r="M115" s="432"/>
      <c r="N115" s="432"/>
      <c r="O115" s="432"/>
      <c r="P115" s="432"/>
      <c r="Q115" s="432"/>
      <c r="R115" s="432"/>
      <c r="S115" s="432"/>
      <c r="T115" s="432"/>
      <c r="U115" s="432"/>
      <c r="V115" s="432"/>
      <c r="W115" s="432"/>
      <c r="X115" s="432"/>
      <c r="Y115" s="432"/>
      <c r="Z115" s="432"/>
      <c r="AA115" s="432"/>
      <c r="AB115" s="432"/>
      <c r="AC115" s="432"/>
      <c r="AD115" s="432"/>
      <c r="AE115" s="432"/>
      <c r="AF115" s="432"/>
      <c r="AG115" s="432"/>
      <c r="AH115" s="432"/>
      <c r="AI115" s="432"/>
      <c r="AJ115" s="432"/>
      <c r="AK115" s="432"/>
      <c r="AL115" s="432"/>
      <c r="AM115" s="432"/>
      <c r="AN115" s="432"/>
      <c r="AO115" s="432"/>
      <c r="AP115" s="432"/>
      <c r="AQ115" s="432"/>
      <c r="AR115" s="432"/>
      <c r="AS115" s="432"/>
    </row>
    <row r="116" spans="1:45" ht="15" customHeight="1" x14ac:dyDescent="0.3">
      <c r="A116" s="625"/>
      <c r="B116" s="625"/>
      <c r="C116" s="626"/>
      <c r="D116" s="432"/>
      <c r="E116" s="1027" t="str">
        <f xml:space="preserve"> Scenarios!B$41</f>
        <v>Include Payroll taxes in forecast (1 = yes)</v>
      </c>
      <c r="F116" s="1005">
        <f xml:space="preserve"> Scenarios!C$41</f>
        <v>1</v>
      </c>
      <c r="G116" s="1028" t="str">
        <f xml:space="preserve"> Scenarios!D$41</f>
        <v>flag</v>
      </c>
      <c r="H116" s="569"/>
      <c r="I116" s="431"/>
      <c r="J116" s="432"/>
      <c r="K116" s="432"/>
      <c r="L116" s="432"/>
      <c r="M116" s="432"/>
      <c r="N116" s="432"/>
      <c r="O116" s="432"/>
      <c r="P116" s="432"/>
      <c r="Q116" s="432"/>
      <c r="R116" s="432"/>
      <c r="S116" s="432"/>
      <c r="T116" s="432"/>
      <c r="U116" s="432"/>
      <c r="V116" s="432"/>
      <c r="W116" s="432"/>
      <c r="X116" s="432"/>
      <c r="Y116" s="432"/>
      <c r="Z116" s="432"/>
      <c r="AA116" s="432"/>
      <c r="AB116" s="432"/>
      <c r="AC116" s="432"/>
      <c r="AD116" s="432"/>
      <c r="AE116" s="432"/>
      <c r="AF116" s="432"/>
      <c r="AG116" s="432"/>
      <c r="AH116" s="432"/>
      <c r="AI116" s="432"/>
      <c r="AJ116" s="432"/>
      <c r="AK116" s="432"/>
      <c r="AL116" s="432"/>
      <c r="AM116" s="432"/>
      <c r="AN116" s="432"/>
      <c r="AO116" s="432"/>
      <c r="AP116" s="432"/>
      <c r="AQ116" s="432"/>
      <c r="AR116" s="432"/>
      <c r="AS116" s="432"/>
    </row>
    <row r="117" spans="1:45" ht="15" customHeight="1" x14ac:dyDescent="0.3">
      <c r="A117" s="625"/>
      <c r="B117" s="625"/>
      <c r="C117" s="626"/>
      <c r="D117" s="432"/>
      <c r="E117" s="615"/>
      <c r="F117" s="193"/>
      <c r="G117" s="624"/>
      <c r="H117" s="185"/>
      <c r="I117" s="431"/>
      <c r="J117" s="432"/>
      <c r="K117" s="432"/>
      <c r="L117" s="432"/>
      <c r="M117" s="432"/>
      <c r="N117" s="432"/>
      <c r="O117" s="432"/>
      <c r="P117" s="432"/>
      <c r="Q117" s="432"/>
      <c r="R117" s="432"/>
      <c r="S117" s="432"/>
      <c r="T117" s="432"/>
      <c r="U117" s="432"/>
      <c r="V117" s="432"/>
      <c r="W117" s="432"/>
      <c r="X117" s="432"/>
      <c r="Y117" s="432"/>
      <c r="Z117" s="432"/>
      <c r="AA117" s="432"/>
      <c r="AB117" s="432"/>
      <c r="AC117" s="432"/>
      <c r="AD117" s="432"/>
      <c r="AE117" s="432"/>
      <c r="AF117" s="432"/>
      <c r="AG117" s="432"/>
      <c r="AH117" s="432"/>
      <c r="AI117" s="432"/>
      <c r="AJ117" s="432"/>
      <c r="AK117" s="432"/>
      <c r="AL117" s="432"/>
      <c r="AM117" s="432"/>
      <c r="AN117" s="432"/>
      <c r="AO117" s="432"/>
      <c r="AP117" s="432"/>
      <c r="AQ117" s="432"/>
      <c r="AR117" s="432"/>
      <c r="AS117" s="432"/>
    </row>
    <row r="118" spans="1:45" ht="15" customHeight="1" x14ac:dyDescent="0.3">
      <c r="A118" s="398"/>
      <c r="B118" s="398" t="s">
        <v>523</v>
      </c>
      <c r="C118" s="421"/>
      <c r="D118" s="423"/>
      <c r="E118" s="439"/>
      <c r="F118" s="468"/>
      <c r="G118" s="468"/>
      <c r="H118" s="423"/>
      <c r="I118" s="5"/>
      <c r="J118" s="423"/>
      <c r="K118" s="426"/>
      <c r="L118" s="423"/>
      <c r="M118" s="423"/>
      <c r="N118" s="423"/>
      <c r="O118" s="423"/>
      <c r="P118" s="423"/>
      <c r="Q118" s="423"/>
      <c r="R118" s="423"/>
      <c r="S118" s="423"/>
      <c r="T118" s="423"/>
      <c r="U118" s="423"/>
      <c r="V118" s="423"/>
      <c r="W118" s="423"/>
      <c r="X118" s="423"/>
      <c r="Y118" s="423"/>
      <c r="Z118" s="423"/>
      <c r="AA118" s="423"/>
      <c r="AB118" s="423"/>
      <c r="AC118" s="423"/>
      <c r="AD118" s="423"/>
      <c r="AE118" s="423"/>
      <c r="AF118" s="423"/>
      <c r="AG118" s="423"/>
      <c r="AH118" s="423"/>
      <c r="AI118" s="423"/>
      <c r="AJ118" s="423"/>
      <c r="AK118" s="423"/>
      <c r="AL118" s="423"/>
      <c r="AM118" s="423"/>
      <c r="AN118" s="423"/>
      <c r="AO118" s="423"/>
      <c r="AP118" s="423"/>
      <c r="AQ118" s="423"/>
      <c r="AR118" s="423"/>
      <c r="AS118" s="423"/>
    </row>
    <row r="119" spans="1:45" ht="15" customHeight="1" x14ac:dyDescent="0.3">
      <c r="A119" s="428"/>
      <c r="B119" s="428"/>
      <c r="C119" s="429"/>
      <c r="D119" s="430"/>
      <c r="E119" s="36" t="s">
        <v>232</v>
      </c>
      <c r="F119" s="188">
        <v>0.28000000000000003</v>
      </c>
      <c r="G119" s="36" t="s">
        <v>34</v>
      </c>
      <c r="H119" s="183" t="str">
        <f xml:space="preserve"> Sources!I$13</f>
        <v>IX</v>
      </c>
      <c r="I119" s="431"/>
      <c r="J119" s="430"/>
      <c r="K119" s="432"/>
      <c r="L119" s="430"/>
      <c r="M119" s="430"/>
      <c r="N119" s="430"/>
      <c r="O119" s="430"/>
      <c r="P119" s="430"/>
      <c r="Q119" s="430"/>
      <c r="R119" s="430"/>
      <c r="S119" s="430"/>
      <c r="T119" s="430"/>
      <c r="U119" s="430"/>
      <c r="V119" s="430"/>
      <c r="W119" s="430"/>
      <c r="X119" s="430"/>
      <c r="Y119" s="430"/>
      <c r="Z119" s="430"/>
      <c r="AA119" s="430"/>
      <c r="AB119" s="430"/>
      <c r="AC119" s="430"/>
      <c r="AD119" s="430"/>
      <c r="AE119" s="430"/>
      <c r="AF119" s="430"/>
      <c r="AG119" s="430"/>
      <c r="AH119" s="430"/>
      <c r="AI119" s="430"/>
      <c r="AJ119" s="430"/>
      <c r="AK119" s="430"/>
      <c r="AL119" s="430"/>
      <c r="AM119" s="430"/>
      <c r="AN119" s="430"/>
      <c r="AO119" s="430"/>
      <c r="AP119" s="430"/>
      <c r="AQ119" s="430"/>
      <c r="AR119" s="430"/>
      <c r="AS119" s="430"/>
    </row>
    <row r="120" spans="1:45" ht="15" customHeight="1" x14ac:dyDescent="0.3">
      <c r="A120" s="70"/>
      <c r="B120" s="70"/>
      <c r="C120" s="70"/>
      <c r="D120" s="70"/>
      <c r="E120" s="1093" t="str">
        <f xml:space="preserve"> Scenarios!B$42</f>
        <v>Gecamines share of project post 2024</v>
      </c>
      <c r="F120" s="1131">
        <f xml:space="preserve"> Scenarios!C$42</f>
        <v>0.33</v>
      </c>
      <c r="G120" s="1093" t="str">
        <f xml:space="preserve"> Scenarios!D$42</f>
        <v>%</v>
      </c>
      <c r="H120" s="183" t="str">
        <f xml:space="preserve"> Sources!I$13</f>
        <v>IX</v>
      </c>
      <c r="I120" s="70"/>
      <c r="J120" s="70"/>
      <c r="K120" s="70"/>
      <c r="L120" s="70"/>
      <c r="M120" s="70"/>
      <c r="N120" s="70"/>
      <c r="O120" s="70"/>
      <c r="P120" s="70"/>
      <c r="Q120" s="70"/>
      <c r="R120" s="70"/>
      <c r="S120" s="70"/>
      <c r="T120" s="70"/>
      <c r="U120" s="70"/>
      <c r="V120" s="70"/>
      <c r="W120" s="70"/>
      <c r="X120" s="70"/>
      <c r="Y120" s="70"/>
      <c r="Z120" s="70"/>
      <c r="AA120" s="70"/>
      <c r="AB120" s="70"/>
      <c r="AC120" s="70"/>
      <c r="AD120" s="70"/>
      <c r="AE120" s="70"/>
      <c r="AF120" s="70"/>
      <c r="AG120" s="70"/>
      <c r="AH120" s="70"/>
      <c r="AI120" s="70"/>
      <c r="AJ120" s="70"/>
      <c r="AK120" s="70"/>
      <c r="AL120" s="70"/>
      <c r="AM120" s="70"/>
      <c r="AN120" s="70"/>
      <c r="AO120" s="70"/>
      <c r="AP120" s="70"/>
      <c r="AQ120" s="70"/>
      <c r="AR120" s="70"/>
      <c r="AS120" s="70"/>
    </row>
    <row r="121" spans="1:45" ht="15" customHeight="1" x14ac:dyDescent="0.3">
      <c r="A121" s="70"/>
      <c r="B121" s="70"/>
      <c r="C121" s="70"/>
      <c r="D121" s="70"/>
      <c r="E121" s="168" t="s">
        <v>743</v>
      </c>
      <c r="F121" s="798">
        <v>1</v>
      </c>
      <c r="G121" s="467" t="s">
        <v>34</v>
      </c>
      <c r="H121" s="70"/>
      <c r="I121" s="70"/>
      <c r="J121" s="70"/>
      <c r="K121" s="70"/>
      <c r="L121" s="70"/>
      <c r="M121" s="70"/>
      <c r="N121" s="70"/>
      <c r="O121" s="70"/>
      <c r="P121" s="70"/>
      <c r="Q121" s="70"/>
      <c r="R121" s="70"/>
      <c r="S121" s="70"/>
      <c r="T121" s="70"/>
      <c r="U121" s="70"/>
      <c r="V121" s="70"/>
      <c r="W121" s="70"/>
      <c r="X121" s="70"/>
      <c r="Y121" s="70"/>
      <c r="Z121" s="70"/>
      <c r="AA121" s="70"/>
      <c r="AB121" s="70"/>
      <c r="AC121" s="70"/>
      <c r="AD121" s="70"/>
      <c r="AE121" s="70"/>
      <c r="AF121" s="70"/>
      <c r="AG121" s="70"/>
      <c r="AH121" s="70"/>
      <c r="AI121" s="70"/>
      <c r="AJ121" s="70"/>
      <c r="AK121" s="70"/>
      <c r="AL121" s="70"/>
      <c r="AM121" s="70"/>
      <c r="AN121" s="70"/>
      <c r="AO121" s="70"/>
      <c r="AP121" s="70"/>
      <c r="AQ121" s="70"/>
      <c r="AR121" s="70"/>
      <c r="AS121" s="70"/>
    </row>
    <row r="122" spans="1:45" ht="15" customHeight="1" x14ac:dyDescent="0.3">
      <c r="A122" s="361"/>
      <c r="B122" s="361"/>
      <c r="C122" s="361"/>
      <c r="D122" s="361"/>
      <c r="E122" s="465"/>
      <c r="F122" s="832"/>
      <c r="G122" s="624"/>
      <c r="H122" s="361"/>
      <c r="I122" s="361"/>
      <c r="J122" s="361"/>
      <c r="K122" s="361"/>
      <c r="L122" s="361"/>
      <c r="M122" s="361"/>
      <c r="N122" s="361"/>
      <c r="O122" s="361"/>
      <c r="P122" s="361"/>
      <c r="Q122" s="361"/>
      <c r="R122" s="361"/>
      <c r="S122" s="361"/>
      <c r="T122" s="361"/>
      <c r="U122" s="361"/>
      <c r="V122" s="361"/>
      <c r="W122" s="361"/>
      <c r="X122" s="361"/>
      <c r="Y122" s="361"/>
      <c r="Z122" s="361"/>
      <c r="AA122" s="361"/>
      <c r="AB122" s="361"/>
      <c r="AC122" s="361"/>
      <c r="AD122" s="361"/>
      <c r="AE122" s="361"/>
      <c r="AF122" s="361"/>
      <c r="AG122" s="361"/>
      <c r="AH122" s="361"/>
      <c r="AI122" s="361"/>
      <c r="AJ122" s="361"/>
      <c r="AK122" s="361"/>
      <c r="AL122" s="361"/>
      <c r="AM122" s="361"/>
      <c r="AN122" s="361"/>
      <c r="AO122" s="361"/>
      <c r="AP122" s="361"/>
      <c r="AQ122" s="361"/>
      <c r="AR122" s="361"/>
      <c r="AS122" s="361"/>
    </row>
    <row r="123" spans="1:45" ht="15" customHeight="1" x14ac:dyDescent="0.3">
      <c r="A123" s="361"/>
      <c r="B123" s="361"/>
      <c r="C123" s="361"/>
      <c r="D123" s="361"/>
      <c r="E123" s="465" t="s">
        <v>821</v>
      </c>
      <c r="F123" s="248">
        <v>0</v>
      </c>
      <c r="G123" s="624" t="s">
        <v>346</v>
      </c>
      <c r="H123" s="361"/>
      <c r="I123" s="361"/>
      <c r="J123" s="361"/>
      <c r="K123" s="361"/>
      <c r="L123" s="361"/>
      <c r="M123" s="361"/>
      <c r="N123" s="361"/>
      <c r="O123" s="361"/>
      <c r="P123" s="361"/>
      <c r="Q123" s="361"/>
      <c r="R123" s="361"/>
      <c r="S123" s="361"/>
      <c r="T123" s="361"/>
      <c r="U123" s="361"/>
      <c r="V123" s="361"/>
      <c r="W123" s="361"/>
      <c r="X123" s="361"/>
      <c r="Y123" s="361"/>
      <c r="Z123" s="361"/>
      <c r="AA123" s="361"/>
      <c r="AB123" s="361"/>
      <c r="AC123" s="361"/>
      <c r="AD123" s="361"/>
      <c r="AE123" s="361"/>
      <c r="AF123" s="361"/>
      <c r="AG123" s="361"/>
      <c r="AH123" s="361"/>
      <c r="AI123" s="361"/>
      <c r="AJ123" s="361"/>
      <c r="AK123" s="361"/>
      <c r="AL123" s="361"/>
      <c r="AM123" s="361"/>
      <c r="AN123" s="361"/>
      <c r="AO123" s="361"/>
      <c r="AP123" s="361"/>
      <c r="AQ123" s="361"/>
      <c r="AR123" s="361"/>
      <c r="AS123" s="361"/>
    </row>
    <row r="124" spans="1:45" ht="15" customHeight="1" x14ac:dyDescent="0.3">
      <c r="A124" s="361"/>
      <c r="B124" s="361"/>
      <c r="C124" s="361"/>
      <c r="D124" s="361"/>
      <c r="E124" s="168" t="s">
        <v>822</v>
      </c>
      <c r="F124" s="523">
        <v>2017</v>
      </c>
      <c r="G124" s="467" t="s">
        <v>27</v>
      </c>
      <c r="H124" s="361"/>
      <c r="I124" s="361"/>
      <c r="J124" s="361"/>
      <c r="K124" s="361"/>
      <c r="L124" s="361"/>
      <c r="M124" s="361"/>
      <c r="N124" s="361"/>
      <c r="O124" s="361"/>
      <c r="P124" s="361"/>
      <c r="Q124" s="361"/>
      <c r="R124" s="361"/>
      <c r="S124" s="361"/>
      <c r="T124" s="361"/>
      <c r="U124" s="361"/>
      <c r="V124" s="361"/>
      <c r="W124" s="361"/>
      <c r="X124" s="361"/>
      <c r="Y124" s="361"/>
      <c r="Z124" s="361"/>
      <c r="AA124" s="361"/>
      <c r="AB124" s="361"/>
      <c r="AC124" s="361"/>
      <c r="AD124" s="361"/>
      <c r="AE124" s="361"/>
      <c r="AF124" s="361"/>
      <c r="AG124" s="361"/>
      <c r="AH124" s="361"/>
      <c r="AI124" s="361"/>
      <c r="AJ124" s="361"/>
      <c r="AK124" s="361"/>
      <c r="AL124" s="361"/>
      <c r="AM124" s="361"/>
      <c r="AN124" s="361"/>
      <c r="AO124" s="361"/>
      <c r="AP124" s="361"/>
      <c r="AQ124" s="361"/>
      <c r="AR124" s="361"/>
      <c r="AS124" s="361"/>
    </row>
    <row r="125" spans="1:45" ht="15" customHeight="1" x14ac:dyDescent="0.3">
      <c r="A125" s="361"/>
      <c r="B125" s="361"/>
      <c r="C125" s="361"/>
      <c r="D125" s="361"/>
      <c r="E125" s="168"/>
      <c r="F125" s="521"/>
      <c r="G125" s="467"/>
      <c r="H125" s="361"/>
      <c r="I125" s="361"/>
      <c r="J125" s="361"/>
      <c r="K125" s="361"/>
      <c r="L125" s="361"/>
      <c r="M125" s="361"/>
      <c r="N125" s="361"/>
      <c r="O125" s="361"/>
      <c r="P125" s="361"/>
      <c r="Q125" s="361"/>
      <c r="R125" s="361"/>
      <c r="S125" s="361"/>
      <c r="T125" s="361"/>
      <c r="U125" s="361"/>
      <c r="V125" s="361"/>
      <c r="W125" s="361"/>
      <c r="X125" s="361"/>
      <c r="Y125" s="361"/>
      <c r="Z125" s="361"/>
      <c r="AA125" s="361"/>
      <c r="AB125" s="361"/>
      <c r="AC125" s="361"/>
      <c r="AD125" s="361"/>
      <c r="AE125" s="361"/>
      <c r="AF125" s="361"/>
      <c r="AG125" s="361"/>
      <c r="AH125" s="361"/>
      <c r="AI125" s="361"/>
      <c r="AJ125" s="361"/>
      <c r="AK125" s="361"/>
      <c r="AL125" s="361"/>
      <c r="AM125" s="361"/>
      <c r="AN125" s="361"/>
      <c r="AO125" s="361"/>
      <c r="AP125" s="361"/>
      <c r="AQ125" s="361"/>
      <c r="AR125" s="361"/>
      <c r="AS125" s="361"/>
    </row>
    <row r="126" spans="1:45" ht="15" customHeight="1" x14ac:dyDescent="0.3">
      <c r="A126" s="361"/>
      <c r="B126" s="361"/>
      <c r="C126" s="361"/>
      <c r="D126" s="361"/>
      <c r="E126" s="465" t="s">
        <v>1036</v>
      </c>
      <c r="F126" s="798">
        <v>0.03</v>
      </c>
      <c r="G126" s="467" t="s">
        <v>34</v>
      </c>
      <c r="H126" s="361"/>
      <c r="I126" s="361"/>
      <c r="J126" s="361"/>
      <c r="K126" s="361"/>
      <c r="L126" s="361"/>
      <c r="M126" s="361"/>
      <c r="N126" s="361"/>
      <c r="O126" s="361"/>
      <c r="P126" s="361"/>
      <c r="Q126" s="361"/>
      <c r="R126" s="361"/>
      <c r="S126" s="361"/>
      <c r="T126" s="361"/>
      <c r="U126" s="361"/>
      <c r="V126" s="361"/>
      <c r="W126" s="361"/>
      <c r="X126" s="361"/>
      <c r="Y126" s="361"/>
      <c r="Z126" s="361"/>
      <c r="AA126" s="361"/>
      <c r="AB126" s="361"/>
      <c r="AC126" s="361"/>
      <c r="AD126" s="361"/>
      <c r="AE126" s="361"/>
      <c r="AF126" s="361"/>
      <c r="AG126" s="361"/>
      <c r="AH126" s="361"/>
      <c r="AI126" s="361"/>
      <c r="AJ126" s="361"/>
      <c r="AK126" s="361"/>
      <c r="AL126" s="361"/>
      <c r="AM126" s="361"/>
      <c r="AN126" s="361"/>
      <c r="AO126" s="361"/>
      <c r="AP126" s="361"/>
      <c r="AQ126" s="361"/>
      <c r="AR126" s="361"/>
      <c r="AS126" s="361"/>
    </row>
    <row r="127" spans="1:45" ht="15" customHeight="1" x14ac:dyDescent="0.3">
      <c r="A127" s="361"/>
      <c r="B127" s="361"/>
      <c r="C127" s="361"/>
      <c r="D127" s="361"/>
      <c r="E127" s="168"/>
      <c r="F127" s="521"/>
      <c r="G127" s="467"/>
      <c r="H127" s="361"/>
      <c r="I127" s="361"/>
      <c r="J127" s="361"/>
      <c r="K127" s="361"/>
      <c r="L127" s="361"/>
      <c r="M127" s="361"/>
      <c r="N127" s="361"/>
      <c r="O127" s="361"/>
      <c r="P127" s="361"/>
      <c r="Q127" s="361"/>
      <c r="R127" s="361"/>
      <c r="S127" s="361"/>
      <c r="T127" s="361"/>
      <c r="U127" s="361"/>
      <c r="V127" s="361"/>
      <c r="W127" s="361"/>
      <c r="X127" s="361"/>
      <c r="Y127" s="361"/>
      <c r="Z127" s="361"/>
      <c r="AA127" s="361"/>
      <c r="AB127" s="361"/>
      <c r="AC127" s="361"/>
      <c r="AD127" s="361"/>
      <c r="AE127" s="361"/>
      <c r="AF127" s="361"/>
      <c r="AG127" s="361"/>
      <c r="AH127" s="361"/>
      <c r="AI127" s="361"/>
      <c r="AJ127" s="361"/>
      <c r="AK127" s="361"/>
      <c r="AL127" s="361"/>
      <c r="AM127" s="361"/>
      <c r="AN127" s="361"/>
      <c r="AO127" s="361"/>
      <c r="AP127" s="361"/>
      <c r="AQ127" s="361"/>
      <c r="AR127" s="361"/>
      <c r="AS127" s="361"/>
    </row>
    <row r="128" spans="1:45" ht="15" customHeight="1" x14ac:dyDescent="0.3">
      <c r="A128" s="361"/>
      <c r="B128" s="361"/>
      <c r="C128" s="361"/>
      <c r="D128" s="361"/>
      <c r="E128" s="1021" t="str">
        <f xml:space="preserve"> Scenarios!B$43</f>
        <v>Apply opening balance on Gecamines loan</v>
      </c>
      <c r="F128" s="1005">
        <f xml:space="preserve"> Scenarios!C$43</f>
        <v>1</v>
      </c>
      <c r="G128" s="1029" t="str">
        <f xml:space="preserve"> Scenarios!D$43</f>
        <v>flag</v>
      </c>
      <c r="H128" s="361"/>
      <c r="I128" s="361"/>
      <c r="J128" s="361"/>
      <c r="K128" s="361"/>
      <c r="L128" s="361"/>
      <c r="M128" s="361"/>
      <c r="N128" s="361"/>
      <c r="O128" s="361"/>
      <c r="P128" s="361"/>
      <c r="Q128" s="361"/>
      <c r="R128" s="361"/>
      <c r="S128" s="361"/>
      <c r="T128" s="361"/>
      <c r="U128" s="361"/>
      <c r="V128" s="361"/>
      <c r="W128" s="361"/>
      <c r="X128" s="361"/>
      <c r="Y128" s="361"/>
      <c r="Z128" s="361"/>
      <c r="AA128" s="361"/>
      <c r="AB128" s="361"/>
      <c r="AC128" s="361"/>
      <c r="AD128" s="361"/>
      <c r="AE128" s="361"/>
      <c r="AF128" s="361"/>
      <c r="AG128" s="361"/>
      <c r="AH128" s="361"/>
      <c r="AI128" s="361"/>
      <c r="AJ128" s="361"/>
      <c r="AK128" s="361"/>
      <c r="AL128" s="361"/>
      <c r="AM128" s="361"/>
      <c r="AN128" s="361"/>
      <c r="AO128" s="361"/>
      <c r="AP128" s="361"/>
      <c r="AQ128" s="361"/>
      <c r="AR128" s="361"/>
      <c r="AS128" s="361"/>
    </row>
    <row r="129" spans="1:45" ht="15" customHeight="1" x14ac:dyDescent="0.3">
      <c r="A129" s="361"/>
      <c r="B129" s="361"/>
      <c r="C129" s="361"/>
      <c r="D129" s="361"/>
      <c r="E129" s="1021" t="str">
        <f xml:space="preserve"> Scenarios!B$44</f>
        <v>Apply interest on Gecamines loan</v>
      </c>
      <c r="F129" s="1005">
        <f xml:space="preserve"> Scenarios!C$44</f>
        <v>1</v>
      </c>
      <c r="G129" s="1029" t="str">
        <f xml:space="preserve"> Scenarios!D$44</f>
        <v>flag</v>
      </c>
      <c r="H129" s="361"/>
      <c r="I129" s="361"/>
      <c r="J129" s="361"/>
      <c r="K129" s="361"/>
      <c r="L129" s="361"/>
      <c r="M129" s="361"/>
      <c r="N129" s="361"/>
      <c r="O129" s="361"/>
      <c r="P129" s="361"/>
      <c r="Q129" s="361"/>
      <c r="R129" s="361"/>
      <c r="S129" s="361"/>
      <c r="T129" s="361"/>
      <c r="U129" s="361"/>
      <c r="V129" s="361"/>
      <c r="W129" s="361"/>
      <c r="X129" s="361"/>
      <c r="Y129" s="361"/>
      <c r="Z129" s="361"/>
      <c r="AA129" s="361"/>
      <c r="AB129" s="361"/>
      <c r="AC129" s="361"/>
      <c r="AD129" s="361"/>
      <c r="AE129" s="361"/>
      <c r="AF129" s="361"/>
      <c r="AG129" s="361"/>
      <c r="AH129" s="361"/>
      <c r="AI129" s="361"/>
      <c r="AJ129" s="361"/>
      <c r="AK129" s="361"/>
      <c r="AL129" s="361"/>
      <c r="AM129" s="361"/>
      <c r="AN129" s="361"/>
      <c r="AO129" s="361"/>
      <c r="AP129" s="361"/>
      <c r="AQ129" s="361"/>
      <c r="AR129" s="361"/>
      <c r="AS129" s="361"/>
    </row>
    <row r="130" spans="1:45" ht="15" customHeight="1" x14ac:dyDescent="0.3">
      <c r="A130" s="361"/>
      <c r="B130" s="361"/>
      <c r="C130" s="361"/>
      <c r="D130" s="361"/>
      <c r="E130" s="168"/>
      <c r="F130" s="521"/>
      <c r="G130" s="467"/>
      <c r="H130" s="361"/>
      <c r="I130" s="361"/>
      <c r="J130" s="361"/>
      <c r="K130" s="361"/>
      <c r="L130" s="361"/>
      <c r="M130" s="361"/>
      <c r="N130" s="361"/>
      <c r="O130" s="361"/>
      <c r="P130" s="361"/>
      <c r="Q130" s="361"/>
      <c r="R130" s="361"/>
      <c r="S130" s="361"/>
      <c r="T130" s="361"/>
      <c r="U130" s="361"/>
      <c r="V130" s="361"/>
      <c r="W130" s="361"/>
      <c r="X130" s="361"/>
      <c r="Y130" s="361"/>
      <c r="Z130" s="361"/>
      <c r="AA130" s="361"/>
      <c r="AB130" s="361"/>
      <c r="AC130" s="361"/>
      <c r="AD130" s="361"/>
      <c r="AE130" s="361"/>
      <c r="AF130" s="361"/>
      <c r="AG130" s="361"/>
      <c r="AH130" s="361"/>
      <c r="AI130" s="361"/>
      <c r="AJ130" s="361"/>
      <c r="AK130" s="361"/>
      <c r="AL130" s="361"/>
      <c r="AM130" s="361"/>
      <c r="AN130" s="361"/>
      <c r="AO130" s="361"/>
      <c r="AP130" s="361"/>
      <c r="AQ130" s="361"/>
      <c r="AR130" s="361"/>
      <c r="AS130" s="361"/>
    </row>
    <row r="131" spans="1:45" ht="15" customHeight="1" x14ac:dyDescent="0.3"/>
    <row r="132" spans="1:45" ht="15" customHeight="1" x14ac:dyDescent="0.3">
      <c r="A132" s="64" t="s">
        <v>44</v>
      </c>
      <c r="B132" s="64"/>
      <c r="C132" s="65"/>
      <c r="D132" s="66"/>
      <c r="E132" s="64"/>
      <c r="F132" s="64"/>
      <c r="G132" s="64"/>
      <c r="H132" s="63"/>
      <c r="I132" s="205"/>
      <c r="J132" s="42"/>
      <c r="K132" s="205"/>
      <c r="L132" s="205"/>
      <c r="M132" s="205"/>
      <c r="N132" s="205"/>
      <c r="O132" s="205"/>
      <c r="P132" s="205"/>
      <c r="Q132" s="205"/>
      <c r="R132" s="205"/>
      <c r="S132" s="205"/>
      <c r="T132" s="205"/>
      <c r="U132" s="205"/>
      <c r="V132" s="205"/>
      <c r="W132" s="205"/>
      <c r="X132" s="205"/>
      <c r="Y132" s="205"/>
      <c r="Z132" s="205"/>
      <c r="AA132" s="205"/>
      <c r="AB132" s="205"/>
      <c r="AC132" s="205"/>
      <c r="AD132" s="205"/>
      <c r="AE132" s="205"/>
      <c r="AF132" s="205"/>
      <c r="AG132" s="205"/>
      <c r="AH132" s="205"/>
      <c r="AI132" s="205"/>
      <c r="AJ132" s="205"/>
      <c r="AK132" s="205"/>
      <c r="AL132" s="205"/>
      <c r="AM132" s="205"/>
      <c r="AN132" s="205"/>
      <c r="AO132" s="205"/>
      <c r="AP132" s="205"/>
      <c r="AQ132" s="205"/>
      <c r="AR132" s="205"/>
      <c r="AS132" s="205"/>
    </row>
    <row r="133" spans="1:45" ht="15" customHeight="1" x14ac:dyDescent="0.3">
      <c r="A133" s="1"/>
      <c r="B133" s="1"/>
      <c r="C133" s="2"/>
      <c r="D133" s="45"/>
      <c r="E133" s="45"/>
      <c r="F133" s="45"/>
      <c r="G133" s="45"/>
      <c r="H133" s="5"/>
      <c r="I133" s="142"/>
      <c r="J133" s="61"/>
      <c r="K133" s="142"/>
      <c r="L133" s="142"/>
      <c r="M133" s="142"/>
      <c r="N133" s="142"/>
      <c r="O133" s="142"/>
      <c r="P133" s="142"/>
      <c r="Q133" s="142"/>
      <c r="R133" s="142"/>
      <c r="S133" s="142"/>
      <c r="T133" s="142"/>
      <c r="U133" s="142"/>
      <c r="V133" s="142"/>
      <c r="W133" s="142"/>
      <c r="X133" s="142"/>
      <c r="Y133" s="142"/>
      <c r="Z133" s="142"/>
      <c r="AA133" s="142"/>
      <c r="AB133" s="142"/>
      <c r="AC133" s="142"/>
      <c r="AD133" s="142"/>
      <c r="AE133" s="142"/>
      <c r="AF133" s="142"/>
      <c r="AG133" s="142"/>
      <c r="AH133" s="142"/>
      <c r="AI133" s="142"/>
      <c r="AJ133" s="142"/>
      <c r="AK133" s="142"/>
      <c r="AL133" s="143"/>
      <c r="AM133" s="143"/>
      <c r="AN133" s="143"/>
      <c r="AO133" s="143"/>
      <c r="AP133" s="143"/>
      <c r="AQ133" s="143"/>
      <c r="AR133" s="143"/>
      <c r="AS133" s="143"/>
    </row>
    <row r="134" spans="1:45" ht="15" customHeight="1" x14ac:dyDescent="0.3">
      <c r="A134" s="1"/>
      <c r="B134" s="1"/>
      <c r="C134" s="2"/>
      <c r="D134" s="45"/>
      <c r="E134" s="45" t="s">
        <v>45</v>
      </c>
      <c r="F134" s="6">
        <v>1000</v>
      </c>
      <c r="G134" s="45" t="s">
        <v>46</v>
      </c>
      <c r="H134" s="5"/>
      <c r="I134" s="142"/>
      <c r="J134" s="42"/>
      <c r="K134" s="142"/>
      <c r="L134" s="142"/>
      <c r="M134" s="142"/>
      <c r="N134" s="142"/>
      <c r="O134" s="142"/>
      <c r="P134" s="142"/>
      <c r="Q134" s="142"/>
      <c r="R134" s="142"/>
      <c r="S134" s="142"/>
      <c r="T134" s="142"/>
      <c r="U134" s="142"/>
      <c r="V134" s="142"/>
      <c r="W134" s="142"/>
      <c r="X134" s="142"/>
      <c r="Y134" s="142"/>
      <c r="Z134" s="142"/>
      <c r="AA134" s="142"/>
      <c r="AB134" s="142"/>
      <c r="AC134" s="142"/>
      <c r="AD134" s="142"/>
      <c r="AE134" s="142"/>
      <c r="AF134" s="142"/>
      <c r="AG134" s="142"/>
      <c r="AH134" s="142"/>
      <c r="AI134" s="142"/>
      <c r="AJ134" s="142"/>
      <c r="AK134" s="142"/>
      <c r="AL134" s="143"/>
      <c r="AM134" s="143"/>
      <c r="AN134" s="143"/>
      <c r="AO134" s="143"/>
      <c r="AP134" s="143"/>
      <c r="AQ134" s="143"/>
      <c r="AR134" s="143"/>
      <c r="AS134" s="143"/>
    </row>
    <row r="135" spans="1:45" ht="15" customHeight="1" x14ac:dyDescent="0.3">
      <c r="A135" s="1"/>
      <c r="B135" s="1"/>
      <c r="C135" s="2"/>
      <c r="D135" s="45"/>
      <c r="E135" s="45"/>
      <c r="F135" s="45"/>
      <c r="G135" s="45"/>
      <c r="H135" s="5"/>
      <c r="I135" s="142"/>
      <c r="J135" s="42"/>
      <c r="K135" s="142"/>
      <c r="L135" s="142"/>
      <c r="M135" s="142"/>
      <c r="N135" s="142"/>
      <c r="O135" s="142"/>
      <c r="P135" s="142"/>
      <c r="Q135" s="142"/>
      <c r="R135" s="142"/>
      <c r="S135" s="142"/>
      <c r="T135" s="142"/>
      <c r="U135" s="142"/>
      <c r="V135" s="142"/>
      <c r="W135" s="142"/>
      <c r="X135" s="142"/>
      <c r="Y135" s="142"/>
      <c r="Z135" s="142"/>
      <c r="AA135" s="142"/>
      <c r="AB135" s="142"/>
      <c r="AC135" s="142"/>
      <c r="AD135" s="142"/>
      <c r="AE135" s="142"/>
      <c r="AF135" s="142"/>
      <c r="AG135" s="142"/>
      <c r="AH135" s="142"/>
      <c r="AI135" s="142"/>
      <c r="AJ135" s="142"/>
      <c r="AK135" s="142"/>
      <c r="AL135" s="143"/>
      <c r="AM135" s="143"/>
      <c r="AN135" s="143"/>
      <c r="AO135" s="143"/>
      <c r="AP135" s="143"/>
      <c r="AQ135" s="143"/>
      <c r="AR135" s="143"/>
      <c r="AS135" s="143"/>
    </row>
    <row r="136" spans="1:45" ht="15" customHeight="1" x14ac:dyDescent="0.3">
      <c r="A136" s="1"/>
      <c r="B136" s="1"/>
      <c r="C136" s="2"/>
      <c r="D136" s="45"/>
      <c r="E136" s="45" t="s">
        <v>47</v>
      </c>
      <c r="F136" s="6">
        <v>1000000</v>
      </c>
      <c r="G136" s="45" t="s">
        <v>48</v>
      </c>
      <c r="H136" s="5"/>
      <c r="I136" s="142"/>
      <c r="J136" s="42"/>
      <c r="K136" s="142"/>
      <c r="L136" s="142"/>
      <c r="M136" s="142"/>
      <c r="N136" s="142"/>
      <c r="O136" s="142"/>
      <c r="P136" s="142"/>
      <c r="Q136" s="142"/>
      <c r="R136" s="142"/>
      <c r="S136" s="142"/>
      <c r="T136" s="142"/>
      <c r="U136" s="142"/>
      <c r="V136" s="142"/>
      <c r="W136" s="142"/>
      <c r="X136" s="142"/>
      <c r="Y136" s="142"/>
      <c r="Z136" s="142"/>
      <c r="AA136" s="142"/>
      <c r="AB136" s="142"/>
      <c r="AC136" s="142"/>
      <c r="AD136" s="142"/>
      <c r="AE136" s="142"/>
      <c r="AF136" s="142"/>
      <c r="AG136" s="142"/>
      <c r="AH136" s="142"/>
      <c r="AI136" s="142"/>
      <c r="AJ136" s="142"/>
      <c r="AK136" s="142"/>
      <c r="AL136" s="143"/>
      <c r="AM136" s="143"/>
      <c r="AN136" s="143"/>
      <c r="AO136" s="143"/>
      <c r="AP136" s="143"/>
      <c r="AQ136" s="143"/>
      <c r="AR136" s="143"/>
      <c r="AS136" s="143"/>
    </row>
    <row r="137" spans="1:45" ht="15" customHeight="1" x14ac:dyDescent="0.3">
      <c r="A137" s="1"/>
      <c r="B137" s="1"/>
      <c r="C137" s="2"/>
      <c r="D137" s="45"/>
      <c r="E137" s="45"/>
      <c r="F137" s="45"/>
      <c r="G137" s="45"/>
      <c r="H137" s="5"/>
      <c r="I137" s="142"/>
      <c r="J137" s="61"/>
      <c r="K137" s="142"/>
      <c r="L137" s="142"/>
      <c r="M137" s="142"/>
      <c r="N137" s="142"/>
      <c r="O137" s="142"/>
      <c r="P137" s="142"/>
      <c r="Q137" s="142"/>
      <c r="R137" s="142"/>
      <c r="S137" s="142"/>
      <c r="T137" s="142"/>
      <c r="U137" s="142"/>
      <c r="V137" s="142"/>
      <c r="W137" s="142"/>
      <c r="X137" s="142"/>
      <c r="Y137" s="142"/>
      <c r="Z137" s="142"/>
      <c r="AA137" s="142"/>
      <c r="AB137" s="142"/>
      <c r="AC137" s="142"/>
      <c r="AD137" s="142"/>
      <c r="AE137" s="142"/>
      <c r="AF137" s="142"/>
      <c r="AG137" s="142"/>
      <c r="AH137" s="142"/>
      <c r="AI137" s="142"/>
      <c r="AJ137" s="142"/>
      <c r="AK137" s="142"/>
      <c r="AL137" s="143"/>
      <c r="AM137" s="143"/>
      <c r="AN137" s="143"/>
      <c r="AO137" s="143"/>
      <c r="AP137" s="143"/>
      <c r="AQ137" s="143"/>
      <c r="AR137" s="143"/>
      <c r="AS137" s="143"/>
    </row>
    <row r="138" spans="1:45" ht="15" customHeight="1" x14ac:dyDescent="0.3">
      <c r="A138" s="1"/>
      <c r="B138" s="1"/>
      <c r="C138" s="2"/>
      <c r="D138" s="45"/>
      <c r="E138" s="45" t="s">
        <v>49</v>
      </c>
      <c r="F138" s="67">
        <v>9.9999999999999995E-7</v>
      </c>
      <c r="G138" s="45" t="s">
        <v>50</v>
      </c>
      <c r="H138" s="5"/>
      <c r="I138" s="142"/>
      <c r="J138" s="42"/>
      <c r="K138" s="142"/>
      <c r="L138" s="142"/>
      <c r="M138" s="142"/>
      <c r="N138" s="142"/>
      <c r="O138" s="142"/>
      <c r="P138" s="142"/>
      <c r="Q138" s="142"/>
      <c r="R138" s="142"/>
      <c r="S138" s="142"/>
      <c r="T138" s="142"/>
      <c r="U138" s="142"/>
      <c r="V138" s="142"/>
      <c r="W138" s="142"/>
      <c r="X138" s="142"/>
      <c r="Y138" s="142"/>
      <c r="Z138" s="142"/>
      <c r="AA138" s="142"/>
      <c r="AB138" s="142"/>
      <c r="AC138" s="142"/>
      <c r="AD138" s="142"/>
      <c r="AE138" s="142"/>
      <c r="AF138" s="142"/>
      <c r="AG138" s="142"/>
      <c r="AH138" s="142"/>
      <c r="AI138" s="142"/>
      <c r="AJ138" s="142"/>
      <c r="AK138" s="142"/>
      <c r="AL138" s="143"/>
      <c r="AM138" s="143"/>
      <c r="AN138" s="143"/>
      <c r="AO138" s="143"/>
      <c r="AP138" s="143"/>
      <c r="AQ138" s="143"/>
      <c r="AR138" s="143"/>
      <c r="AS138" s="143"/>
    </row>
    <row r="139" spans="1:45" ht="15" customHeight="1" x14ac:dyDescent="0.3">
      <c r="A139" s="1"/>
      <c r="B139" s="1"/>
      <c r="C139" s="2"/>
      <c r="D139" s="3"/>
      <c r="E139" s="3"/>
      <c r="F139" s="3"/>
      <c r="G139" s="3"/>
      <c r="H139" s="5"/>
      <c r="I139" s="142"/>
      <c r="J139" s="42"/>
      <c r="K139" s="142"/>
      <c r="L139" s="142"/>
      <c r="M139" s="142"/>
      <c r="N139" s="142"/>
      <c r="O139" s="142"/>
      <c r="P139" s="142"/>
      <c r="Q139" s="142"/>
      <c r="R139" s="142"/>
      <c r="S139" s="142"/>
      <c r="T139" s="142"/>
      <c r="U139" s="142"/>
      <c r="V139" s="142"/>
      <c r="W139" s="142"/>
      <c r="X139" s="142"/>
      <c r="Y139" s="142"/>
      <c r="Z139" s="142"/>
      <c r="AA139" s="142"/>
      <c r="AB139" s="142"/>
      <c r="AC139" s="142"/>
      <c r="AD139" s="142"/>
      <c r="AE139" s="142"/>
      <c r="AF139" s="142"/>
      <c r="AG139" s="142"/>
      <c r="AH139" s="142"/>
      <c r="AI139" s="142"/>
      <c r="AJ139" s="142"/>
      <c r="AK139" s="142"/>
      <c r="AL139" s="143"/>
      <c r="AM139" s="143"/>
      <c r="AN139" s="143"/>
      <c r="AO139" s="143"/>
      <c r="AP139" s="143"/>
      <c r="AQ139" s="143"/>
      <c r="AR139" s="143"/>
      <c r="AS139" s="143"/>
    </row>
    <row r="140" spans="1:45" ht="15" customHeight="1" x14ac:dyDescent="0.3">
      <c r="A140" s="1"/>
      <c r="B140" s="1"/>
      <c r="C140" s="2"/>
      <c r="D140" s="3"/>
      <c r="E140" s="45" t="s">
        <v>51</v>
      </c>
      <c r="F140" s="67">
        <v>1E-3</v>
      </c>
      <c r="G140" s="45" t="s">
        <v>50</v>
      </c>
      <c r="H140" s="5"/>
      <c r="I140" s="142"/>
      <c r="J140" s="42"/>
      <c r="K140" s="142"/>
      <c r="L140" s="142"/>
      <c r="M140" s="142"/>
      <c r="N140" s="142"/>
      <c r="O140" s="142"/>
      <c r="P140" s="142"/>
      <c r="Q140" s="142"/>
      <c r="R140" s="142"/>
      <c r="S140" s="142"/>
      <c r="T140" s="142"/>
      <c r="U140" s="142"/>
      <c r="V140" s="142"/>
      <c r="W140" s="142"/>
      <c r="X140" s="142"/>
      <c r="Y140" s="142"/>
      <c r="Z140" s="142"/>
      <c r="AA140" s="142"/>
      <c r="AB140" s="142"/>
      <c r="AC140" s="142"/>
      <c r="AD140" s="142"/>
      <c r="AE140" s="142"/>
      <c r="AF140" s="142"/>
      <c r="AG140" s="142"/>
      <c r="AH140" s="142"/>
      <c r="AI140" s="142"/>
      <c r="AJ140" s="142"/>
      <c r="AK140" s="142"/>
      <c r="AL140" s="143"/>
      <c r="AM140" s="143"/>
      <c r="AN140" s="143"/>
      <c r="AO140" s="143"/>
      <c r="AP140" s="143"/>
      <c r="AQ140" s="143"/>
      <c r="AR140" s="143"/>
      <c r="AS140" s="143"/>
    </row>
    <row r="141" spans="1:45" ht="15" customHeight="1" x14ac:dyDescent="0.3">
      <c r="A141" s="1"/>
      <c r="B141" s="1"/>
      <c r="C141" s="2"/>
      <c r="D141" s="3"/>
      <c r="E141" s="3"/>
      <c r="F141" s="3"/>
      <c r="G141" s="3"/>
      <c r="H141" s="5"/>
      <c r="I141" s="142"/>
      <c r="J141" s="61"/>
      <c r="K141" s="142"/>
      <c r="L141" s="142"/>
      <c r="M141" s="142"/>
      <c r="N141" s="142"/>
      <c r="O141" s="142"/>
      <c r="P141" s="142"/>
      <c r="Q141" s="142"/>
      <c r="R141" s="142"/>
      <c r="S141" s="142"/>
      <c r="T141" s="142"/>
      <c r="U141" s="142"/>
      <c r="V141" s="142"/>
      <c r="W141" s="142"/>
      <c r="X141" s="142"/>
      <c r="Y141" s="142"/>
      <c r="Z141" s="142"/>
      <c r="AA141" s="142"/>
      <c r="AB141" s="142"/>
      <c r="AC141" s="142"/>
      <c r="AD141" s="142"/>
      <c r="AE141" s="142"/>
      <c r="AF141" s="142"/>
      <c r="AG141" s="142"/>
      <c r="AH141" s="142"/>
      <c r="AI141" s="142"/>
      <c r="AJ141" s="142"/>
      <c r="AK141" s="142"/>
      <c r="AL141" s="143"/>
      <c r="AM141" s="143"/>
      <c r="AN141" s="143"/>
      <c r="AO141" s="143"/>
      <c r="AP141" s="143"/>
      <c r="AQ141" s="143"/>
      <c r="AR141" s="143"/>
      <c r="AS141" s="143"/>
    </row>
    <row r="142" spans="1:45" ht="15" customHeight="1" x14ac:dyDescent="0.3">
      <c r="A142" s="1"/>
      <c r="B142" s="1"/>
      <c r="C142" s="2"/>
      <c r="D142" s="3"/>
      <c r="E142" s="68" t="s">
        <v>52</v>
      </c>
      <c r="F142" s="69">
        <v>1.0000000000000001E-5</v>
      </c>
      <c r="G142" s="68" t="s">
        <v>34</v>
      </c>
      <c r="H142" s="5"/>
      <c r="I142" s="142"/>
      <c r="J142" s="42"/>
      <c r="K142" s="142"/>
      <c r="L142" s="142"/>
      <c r="M142" s="142"/>
      <c r="N142" s="142"/>
      <c r="O142" s="142"/>
      <c r="P142" s="142"/>
      <c r="Q142" s="142"/>
      <c r="R142" s="142"/>
      <c r="S142" s="142"/>
      <c r="T142" s="142"/>
      <c r="U142" s="142"/>
      <c r="V142" s="142"/>
      <c r="W142" s="142"/>
      <c r="X142" s="142"/>
      <c r="Y142" s="142"/>
      <c r="Z142" s="142"/>
      <c r="AA142" s="142"/>
      <c r="AB142" s="142"/>
      <c r="AC142" s="142"/>
      <c r="AD142" s="142"/>
      <c r="AE142" s="142"/>
      <c r="AF142" s="142"/>
      <c r="AG142" s="142"/>
      <c r="AH142" s="142"/>
      <c r="AI142" s="142"/>
      <c r="AJ142" s="142"/>
      <c r="AK142" s="142"/>
      <c r="AL142" s="143"/>
      <c r="AM142" s="143"/>
      <c r="AN142" s="143"/>
      <c r="AO142" s="143"/>
      <c r="AP142" s="143"/>
      <c r="AQ142" s="143"/>
      <c r="AR142" s="143"/>
      <c r="AS142" s="143"/>
    </row>
    <row r="143" spans="1:45" ht="15" customHeight="1" x14ac:dyDescent="0.3">
      <c r="A143" s="1"/>
      <c r="B143" s="1"/>
      <c r="C143" s="2"/>
      <c r="D143" s="3"/>
      <c r="E143" s="3"/>
      <c r="F143" s="3" t="s">
        <v>53</v>
      </c>
      <c r="G143" s="3"/>
      <c r="H143" s="5"/>
      <c r="I143" s="142"/>
      <c r="J143" s="42"/>
      <c r="K143" s="142"/>
      <c r="L143" s="142"/>
      <c r="M143" s="142"/>
      <c r="N143" s="142"/>
      <c r="O143" s="142"/>
      <c r="P143" s="142"/>
      <c r="Q143" s="142"/>
      <c r="R143" s="142"/>
      <c r="S143" s="142"/>
      <c r="T143" s="142"/>
      <c r="U143" s="142"/>
      <c r="V143" s="142"/>
      <c r="W143" s="142"/>
      <c r="X143" s="142"/>
      <c r="Y143" s="142"/>
      <c r="Z143" s="142"/>
      <c r="AA143" s="142"/>
      <c r="AB143" s="142"/>
      <c r="AC143" s="142"/>
      <c r="AD143" s="142"/>
      <c r="AE143" s="142"/>
      <c r="AF143" s="142"/>
      <c r="AG143" s="142"/>
      <c r="AH143" s="142"/>
      <c r="AI143" s="142"/>
      <c r="AJ143" s="142"/>
      <c r="AK143" s="142"/>
      <c r="AL143" s="143"/>
      <c r="AM143" s="143"/>
      <c r="AN143" s="143"/>
      <c r="AO143" s="143"/>
      <c r="AP143" s="143"/>
      <c r="AQ143" s="143"/>
      <c r="AR143" s="143"/>
      <c r="AS143" s="143"/>
    </row>
    <row r="144" spans="1:45" ht="15" customHeight="1" x14ac:dyDescent="0.3">
      <c r="A144" s="1"/>
      <c r="B144" s="1"/>
      <c r="C144" s="2"/>
      <c r="D144" s="3"/>
      <c r="E144" s="45" t="s">
        <v>54</v>
      </c>
      <c r="F144" s="6">
        <v>365</v>
      </c>
      <c r="G144" s="45" t="s">
        <v>55</v>
      </c>
      <c r="H144" s="5"/>
      <c r="I144" s="142"/>
      <c r="J144" s="42"/>
      <c r="K144" s="142"/>
      <c r="L144" s="142"/>
      <c r="M144" s="142"/>
      <c r="N144" s="142"/>
      <c r="O144" s="142"/>
      <c r="P144" s="142"/>
      <c r="Q144" s="142"/>
      <c r="R144" s="142"/>
      <c r="S144" s="142"/>
      <c r="T144" s="142"/>
      <c r="U144" s="142"/>
      <c r="V144" s="142"/>
      <c r="W144" s="142"/>
      <c r="X144" s="142"/>
      <c r="Y144" s="142"/>
      <c r="Z144" s="142"/>
      <c r="AA144" s="142"/>
      <c r="AB144" s="142"/>
      <c r="AC144" s="142"/>
      <c r="AD144" s="142"/>
      <c r="AE144" s="142"/>
      <c r="AF144" s="142"/>
      <c r="AG144" s="142"/>
      <c r="AH144" s="142"/>
      <c r="AI144" s="142"/>
      <c r="AJ144" s="142"/>
      <c r="AK144" s="142"/>
      <c r="AL144" s="143"/>
      <c r="AM144" s="143"/>
      <c r="AN144" s="143"/>
      <c r="AO144" s="143"/>
      <c r="AP144" s="143"/>
      <c r="AQ144" s="143"/>
      <c r="AR144" s="143"/>
      <c r="AS144" s="143"/>
    </row>
    <row r="145" spans="1:45" ht="15" customHeight="1" x14ac:dyDescent="0.3">
      <c r="A145" s="1"/>
      <c r="B145" s="1"/>
      <c r="C145" s="2"/>
      <c r="D145" s="3"/>
      <c r="E145" s="3"/>
      <c r="F145" s="3"/>
      <c r="G145" s="3"/>
      <c r="H145" s="5"/>
      <c r="I145" s="142"/>
      <c r="J145" s="61"/>
      <c r="K145" s="142"/>
      <c r="L145" s="142"/>
      <c r="M145" s="142"/>
      <c r="N145" s="142"/>
      <c r="O145" s="142"/>
      <c r="P145" s="142"/>
      <c r="Q145" s="142"/>
      <c r="R145" s="142"/>
      <c r="S145" s="142"/>
      <c r="T145" s="142"/>
      <c r="U145" s="142"/>
      <c r="V145" s="142"/>
      <c r="W145" s="142"/>
      <c r="X145" s="142"/>
      <c r="Y145" s="142"/>
      <c r="Z145" s="142"/>
      <c r="AA145" s="142"/>
      <c r="AB145" s="142"/>
      <c r="AC145" s="142"/>
      <c r="AD145" s="142"/>
      <c r="AE145" s="142"/>
      <c r="AF145" s="142"/>
      <c r="AG145" s="142"/>
      <c r="AH145" s="142"/>
      <c r="AI145" s="142"/>
      <c r="AJ145" s="142"/>
      <c r="AK145" s="142"/>
      <c r="AL145" s="143"/>
      <c r="AM145" s="143"/>
      <c r="AN145" s="143"/>
      <c r="AO145" s="143"/>
      <c r="AP145" s="143"/>
      <c r="AQ145" s="143"/>
      <c r="AR145" s="143"/>
      <c r="AS145" s="143"/>
    </row>
    <row r="146" spans="1:45" ht="15" customHeight="1" x14ac:dyDescent="0.3">
      <c r="A146" s="1"/>
      <c r="B146" s="1"/>
      <c r="C146" s="2"/>
      <c r="D146" s="3"/>
      <c r="E146" s="45" t="s">
        <v>56</v>
      </c>
      <c r="F146" s="49" t="s">
        <v>57</v>
      </c>
      <c r="G146" s="45" t="s">
        <v>58</v>
      </c>
      <c r="H146" s="5"/>
      <c r="I146" s="142"/>
      <c r="J146" s="42"/>
      <c r="K146" s="142"/>
      <c r="L146" s="142"/>
      <c r="M146" s="142"/>
      <c r="N146" s="142"/>
      <c r="O146" s="142"/>
      <c r="P146" s="142"/>
      <c r="Q146" s="142"/>
      <c r="R146" s="142"/>
      <c r="S146" s="142"/>
      <c r="T146" s="142"/>
      <c r="U146" s="142"/>
      <c r="V146" s="142"/>
      <c r="W146" s="142"/>
      <c r="X146" s="142"/>
      <c r="Y146" s="142"/>
      <c r="Z146" s="142"/>
      <c r="AA146" s="142"/>
      <c r="AB146" s="142"/>
      <c r="AC146" s="142"/>
      <c r="AD146" s="142"/>
      <c r="AE146" s="142"/>
      <c r="AF146" s="142"/>
      <c r="AG146" s="142"/>
      <c r="AH146" s="142"/>
      <c r="AI146" s="142"/>
      <c r="AJ146" s="142"/>
      <c r="AK146" s="142"/>
      <c r="AL146" s="143"/>
      <c r="AM146" s="143"/>
      <c r="AN146" s="143"/>
      <c r="AO146" s="143"/>
      <c r="AP146" s="143"/>
      <c r="AQ146" s="143"/>
      <c r="AR146" s="143"/>
      <c r="AS146" s="143"/>
    </row>
    <row r="147" spans="1:45" ht="15" customHeight="1" x14ac:dyDescent="0.3">
      <c r="A147" s="1"/>
      <c r="B147" s="1"/>
      <c r="C147" s="2"/>
      <c r="D147" s="3"/>
      <c r="E147" s="45"/>
      <c r="F147" s="20"/>
      <c r="G147" s="45"/>
      <c r="H147" s="5"/>
      <c r="I147" s="142"/>
      <c r="J147" s="42"/>
      <c r="K147" s="142"/>
      <c r="L147" s="142"/>
      <c r="M147" s="142"/>
      <c r="N147" s="142"/>
      <c r="O147" s="142"/>
      <c r="P147" s="142"/>
      <c r="Q147" s="142"/>
      <c r="R147" s="142"/>
      <c r="S147" s="142"/>
      <c r="T147" s="142"/>
      <c r="U147" s="142"/>
      <c r="V147" s="142"/>
      <c r="W147" s="142"/>
      <c r="X147" s="142"/>
      <c r="Y147" s="142"/>
      <c r="Z147" s="142"/>
      <c r="AA147" s="142"/>
      <c r="AB147" s="142"/>
      <c r="AC147" s="142"/>
      <c r="AD147" s="142"/>
      <c r="AE147" s="142"/>
      <c r="AF147" s="142"/>
      <c r="AG147" s="142"/>
      <c r="AH147" s="142"/>
      <c r="AI147" s="142"/>
      <c r="AJ147" s="142"/>
      <c r="AK147" s="142"/>
      <c r="AL147" s="143"/>
      <c r="AM147" s="143"/>
      <c r="AN147" s="143"/>
      <c r="AO147" s="143"/>
      <c r="AP147" s="143"/>
      <c r="AQ147" s="143"/>
      <c r="AR147" s="143"/>
      <c r="AS147" s="143"/>
    </row>
    <row r="148" spans="1:45" ht="15" customHeight="1" x14ac:dyDescent="0.3">
      <c r="A148" s="1"/>
      <c r="B148" s="1"/>
      <c r="C148" s="2"/>
      <c r="D148" s="3"/>
      <c r="E148" s="45" t="s">
        <v>59</v>
      </c>
      <c r="F148" s="49" t="s">
        <v>60</v>
      </c>
      <c r="G148" s="45" t="s">
        <v>58</v>
      </c>
      <c r="H148" s="5"/>
      <c r="I148" s="142"/>
      <c r="J148" s="42"/>
      <c r="K148" s="142"/>
      <c r="L148" s="142"/>
      <c r="M148" s="142"/>
      <c r="N148" s="142"/>
      <c r="O148" s="142"/>
      <c r="P148" s="142"/>
      <c r="Q148" s="142"/>
      <c r="R148" s="142"/>
      <c r="S148" s="142"/>
      <c r="T148" s="142"/>
      <c r="U148" s="142"/>
      <c r="V148" s="142"/>
      <c r="W148" s="142"/>
      <c r="X148" s="142"/>
      <c r="Y148" s="142"/>
      <c r="Z148" s="142"/>
      <c r="AA148" s="142"/>
      <c r="AB148" s="142"/>
      <c r="AC148" s="142"/>
      <c r="AD148" s="142"/>
      <c r="AE148" s="142"/>
      <c r="AF148" s="142"/>
      <c r="AG148" s="142"/>
      <c r="AH148" s="142"/>
      <c r="AI148" s="142"/>
      <c r="AJ148" s="142"/>
      <c r="AK148" s="142"/>
      <c r="AL148" s="143"/>
      <c r="AM148" s="143"/>
      <c r="AN148" s="143"/>
      <c r="AO148" s="143"/>
      <c r="AP148" s="143"/>
      <c r="AQ148" s="143"/>
      <c r="AR148" s="143"/>
      <c r="AS148" s="143"/>
    </row>
    <row r="149" spans="1:45" ht="15" customHeight="1" x14ac:dyDescent="0.3">
      <c r="A149" s="1"/>
      <c r="B149" s="1"/>
      <c r="C149" s="2"/>
      <c r="D149" s="3"/>
      <c r="E149" s="45"/>
      <c r="F149" s="527"/>
      <c r="G149" s="45"/>
      <c r="H149" s="5"/>
      <c r="I149" s="142"/>
      <c r="J149" s="42"/>
      <c r="K149" s="142"/>
      <c r="L149" s="142"/>
      <c r="M149" s="142"/>
      <c r="N149" s="142"/>
      <c r="O149" s="142"/>
      <c r="P149" s="142"/>
      <c r="Q149" s="142"/>
      <c r="R149" s="142"/>
      <c r="S149" s="142"/>
      <c r="T149" s="142"/>
      <c r="U149" s="142"/>
      <c r="V149" s="142"/>
      <c r="W149" s="142"/>
      <c r="X149" s="142"/>
      <c r="Y149" s="142"/>
      <c r="Z149" s="142"/>
      <c r="AA149" s="142"/>
      <c r="AB149" s="142"/>
      <c r="AC149" s="142"/>
      <c r="AD149" s="142"/>
      <c r="AE149" s="142"/>
      <c r="AF149" s="142"/>
      <c r="AG149" s="142"/>
      <c r="AH149" s="142"/>
      <c r="AI149" s="142"/>
      <c r="AJ149" s="142"/>
      <c r="AK149" s="142"/>
      <c r="AL149" s="143"/>
      <c r="AM149" s="143"/>
      <c r="AN149" s="143"/>
      <c r="AO149" s="143"/>
      <c r="AP149" s="143"/>
      <c r="AQ149" s="143"/>
      <c r="AR149" s="143"/>
      <c r="AS149" s="143"/>
    </row>
    <row r="150" spans="1:45" ht="15" customHeight="1" x14ac:dyDescent="0.3">
      <c r="A150" s="428"/>
      <c r="B150" s="428"/>
      <c r="C150" s="429"/>
      <c r="D150" s="430"/>
      <c r="E150" s="280" t="s">
        <v>32</v>
      </c>
      <c r="F150" s="539">
        <v>2204.62</v>
      </c>
      <c r="G150" s="280" t="s">
        <v>33</v>
      </c>
      <c r="H150" s="430"/>
      <c r="I150" s="431"/>
      <c r="J150" s="430"/>
      <c r="K150" s="432"/>
      <c r="L150" s="430"/>
      <c r="M150" s="430"/>
      <c r="N150" s="430"/>
      <c r="O150" s="430"/>
      <c r="P150" s="430"/>
      <c r="Q150" s="430"/>
      <c r="R150" s="430"/>
      <c r="S150" s="430"/>
      <c r="T150" s="430"/>
      <c r="U150" s="430"/>
      <c r="V150" s="430"/>
      <c r="W150" s="430"/>
      <c r="X150" s="430"/>
      <c r="Y150" s="430"/>
      <c r="Z150" s="430"/>
      <c r="AA150" s="430"/>
      <c r="AB150" s="430"/>
      <c r="AC150" s="430"/>
      <c r="AD150" s="430"/>
      <c r="AE150" s="430"/>
      <c r="AF150" s="430"/>
      <c r="AG150" s="430"/>
      <c r="AH150" s="430"/>
      <c r="AI150" s="430"/>
      <c r="AJ150" s="430"/>
      <c r="AK150" s="430"/>
      <c r="AL150" s="430"/>
      <c r="AM150" s="430"/>
      <c r="AN150" s="430"/>
      <c r="AO150" s="430"/>
      <c r="AP150" s="430"/>
      <c r="AQ150" s="430"/>
      <c r="AR150" s="430"/>
      <c r="AS150" s="430"/>
    </row>
    <row r="151" spans="1:45" ht="15" customHeight="1" x14ac:dyDescent="0.3"/>
    <row r="152" spans="1:45" ht="15" customHeight="1" x14ac:dyDescent="0.3">
      <c r="A152" s="400" t="s">
        <v>490</v>
      </c>
      <c r="B152" s="400"/>
      <c r="C152" s="401"/>
      <c r="D152" s="402"/>
      <c r="E152" s="402"/>
      <c r="F152" s="402"/>
      <c r="G152" s="402"/>
      <c r="H152" s="402"/>
      <c r="I152" s="403"/>
      <c r="J152" s="402"/>
      <c r="K152" s="404"/>
      <c r="L152" s="402"/>
      <c r="M152" s="402"/>
      <c r="N152" s="402"/>
      <c r="O152" s="402"/>
      <c r="P152" s="402"/>
      <c r="Q152" s="402"/>
      <c r="R152" s="402"/>
      <c r="S152" s="402"/>
      <c r="T152" s="402"/>
      <c r="U152" s="402"/>
      <c r="V152" s="402"/>
      <c r="W152" s="402"/>
      <c r="X152" s="402"/>
      <c r="Y152" s="402"/>
      <c r="Z152" s="402"/>
      <c r="AA152" s="402"/>
      <c r="AB152" s="402"/>
      <c r="AC152" s="402"/>
      <c r="AD152" s="402"/>
      <c r="AE152" s="402"/>
      <c r="AF152" s="402"/>
      <c r="AG152" s="402"/>
      <c r="AH152" s="402"/>
      <c r="AI152" s="402"/>
      <c r="AJ152" s="402"/>
      <c r="AK152" s="402"/>
      <c r="AL152" s="402"/>
      <c r="AM152" s="402"/>
      <c r="AN152" s="402"/>
      <c r="AO152" s="402"/>
      <c r="AP152" s="402"/>
      <c r="AQ152" s="402"/>
      <c r="AR152" s="402"/>
      <c r="AS152" s="402"/>
    </row>
    <row r="153" spans="1:45" ht="15" customHeight="1" x14ac:dyDescent="0.3"/>
    <row r="154" spans="1:45" ht="15" customHeight="1" x14ac:dyDescent="0.3"/>
    <row r="155" spans="1:45" ht="15" customHeight="1" x14ac:dyDescent="0.3"/>
    <row r="156" spans="1:45" ht="15" customHeight="1" x14ac:dyDescent="0.3"/>
    <row r="157" spans="1:45" ht="15" customHeight="1" x14ac:dyDescent="0.3"/>
    <row r="158" spans="1:45" ht="15" customHeight="1" x14ac:dyDescent="0.3"/>
    <row r="159" spans="1:45" ht="15" customHeight="1" x14ac:dyDescent="0.3"/>
    <row r="160" spans="1:45" ht="15" customHeight="1" x14ac:dyDescent="0.3"/>
    <row r="161" ht="15" customHeight="1" x14ac:dyDescent="0.3"/>
    <row r="162" ht="15" customHeight="1" x14ac:dyDescent="0.3"/>
    <row r="163" ht="15" customHeight="1" x14ac:dyDescent="0.3"/>
    <row r="164" ht="15" customHeight="1" x14ac:dyDescent="0.3"/>
    <row r="165" ht="15" customHeight="1" x14ac:dyDescent="0.3"/>
    <row r="166" ht="15" customHeight="1" x14ac:dyDescent="0.3"/>
    <row r="167" ht="15" customHeight="1" x14ac:dyDescent="0.3"/>
    <row r="168" ht="15" customHeight="1" x14ac:dyDescent="0.3"/>
    <row r="169" ht="15" customHeight="1" x14ac:dyDescent="0.3"/>
    <row r="170" ht="15" customHeight="1" x14ac:dyDescent="0.3"/>
    <row r="171" ht="15" customHeight="1" x14ac:dyDescent="0.3"/>
    <row r="172" ht="15" customHeight="1" x14ac:dyDescent="0.3"/>
    <row r="173" ht="15" customHeight="1" x14ac:dyDescent="0.3"/>
    <row r="174" ht="15" customHeight="1" x14ac:dyDescent="0.3"/>
    <row r="175" ht="15" customHeight="1" x14ac:dyDescent="0.3"/>
    <row r="176" ht="15" customHeight="1" x14ac:dyDescent="0.3"/>
    <row r="177" ht="15" customHeight="1" x14ac:dyDescent="0.3"/>
    <row r="178" ht="15" customHeight="1" x14ac:dyDescent="0.3"/>
    <row r="179" ht="15" customHeight="1" x14ac:dyDescent="0.3"/>
    <row r="180" ht="15" customHeight="1" x14ac:dyDescent="0.3"/>
    <row r="181" ht="15" customHeight="1" x14ac:dyDescent="0.3"/>
    <row r="182" ht="15" customHeight="1" x14ac:dyDescent="0.3"/>
    <row r="183" ht="15" customHeight="1" x14ac:dyDescent="0.3"/>
    <row r="184" ht="15" customHeight="1" x14ac:dyDescent="0.3"/>
    <row r="185" ht="15" customHeight="1" x14ac:dyDescent="0.3"/>
    <row r="186" ht="15" customHeight="1" x14ac:dyDescent="0.3"/>
    <row r="187" ht="15" customHeight="1" x14ac:dyDescent="0.3"/>
    <row r="188" ht="15" customHeight="1" x14ac:dyDescent="0.3"/>
    <row r="189" ht="15" customHeight="1" x14ac:dyDescent="0.3"/>
    <row r="190" ht="15" customHeight="1" x14ac:dyDescent="0.3"/>
    <row r="191" ht="15" customHeight="1" x14ac:dyDescent="0.3"/>
    <row r="192" ht="15" customHeight="1" x14ac:dyDescent="0.3"/>
    <row r="193" ht="15" customHeight="1" x14ac:dyDescent="0.3"/>
    <row r="194" ht="15" customHeight="1" x14ac:dyDescent="0.3"/>
    <row r="195" ht="15" customHeight="1" x14ac:dyDescent="0.3"/>
    <row r="196" ht="15" customHeight="1" x14ac:dyDescent="0.3"/>
    <row r="197" ht="15" customHeight="1" x14ac:dyDescent="0.3"/>
    <row r="198" ht="15" customHeight="1" x14ac:dyDescent="0.3"/>
    <row r="199" ht="15" customHeight="1" x14ac:dyDescent="0.3"/>
    <row r="200" ht="15" customHeight="1" x14ac:dyDescent="0.3"/>
    <row r="201" ht="15" customHeight="1" x14ac:dyDescent="0.3"/>
    <row r="202" ht="15" customHeight="1" x14ac:dyDescent="0.3"/>
    <row r="203" ht="15" customHeight="1" x14ac:dyDescent="0.3"/>
    <row r="204" ht="15" customHeight="1" x14ac:dyDescent="0.3"/>
    <row r="205" ht="15" customHeight="1" x14ac:dyDescent="0.3"/>
    <row r="206" ht="15" customHeight="1" x14ac:dyDescent="0.3"/>
    <row r="207" ht="15" customHeight="1" x14ac:dyDescent="0.3"/>
    <row r="208" ht="15" customHeight="1" x14ac:dyDescent="0.3"/>
    <row r="209" ht="15" customHeight="1" x14ac:dyDescent="0.3"/>
    <row r="210" ht="15" customHeight="1" x14ac:dyDescent="0.3"/>
    <row r="211" ht="15" customHeight="1" x14ac:dyDescent="0.3"/>
    <row r="212" ht="15" customHeight="1" x14ac:dyDescent="0.3"/>
    <row r="213" ht="15" customHeight="1" x14ac:dyDescent="0.3"/>
    <row r="214" ht="15" customHeight="1" x14ac:dyDescent="0.3"/>
    <row r="215" ht="15" customHeight="1" x14ac:dyDescent="0.3"/>
    <row r="216" ht="15" customHeight="1" x14ac:dyDescent="0.3"/>
    <row r="217" ht="15" customHeight="1" x14ac:dyDescent="0.3"/>
    <row r="218" ht="15" customHeight="1" collapsed="1" x14ac:dyDescent="0.3"/>
    <row r="219" ht="15" customHeight="1" x14ac:dyDescent="0.3"/>
    <row r="220" ht="15" customHeight="1" x14ac:dyDescent="0.3"/>
    <row r="221" ht="15" customHeight="1" x14ac:dyDescent="0.3"/>
    <row r="222" ht="15" customHeight="1" x14ac:dyDescent="0.3"/>
    <row r="224" ht="15" customHeight="1" x14ac:dyDescent="0.3"/>
    <row r="225" ht="15" customHeight="1" x14ac:dyDescent="0.3"/>
    <row r="226" ht="15" customHeight="1" x14ac:dyDescent="0.3"/>
    <row r="227" ht="15" customHeight="1" x14ac:dyDescent="0.3"/>
    <row r="228" ht="15" customHeight="1" x14ac:dyDescent="0.3"/>
    <row r="229" ht="15" customHeight="1" x14ac:dyDescent="0.3"/>
    <row r="230" ht="15" customHeight="1" x14ac:dyDescent="0.3"/>
    <row r="231" ht="15" customHeight="1" x14ac:dyDescent="0.3"/>
    <row r="232" ht="15" customHeight="1" x14ac:dyDescent="0.3"/>
    <row r="233" ht="15" customHeight="1" x14ac:dyDescent="0.3"/>
    <row r="234" ht="15" customHeight="1" x14ac:dyDescent="0.3"/>
    <row r="235" ht="15" customHeight="1" x14ac:dyDescent="0.3"/>
    <row r="236" ht="15" customHeight="1" x14ac:dyDescent="0.3"/>
    <row r="237" ht="15" customHeight="1" x14ac:dyDescent="0.3"/>
    <row r="238" ht="15" customHeight="1" x14ac:dyDescent="0.3"/>
    <row r="239" ht="15" customHeight="1" x14ac:dyDescent="0.3"/>
    <row r="240" ht="15" customHeight="1" x14ac:dyDescent="0.3"/>
    <row r="241" ht="15" customHeight="1" x14ac:dyDescent="0.3"/>
    <row r="242" ht="15" customHeight="1" x14ac:dyDescent="0.3"/>
    <row r="243" ht="15" customHeight="1" x14ac:dyDescent="0.3"/>
    <row r="244" ht="15" customHeight="1" x14ac:dyDescent="0.3"/>
    <row r="245" ht="15" customHeight="1" x14ac:dyDescent="0.3"/>
    <row r="246" ht="15" customHeight="1" x14ac:dyDescent="0.3"/>
    <row r="247" ht="15" customHeight="1" x14ac:dyDescent="0.3"/>
    <row r="248" ht="15" customHeight="1" x14ac:dyDescent="0.3"/>
    <row r="249" ht="15" customHeight="1" x14ac:dyDescent="0.3"/>
    <row r="250" ht="15" customHeight="1" x14ac:dyDescent="0.3"/>
    <row r="251" ht="15" customHeight="1" x14ac:dyDescent="0.3"/>
    <row r="252" ht="15" customHeight="1" x14ac:dyDescent="0.3"/>
    <row r="253" ht="15" customHeight="1" x14ac:dyDescent="0.3"/>
    <row r="254" ht="15" customHeight="1" x14ac:dyDescent="0.3"/>
    <row r="255" ht="15" customHeight="1" x14ac:dyDescent="0.3"/>
    <row r="256" ht="15" customHeight="1" x14ac:dyDescent="0.3"/>
    <row r="257" ht="15" customHeight="1" x14ac:dyDescent="0.3"/>
    <row r="258" ht="15" customHeight="1" x14ac:dyDescent="0.3"/>
    <row r="259" ht="15" customHeight="1" x14ac:dyDescent="0.3"/>
    <row r="260" ht="15" customHeight="1" x14ac:dyDescent="0.3"/>
    <row r="261" ht="15" customHeight="1" x14ac:dyDescent="0.3"/>
    <row r="262" ht="15" customHeight="1" x14ac:dyDescent="0.3"/>
    <row r="263" ht="15" customHeight="1" x14ac:dyDescent="0.3"/>
    <row r="264" ht="15" customHeight="1" x14ac:dyDescent="0.3"/>
    <row r="265" ht="15" customHeight="1" x14ac:dyDescent="0.3"/>
    <row r="266" ht="15" customHeight="1" x14ac:dyDescent="0.3"/>
    <row r="267" ht="15" customHeight="1" x14ac:dyDescent="0.3"/>
    <row r="268" ht="15" customHeight="1" x14ac:dyDescent="0.3"/>
    <row r="269" ht="15" customHeight="1" x14ac:dyDescent="0.3"/>
    <row r="270" ht="15" customHeight="1" x14ac:dyDescent="0.3"/>
    <row r="271" ht="15" customHeight="1" x14ac:dyDescent="0.3"/>
    <row r="272" ht="15" customHeight="1" x14ac:dyDescent="0.3"/>
    <row r="273" ht="15" customHeight="1" x14ac:dyDescent="0.3"/>
    <row r="274" ht="15" customHeight="1" x14ac:dyDescent="0.3"/>
    <row r="275" ht="15" customHeight="1" x14ac:dyDescent="0.3"/>
    <row r="276" ht="15" customHeight="1" x14ac:dyDescent="0.3"/>
    <row r="277" ht="15" customHeight="1" x14ac:dyDescent="0.3"/>
    <row r="278" ht="15" customHeight="1" x14ac:dyDescent="0.3"/>
    <row r="279" ht="15" customHeight="1" x14ac:dyDescent="0.3"/>
    <row r="280" ht="15" customHeight="1" x14ac:dyDescent="0.3"/>
    <row r="281" ht="15" customHeight="1" x14ac:dyDescent="0.3"/>
    <row r="282" ht="15" customHeight="1" x14ac:dyDescent="0.3"/>
    <row r="283" ht="15" customHeight="1" x14ac:dyDescent="0.3"/>
    <row r="284" ht="15" customHeight="1" x14ac:dyDescent="0.3"/>
    <row r="285" ht="15" customHeight="1" x14ac:dyDescent="0.3"/>
    <row r="286" ht="15" customHeight="1" x14ac:dyDescent="0.3"/>
    <row r="287" ht="15" customHeight="1" x14ac:dyDescent="0.3"/>
    <row r="288" ht="15" customHeight="1" x14ac:dyDescent="0.3"/>
    <row r="289" ht="15" customHeight="1" x14ac:dyDescent="0.3"/>
    <row r="290" ht="15" customHeight="1" x14ac:dyDescent="0.3"/>
    <row r="291" ht="15" customHeight="1" x14ac:dyDescent="0.3"/>
    <row r="292" ht="15" customHeight="1" x14ac:dyDescent="0.3"/>
    <row r="293" ht="15" customHeight="1" x14ac:dyDescent="0.3"/>
    <row r="294" ht="15" customHeight="1" x14ac:dyDescent="0.3"/>
    <row r="295" ht="15" customHeight="1" x14ac:dyDescent="0.3"/>
    <row r="296" ht="15" customHeight="1" x14ac:dyDescent="0.3"/>
    <row r="297" ht="15" customHeight="1" x14ac:dyDescent="0.3"/>
    <row r="298" ht="15" customHeight="1" x14ac:dyDescent="0.3"/>
    <row r="299" ht="15" customHeight="1" x14ac:dyDescent="0.3"/>
    <row r="300" ht="15" customHeight="1" x14ac:dyDescent="0.3"/>
    <row r="301" ht="15" customHeight="1" x14ac:dyDescent="0.3"/>
    <row r="302" ht="15" customHeight="1" x14ac:dyDescent="0.3"/>
    <row r="303" ht="15" customHeight="1" x14ac:dyDescent="0.3"/>
    <row r="304" ht="15" customHeight="1" x14ac:dyDescent="0.3"/>
    <row r="305" ht="15" customHeight="1" x14ac:dyDescent="0.3"/>
    <row r="306" ht="15" customHeight="1" x14ac:dyDescent="0.3"/>
    <row r="307" ht="15" customHeight="1" x14ac:dyDescent="0.3"/>
    <row r="308" ht="15" customHeight="1" x14ac:dyDescent="0.3"/>
    <row r="309" ht="15" customHeight="1" x14ac:dyDescent="0.3"/>
    <row r="310" ht="15" customHeight="1" x14ac:dyDescent="0.3"/>
    <row r="311" ht="15" customHeight="1" x14ac:dyDescent="0.3"/>
    <row r="312" ht="15" customHeight="1" x14ac:dyDescent="0.3"/>
    <row r="313" ht="15" customHeight="1" x14ac:dyDescent="0.3"/>
    <row r="314" ht="15" customHeight="1" x14ac:dyDescent="0.3"/>
    <row r="315" ht="15" customHeight="1" x14ac:dyDescent="0.3"/>
    <row r="316" ht="15" customHeight="1" x14ac:dyDescent="0.3"/>
    <row r="317" ht="15" customHeight="1" x14ac:dyDescent="0.3"/>
    <row r="318" ht="15" customHeight="1" x14ac:dyDescent="0.3"/>
    <row r="319" ht="15" customHeight="1" x14ac:dyDescent="0.3"/>
    <row r="320" ht="15" customHeight="1" x14ac:dyDescent="0.3"/>
    <row r="321" ht="15" customHeight="1" x14ac:dyDescent="0.3"/>
    <row r="322" ht="15" customHeight="1" x14ac:dyDescent="0.3"/>
    <row r="323" ht="15" customHeight="1" x14ac:dyDescent="0.3"/>
    <row r="324" ht="15" customHeight="1" x14ac:dyDescent="0.3"/>
    <row r="325" ht="15" customHeight="1" x14ac:dyDescent="0.3"/>
    <row r="326" ht="15" customHeight="1" x14ac:dyDescent="0.3"/>
    <row r="327" ht="15" customHeight="1" x14ac:dyDescent="0.3"/>
    <row r="328" ht="15" customHeight="1" x14ac:dyDescent="0.3"/>
    <row r="329" ht="15" customHeight="1" x14ac:dyDescent="0.3"/>
    <row r="330" ht="15" customHeight="1" x14ac:dyDescent="0.3"/>
    <row r="331" ht="15" customHeight="1" x14ac:dyDescent="0.3"/>
    <row r="332" ht="15" customHeight="1" x14ac:dyDescent="0.3"/>
    <row r="333" ht="15" customHeight="1" x14ac:dyDescent="0.3"/>
    <row r="334" ht="15" customHeight="1" x14ac:dyDescent="0.3"/>
    <row r="335" ht="15" customHeight="1" x14ac:dyDescent="0.3"/>
    <row r="336" ht="15" customHeight="1" x14ac:dyDescent="0.3"/>
    <row r="337" ht="15" customHeight="1" x14ac:dyDescent="0.3"/>
    <row r="338" ht="15" customHeight="1" x14ac:dyDescent="0.3"/>
    <row r="339" ht="15" customHeight="1" x14ac:dyDescent="0.3"/>
    <row r="340" ht="15" customHeight="1" x14ac:dyDescent="0.3"/>
    <row r="341" ht="15" customHeight="1" x14ac:dyDescent="0.3"/>
    <row r="342" ht="15" customHeight="1" x14ac:dyDescent="0.3"/>
    <row r="343" ht="15" customHeight="1" x14ac:dyDescent="0.3"/>
    <row r="344" ht="15" customHeight="1" x14ac:dyDescent="0.3"/>
    <row r="345" ht="15" customHeight="1" x14ac:dyDescent="0.3"/>
    <row r="346" ht="15" customHeight="1" x14ac:dyDescent="0.3"/>
    <row r="347" ht="15" customHeight="1" x14ac:dyDescent="0.3"/>
    <row r="348" ht="15" customHeight="1" x14ac:dyDescent="0.3"/>
    <row r="349" ht="15" customHeight="1" x14ac:dyDescent="0.3"/>
    <row r="350" ht="15" customHeight="1" x14ac:dyDescent="0.3"/>
    <row r="351" ht="15" customHeight="1" x14ac:dyDescent="0.3"/>
    <row r="352" ht="15" customHeight="1" x14ac:dyDescent="0.3"/>
    <row r="353" ht="15" customHeight="1" x14ac:dyDescent="0.3"/>
    <row r="354" ht="15" customHeight="1" x14ac:dyDescent="0.3"/>
    <row r="355" ht="15" customHeight="1" x14ac:dyDescent="0.3"/>
    <row r="356" ht="15" customHeight="1" x14ac:dyDescent="0.3"/>
    <row r="357" ht="15" customHeight="1" x14ac:dyDescent="0.3"/>
    <row r="358" ht="15" customHeight="1" x14ac:dyDescent="0.3"/>
    <row r="359" ht="15" customHeight="1" x14ac:dyDescent="0.3"/>
    <row r="360" ht="15" customHeight="1" x14ac:dyDescent="0.3"/>
    <row r="361" ht="15" customHeight="1" x14ac:dyDescent="0.3"/>
    <row r="362" ht="15" customHeight="1" x14ac:dyDescent="0.3"/>
    <row r="363" ht="15" customHeight="1" x14ac:dyDescent="0.3"/>
    <row r="364" ht="15" customHeight="1" x14ac:dyDescent="0.3"/>
    <row r="365" ht="15" customHeight="1" x14ac:dyDescent="0.3"/>
    <row r="366" ht="15" customHeight="1" x14ac:dyDescent="0.3"/>
    <row r="367" ht="15" customHeight="1" x14ac:dyDescent="0.3"/>
    <row r="368" ht="15" customHeight="1" x14ac:dyDescent="0.3"/>
    <row r="369" ht="15" customHeight="1" x14ac:dyDescent="0.3"/>
    <row r="370" ht="15" customHeight="1" x14ac:dyDescent="0.3"/>
    <row r="371" ht="15" customHeight="1" x14ac:dyDescent="0.3"/>
    <row r="372" ht="15" customHeight="1" x14ac:dyDescent="0.3"/>
    <row r="373" ht="15" customHeight="1" x14ac:dyDescent="0.3"/>
    <row r="374" ht="15" customHeight="1" x14ac:dyDescent="0.3"/>
    <row r="375" ht="15" customHeight="1" x14ac:dyDescent="0.3"/>
    <row r="376" ht="15" customHeight="1" x14ac:dyDescent="0.3"/>
    <row r="377" ht="15" customHeight="1" x14ac:dyDescent="0.3"/>
    <row r="378" ht="15" customHeight="1" x14ac:dyDescent="0.3"/>
    <row r="379" ht="15" customHeight="1" x14ac:dyDescent="0.3"/>
    <row r="380" ht="15" customHeight="1" x14ac:dyDescent="0.3"/>
    <row r="381" ht="15" customHeight="1" x14ac:dyDescent="0.3"/>
    <row r="382" ht="15" customHeight="1" x14ac:dyDescent="0.3"/>
    <row r="383" ht="15" customHeight="1" x14ac:dyDescent="0.3"/>
    <row r="384" ht="15" customHeight="1" x14ac:dyDescent="0.3"/>
    <row r="385" ht="15" customHeight="1" x14ac:dyDescent="0.3"/>
    <row r="386" ht="15" customHeight="1" x14ac:dyDescent="0.3"/>
    <row r="387" ht="15" customHeight="1" x14ac:dyDescent="0.3"/>
    <row r="388" ht="15" customHeight="1" x14ac:dyDescent="0.3"/>
    <row r="389" ht="15" customHeight="1" x14ac:dyDescent="0.3"/>
    <row r="390" ht="15" customHeight="1" x14ac:dyDescent="0.3"/>
    <row r="391" ht="15" customHeight="1" x14ac:dyDescent="0.3"/>
    <row r="392" ht="15" customHeight="1" x14ac:dyDescent="0.3"/>
    <row r="393" ht="15" customHeight="1" x14ac:dyDescent="0.3"/>
    <row r="394" ht="15" customHeight="1" x14ac:dyDescent="0.3"/>
    <row r="395" ht="15" customHeight="1" x14ac:dyDescent="0.3"/>
    <row r="396" ht="15" customHeight="1" x14ac:dyDescent="0.3"/>
    <row r="397" ht="15" customHeight="1" x14ac:dyDescent="0.3"/>
    <row r="398" ht="15" customHeight="1" x14ac:dyDescent="0.3"/>
    <row r="399" ht="15" customHeight="1" x14ac:dyDescent="0.3"/>
    <row r="400" ht="15" customHeight="1" x14ac:dyDescent="0.3"/>
    <row r="401" ht="15" customHeight="1" x14ac:dyDescent="0.3"/>
    <row r="402" ht="15" customHeight="1" x14ac:dyDescent="0.3"/>
    <row r="403" ht="15" customHeight="1" x14ac:dyDescent="0.3"/>
    <row r="404" ht="15" customHeight="1" x14ac:dyDescent="0.3"/>
    <row r="405" ht="15" customHeight="1" x14ac:dyDescent="0.3"/>
    <row r="406" ht="15" customHeight="1" x14ac:dyDescent="0.3"/>
    <row r="407" ht="15" customHeight="1" x14ac:dyDescent="0.3"/>
    <row r="408" ht="15" customHeight="1" x14ac:dyDescent="0.3"/>
    <row r="409" ht="15" customHeight="1" x14ac:dyDescent="0.3"/>
    <row r="410" ht="15" customHeight="1" x14ac:dyDescent="0.3"/>
    <row r="411" ht="15" customHeight="1" x14ac:dyDescent="0.3"/>
    <row r="412" ht="15" customHeight="1" x14ac:dyDescent="0.3"/>
    <row r="413" ht="15" customHeight="1" x14ac:dyDescent="0.3"/>
    <row r="414" ht="15" customHeight="1" x14ac:dyDescent="0.3"/>
    <row r="415" ht="15" customHeight="1" x14ac:dyDescent="0.3"/>
    <row r="416" ht="15" customHeight="1" x14ac:dyDescent="0.3"/>
    <row r="417" ht="15" customHeight="1" x14ac:dyDescent="0.3"/>
    <row r="418" ht="15" customHeight="1" x14ac:dyDescent="0.3"/>
    <row r="419" ht="15" customHeight="1" x14ac:dyDescent="0.3"/>
    <row r="420" ht="15" customHeight="1" x14ac:dyDescent="0.3"/>
    <row r="421" ht="15" customHeight="1" x14ac:dyDescent="0.3"/>
    <row r="422" ht="15" customHeight="1" x14ac:dyDescent="0.3"/>
    <row r="423" ht="15" customHeight="1" x14ac:dyDescent="0.3"/>
    <row r="424" ht="15" customHeight="1" x14ac:dyDescent="0.3"/>
    <row r="425" ht="15" customHeight="1" x14ac:dyDescent="0.3"/>
    <row r="426" ht="15" customHeight="1" x14ac:dyDescent="0.3"/>
    <row r="427" ht="15" customHeight="1" x14ac:dyDescent="0.3"/>
    <row r="428" ht="15" customHeight="1" x14ac:dyDescent="0.3"/>
    <row r="429" ht="15" customHeight="1" x14ac:dyDescent="0.3"/>
    <row r="430" ht="15" customHeight="1" x14ac:dyDescent="0.3"/>
    <row r="431" ht="15" customHeight="1" x14ac:dyDescent="0.3"/>
    <row r="432" ht="15" customHeight="1" x14ac:dyDescent="0.3"/>
    <row r="433" ht="15" customHeight="1" x14ac:dyDescent="0.3"/>
    <row r="434" ht="15" customHeight="1" x14ac:dyDescent="0.3"/>
    <row r="435" ht="15" customHeight="1" x14ac:dyDescent="0.3"/>
    <row r="436" ht="15" customHeight="1" x14ac:dyDescent="0.3"/>
    <row r="437" ht="15" customHeight="1" x14ac:dyDescent="0.3"/>
    <row r="438" ht="15" customHeight="1" x14ac:dyDescent="0.3"/>
    <row r="439" ht="15" customHeight="1" x14ac:dyDescent="0.3"/>
    <row r="440" ht="15" customHeight="1" x14ac:dyDescent="0.3"/>
    <row r="441" ht="15" customHeight="1" x14ac:dyDescent="0.3"/>
    <row r="442" ht="15" customHeight="1" x14ac:dyDescent="0.3"/>
    <row r="443" ht="15" customHeight="1" x14ac:dyDescent="0.3"/>
    <row r="444" ht="15" customHeight="1" x14ac:dyDescent="0.3"/>
    <row r="445" ht="15" customHeight="1" x14ac:dyDescent="0.3"/>
    <row r="446" ht="15" customHeight="1" x14ac:dyDescent="0.3"/>
    <row r="447" ht="15" customHeight="1" x14ac:dyDescent="0.3"/>
    <row r="448" ht="15" customHeight="1" x14ac:dyDescent="0.3"/>
    <row r="449" ht="15" customHeight="1" x14ac:dyDescent="0.3"/>
    <row r="450" ht="15" customHeight="1" x14ac:dyDescent="0.3"/>
    <row r="451" ht="15" customHeight="1" x14ac:dyDescent="0.3"/>
    <row r="452" ht="15" customHeight="1" x14ac:dyDescent="0.3"/>
    <row r="453" ht="15" customHeight="1" x14ac:dyDescent="0.3"/>
    <row r="454" ht="15" customHeight="1" x14ac:dyDescent="0.3"/>
    <row r="455" ht="15" customHeight="1" x14ac:dyDescent="0.3"/>
    <row r="456" ht="15" customHeight="1" x14ac:dyDescent="0.3"/>
    <row r="457" ht="15" customHeight="1" x14ac:dyDescent="0.3"/>
    <row r="458" ht="15" customHeight="1" x14ac:dyDescent="0.3"/>
    <row r="459" ht="15" customHeight="1" x14ac:dyDescent="0.3"/>
    <row r="460" ht="15" customHeight="1" x14ac:dyDescent="0.3"/>
    <row r="461" ht="15" customHeight="1" x14ac:dyDescent="0.3"/>
    <row r="462" ht="15" customHeight="1" x14ac:dyDescent="0.3"/>
    <row r="463" ht="15" customHeight="1" x14ac:dyDescent="0.3"/>
    <row r="464" ht="15" customHeight="1" x14ac:dyDescent="0.3"/>
    <row r="465" ht="15" customHeight="1" x14ac:dyDescent="0.3"/>
    <row r="466" ht="15" customHeight="1" x14ac:dyDescent="0.3"/>
    <row r="467" ht="15" customHeight="1" x14ac:dyDescent="0.3"/>
    <row r="468" ht="15" customHeight="1" x14ac:dyDescent="0.3"/>
    <row r="469" ht="15" customHeight="1" x14ac:dyDescent="0.3"/>
    <row r="470" ht="15" customHeight="1" x14ac:dyDescent="0.3"/>
    <row r="471" ht="15" customHeight="1" x14ac:dyDescent="0.3"/>
    <row r="472" ht="15" customHeight="1" x14ac:dyDescent="0.3"/>
    <row r="473" ht="15" customHeight="1" x14ac:dyDescent="0.3"/>
    <row r="474" ht="15" customHeight="1" x14ac:dyDescent="0.3"/>
    <row r="475" ht="15" customHeight="1" x14ac:dyDescent="0.3"/>
    <row r="476" ht="15" customHeight="1" x14ac:dyDescent="0.3"/>
    <row r="477" ht="15" customHeight="1" x14ac:dyDescent="0.3"/>
    <row r="478" ht="15" customHeight="1" x14ac:dyDescent="0.3"/>
    <row r="479" ht="15" customHeight="1" x14ac:dyDescent="0.3"/>
    <row r="480" ht="15" customHeight="1" x14ac:dyDescent="0.3"/>
    <row r="481" ht="15" customHeight="1" x14ac:dyDescent="0.3"/>
    <row r="482" ht="15" customHeight="1" x14ac:dyDescent="0.3"/>
    <row r="483" ht="15" customHeight="1" x14ac:dyDescent="0.3"/>
    <row r="484" ht="15" customHeight="1" x14ac:dyDescent="0.3"/>
    <row r="485" ht="15" customHeight="1" x14ac:dyDescent="0.3"/>
    <row r="486" ht="15" customHeight="1" x14ac:dyDescent="0.3"/>
    <row r="487" ht="15" customHeight="1" x14ac:dyDescent="0.3"/>
    <row r="488" ht="15" customHeight="1" x14ac:dyDescent="0.3"/>
    <row r="489" ht="15" customHeight="1" x14ac:dyDescent="0.3"/>
    <row r="490" ht="15" customHeight="1" x14ac:dyDescent="0.3"/>
    <row r="491" ht="15" customHeight="1" x14ac:dyDescent="0.3"/>
    <row r="492" ht="15" customHeight="1" x14ac:dyDescent="0.3"/>
    <row r="493" ht="15" customHeight="1" x14ac:dyDescent="0.3"/>
    <row r="494" ht="15" customHeight="1" x14ac:dyDescent="0.3"/>
    <row r="495" ht="15" customHeight="1" x14ac:dyDescent="0.3"/>
    <row r="496" ht="15" customHeight="1" x14ac:dyDescent="0.3"/>
    <row r="497" ht="15" customHeight="1" x14ac:dyDescent="0.3"/>
    <row r="498" ht="15" customHeight="1" x14ac:dyDescent="0.3"/>
    <row r="499" ht="15" customHeight="1" x14ac:dyDescent="0.3"/>
    <row r="500" ht="15" customHeight="1" x14ac:dyDescent="0.3"/>
    <row r="501" ht="15" customHeight="1" x14ac:dyDescent="0.3"/>
    <row r="502" ht="15" customHeight="1" x14ac:dyDescent="0.3"/>
    <row r="503" ht="15" customHeight="1" x14ac:dyDescent="0.3"/>
    <row r="504" ht="15" customHeight="1" x14ac:dyDescent="0.3"/>
    <row r="505" ht="15" customHeight="1" x14ac:dyDescent="0.3"/>
    <row r="506" ht="15" customHeight="1" x14ac:dyDescent="0.3"/>
    <row r="507" ht="15" customHeight="1" x14ac:dyDescent="0.3"/>
    <row r="508" ht="15" customHeight="1" x14ac:dyDescent="0.3"/>
    <row r="509" ht="15" customHeight="1" x14ac:dyDescent="0.3"/>
    <row r="510" ht="15" customHeight="1" x14ac:dyDescent="0.3"/>
    <row r="511" ht="15" customHeight="1" x14ac:dyDescent="0.3"/>
    <row r="512" ht="15" customHeight="1" x14ac:dyDescent="0.3"/>
    <row r="513" ht="15" customHeight="1" x14ac:dyDescent="0.3"/>
    <row r="514" ht="15" customHeight="1" x14ac:dyDescent="0.3"/>
    <row r="515" ht="15" customHeight="1" x14ac:dyDescent="0.3"/>
    <row r="516" ht="15" customHeight="1" x14ac:dyDescent="0.3"/>
    <row r="517" ht="15" customHeight="1" x14ac:dyDescent="0.3"/>
    <row r="518" ht="15" customHeight="1" x14ac:dyDescent="0.3"/>
    <row r="522" ht="15" customHeight="1" x14ac:dyDescent="0.3"/>
    <row r="526" ht="15" customHeight="1" x14ac:dyDescent="0.3"/>
  </sheetData>
  <conditionalFormatting sqref="F2">
    <cfRule type="cellIs" dxfId="49" priority="3" stopIfTrue="1" operator="notEqual">
      <formula>0</formula>
    </cfRule>
    <cfRule type="cellIs" dxfId="48" priority="4" stopIfTrue="1" operator="equal">
      <formula>""</formula>
    </cfRule>
  </conditionalFormatting>
  <conditionalFormatting sqref="F3">
    <cfRule type="cellIs" dxfId="47" priority="1" stopIfTrue="1" operator="notEqual">
      <formula>0</formula>
    </cfRule>
    <cfRule type="cellIs" dxfId="46" priority="2" stopIfTrue="1" operator="equal">
      <formula>""</formula>
    </cfRule>
  </conditionalFormatting>
  <conditionalFormatting sqref="K3:AS3">
    <cfRule type="cellIs" dxfId="45" priority="7" stopIfTrue="1" operator="equal">
      <formula>#REF!</formula>
    </cfRule>
    <cfRule type="cellIs" dxfId="44" priority="8" stopIfTrue="1" operator="equal">
      <formula>#REF!</formula>
    </cfRule>
    <cfRule type="cellIs" dxfId="43" priority="9" operator="equal">
      <formula>#REF!</formula>
    </cfRule>
    <cfRule type="cellIs" dxfId="42" priority="10" operator="equal">
      <formula>#REF!</formula>
    </cfRule>
    <cfRule type="cellIs" dxfId="41" priority="11" stopIfTrue="1" operator="equal">
      <formula>#REF!</formula>
    </cfRule>
    <cfRule type="cellIs" dxfId="40" priority="12" stopIfTrue="1" operator="equal">
      <formula>#REF!</formula>
    </cfRule>
  </conditionalFormatting>
  <dataValidations count="4">
    <dataValidation type="list" allowBlank="1" showInputMessage="1" showErrorMessage="1" sqref="F80 F107" xr:uid="{08FF33DF-AD5D-4B0A-9D2E-6AE030AB4770}">
      <formula1>"Yes, No"</formula1>
    </dataValidation>
    <dataValidation type="list" allowBlank="1" showInputMessage="1" showErrorMessage="1" sqref="F13:F15" xr:uid="{2DCB20A3-CF5F-4FF3-B525-EA26AABDC019}">
      <formula1>"Original, FS"</formula1>
    </dataValidation>
    <dataValidation type="list" allowBlank="1" showInputMessage="1" showErrorMessage="1" sqref="G68 G64:G65" xr:uid="{19E32870-9FAB-48DE-A6DE-0D644F6E77D2}">
      <formula1>$F$70:$F$71</formula1>
    </dataValidation>
    <dataValidation type="list" allowBlank="1" showInputMessage="1" showErrorMessage="1" sqref="F16" xr:uid="{3B1EB4BD-8434-458F-B8BF-5CEFC8599369}">
      <formula1>"Calculated, FS"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4F375-93F7-4636-A88B-3E2780A06F2E}">
  <sheetPr codeName="Sheet12">
    <tabColor rgb="FFFFFF00"/>
  </sheetPr>
  <dimension ref="A1:AS352"/>
  <sheetViews>
    <sheetView showZeros="0" zoomScale="115" zoomScaleNormal="115" workbookViewId="0">
      <pane ySplit="4" topLeftCell="A146" activePane="bottomLeft" state="frozen"/>
      <selection activeCell="L103" sqref="L103"/>
      <selection pane="bottomLeft" activeCell="F155" sqref="F155"/>
    </sheetView>
  </sheetViews>
  <sheetFormatPr defaultColWidth="0" defaultRowHeight="15" customHeight="1" x14ac:dyDescent="0.3"/>
  <cols>
    <col min="1" max="2" width="1.33203125" style="1" customWidth="1"/>
    <col min="3" max="3" width="1.33203125" style="2" customWidth="1"/>
    <col min="4" max="4" width="1.33203125" style="3" customWidth="1"/>
    <col min="5" max="5" width="50.6640625" style="3" customWidth="1"/>
    <col min="6" max="6" width="12.6640625" style="3" customWidth="1"/>
    <col min="7" max="7" width="20.6640625" style="3" customWidth="1"/>
    <col min="8" max="8" width="25.109375" style="5" customWidth="1"/>
    <col min="9" max="9" width="12.6640625" style="3" customWidth="1" collapsed="1"/>
    <col min="10" max="10" width="1.6640625" style="42" customWidth="1"/>
    <col min="11" max="13" width="10.6640625" style="3" customWidth="1"/>
    <col min="14" max="14" width="12.44140625" style="3" bestFit="1" customWidth="1"/>
    <col min="15" max="37" width="10.6640625" style="3" customWidth="1"/>
    <col min="38" max="45" width="11.88671875" customWidth="1"/>
    <col min="46" max="16384" width="11.88671875" hidden="1"/>
  </cols>
  <sheetData>
    <row r="1" spans="1:45" ht="26.25" customHeight="1" x14ac:dyDescent="0.3">
      <c r="A1" s="44" t="str">
        <f ca="1" xml:space="preserve"> RIGHT(CELL("filename", $A$3), LEN(CELL("filename", $A$3)) - SEARCH("]", CELL("filename", $A$3)))</f>
        <v>Inputs_TS</v>
      </c>
      <c r="F1" s="4"/>
      <c r="J1" s="21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  <c r="Y1" s="45"/>
      <c r="Z1" s="45"/>
      <c r="AA1" s="45"/>
      <c r="AB1" s="45"/>
      <c r="AC1" s="45"/>
      <c r="AD1" s="45"/>
      <c r="AE1" s="45"/>
      <c r="AF1" s="45"/>
      <c r="AG1" s="45"/>
      <c r="AH1" s="45"/>
      <c r="AI1" s="45"/>
      <c r="AJ1" s="45"/>
    </row>
    <row r="2" spans="1:45" s="70" customFormat="1" ht="15" customHeight="1" x14ac:dyDescent="0.3">
      <c r="A2" s="93"/>
      <c r="B2" s="93"/>
      <c r="C2" s="92"/>
      <c r="D2" s="93"/>
      <c r="E2" s="93"/>
      <c r="F2" s="888">
        <f xml:space="preserve"> Track!F$80</f>
        <v>0</v>
      </c>
      <c r="G2" s="7" t="s">
        <v>0</v>
      </c>
      <c r="H2" s="431"/>
      <c r="I2" s="93"/>
      <c r="J2" s="226"/>
      <c r="K2" s="887">
        <f xml:space="preserve"> 'T&amp;E'!K$9</f>
        <v>2006</v>
      </c>
      <c r="L2" s="887">
        <f xml:space="preserve"> 'T&amp;E'!L$9</f>
        <v>2007</v>
      </c>
      <c r="M2" s="887">
        <f xml:space="preserve"> 'T&amp;E'!M$9</f>
        <v>2008</v>
      </c>
      <c r="N2" s="887">
        <f xml:space="preserve"> 'T&amp;E'!N$9</f>
        <v>2009</v>
      </c>
      <c r="O2" s="887">
        <f xml:space="preserve"> 'T&amp;E'!O$9</f>
        <v>2010</v>
      </c>
      <c r="P2" s="887">
        <f xml:space="preserve"> 'T&amp;E'!P$9</f>
        <v>2011</v>
      </c>
      <c r="Q2" s="887">
        <f xml:space="preserve"> 'T&amp;E'!Q$9</f>
        <v>2012</v>
      </c>
      <c r="R2" s="887">
        <f xml:space="preserve"> 'T&amp;E'!R$9</f>
        <v>2013</v>
      </c>
      <c r="S2" s="887">
        <f xml:space="preserve"> 'T&amp;E'!S$9</f>
        <v>2014</v>
      </c>
      <c r="T2" s="887">
        <f xml:space="preserve"> 'T&amp;E'!T$9</f>
        <v>2015</v>
      </c>
      <c r="U2" s="887">
        <f xml:space="preserve"> 'T&amp;E'!U$9</f>
        <v>2016</v>
      </c>
      <c r="V2" s="887">
        <f xml:space="preserve"> 'T&amp;E'!V$9</f>
        <v>2017</v>
      </c>
      <c r="W2" s="887">
        <f xml:space="preserve"> 'T&amp;E'!W$9</f>
        <v>2018</v>
      </c>
      <c r="X2" s="887">
        <f xml:space="preserve"> 'T&amp;E'!X$9</f>
        <v>2019</v>
      </c>
      <c r="Y2" s="887">
        <f xml:space="preserve"> 'T&amp;E'!Y$9</f>
        <v>2020</v>
      </c>
      <c r="Z2" s="887">
        <f xml:space="preserve"> 'T&amp;E'!Z$9</f>
        <v>2021</v>
      </c>
      <c r="AA2" s="887">
        <f xml:space="preserve"> 'T&amp;E'!AA$9</f>
        <v>2022</v>
      </c>
      <c r="AB2" s="887">
        <f xml:space="preserve"> 'T&amp;E'!AB$9</f>
        <v>2023</v>
      </c>
      <c r="AC2" s="887">
        <f xml:space="preserve"> 'T&amp;E'!AC$9</f>
        <v>2024</v>
      </c>
      <c r="AD2" s="887">
        <f xml:space="preserve"> 'T&amp;E'!AD$9</f>
        <v>2025</v>
      </c>
      <c r="AE2" s="887">
        <f xml:space="preserve"> 'T&amp;E'!AE$9</f>
        <v>2026</v>
      </c>
      <c r="AF2" s="887">
        <f xml:space="preserve"> 'T&amp;E'!AF$9</f>
        <v>2027</v>
      </c>
      <c r="AG2" s="887">
        <f xml:space="preserve"> 'T&amp;E'!AG$9</f>
        <v>2028</v>
      </c>
      <c r="AH2" s="887">
        <f xml:space="preserve"> 'T&amp;E'!AH$9</f>
        <v>2029</v>
      </c>
      <c r="AI2" s="887">
        <f xml:space="preserve"> 'T&amp;E'!AI$9</f>
        <v>2030</v>
      </c>
      <c r="AJ2" s="887">
        <f xml:space="preserve"> 'T&amp;E'!AJ$9</f>
        <v>2031</v>
      </c>
      <c r="AK2" s="887">
        <f xml:space="preserve"> 'T&amp;E'!AK$9</f>
        <v>2032</v>
      </c>
      <c r="AL2" s="887">
        <f xml:space="preserve"> 'T&amp;E'!AL$9</f>
        <v>2033</v>
      </c>
      <c r="AM2" s="887">
        <f xml:space="preserve"> 'T&amp;E'!AM$9</f>
        <v>2034</v>
      </c>
      <c r="AN2" s="887">
        <f xml:space="preserve"> 'T&amp;E'!AN$9</f>
        <v>2035</v>
      </c>
      <c r="AO2" s="887">
        <f xml:space="preserve"> 'T&amp;E'!AO$9</f>
        <v>2036</v>
      </c>
      <c r="AP2" s="887">
        <f xml:space="preserve"> 'T&amp;E'!AP$9</f>
        <v>2037</v>
      </c>
      <c r="AQ2" s="887">
        <f xml:space="preserve"> 'T&amp;E'!AQ$9</f>
        <v>2038</v>
      </c>
      <c r="AR2" s="887">
        <f xml:space="preserve"> 'T&amp;E'!AR$9</f>
        <v>2039</v>
      </c>
      <c r="AS2" s="887">
        <f xml:space="preserve"> 'T&amp;E'!AS$9</f>
        <v>2040</v>
      </c>
    </row>
    <row r="3" spans="1:45" ht="15" customHeight="1" x14ac:dyDescent="0.3">
      <c r="F3" s="881">
        <f>Inputs_Con!F3</f>
        <v>0</v>
      </c>
      <c r="G3" s="9" t="s">
        <v>1</v>
      </c>
      <c r="J3" s="21"/>
      <c r="K3" s="49" t="s">
        <v>2</v>
      </c>
      <c r="L3" s="49" t="s">
        <v>2</v>
      </c>
      <c r="M3" s="49" t="s">
        <v>2</v>
      </c>
      <c r="N3" s="49" t="s">
        <v>2</v>
      </c>
      <c r="O3" s="49" t="s">
        <v>2</v>
      </c>
      <c r="P3" s="49" t="s">
        <v>2</v>
      </c>
      <c r="Q3" s="49" t="s">
        <v>2</v>
      </c>
      <c r="R3" s="49" t="s">
        <v>2</v>
      </c>
      <c r="S3" s="49" t="s">
        <v>2</v>
      </c>
      <c r="T3" s="49" t="s">
        <v>3</v>
      </c>
      <c r="U3" s="49" t="s">
        <v>3</v>
      </c>
      <c r="V3" s="49" t="s">
        <v>3</v>
      </c>
      <c r="W3" s="49" t="s">
        <v>3</v>
      </c>
      <c r="X3" s="49" t="s">
        <v>3</v>
      </c>
      <c r="Y3" s="49" t="s">
        <v>3</v>
      </c>
      <c r="Z3" s="49" t="s">
        <v>3</v>
      </c>
      <c r="AA3" s="49" t="s">
        <v>3</v>
      </c>
      <c r="AB3" s="49" t="s">
        <v>3</v>
      </c>
      <c r="AC3" s="49" t="s">
        <v>3</v>
      </c>
      <c r="AD3" s="49" t="s">
        <v>3</v>
      </c>
      <c r="AE3" s="49" t="s">
        <v>3</v>
      </c>
      <c r="AF3" s="49" t="s">
        <v>3</v>
      </c>
      <c r="AG3" s="49" t="s">
        <v>3</v>
      </c>
      <c r="AH3" s="49" t="s">
        <v>3</v>
      </c>
      <c r="AI3" s="49" t="s">
        <v>3</v>
      </c>
      <c r="AJ3" s="49" t="s">
        <v>3</v>
      </c>
      <c r="AK3" s="49" t="s">
        <v>3</v>
      </c>
      <c r="AL3" s="49" t="s">
        <v>3</v>
      </c>
      <c r="AM3" s="49" t="s">
        <v>3</v>
      </c>
      <c r="AN3" s="49" t="s">
        <v>3</v>
      </c>
      <c r="AO3" s="49" t="s">
        <v>3</v>
      </c>
      <c r="AP3" s="49" t="s">
        <v>3</v>
      </c>
      <c r="AQ3" s="49" t="s">
        <v>3</v>
      </c>
      <c r="AR3" s="49" t="s">
        <v>3</v>
      </c>
      <c r="AS3" s="49" t="s">
        <v>3</v>
      </c>
    </row>
    <row r="4" spans="1:45" ht="15" customHeight="1" x14ac:dyDescent="0.3">
      <c r="F4" s="11" t="s">
        <v>4</v>
      </c>
      <c r="G4" s="1" t="s">
        <v>5</v>
      </c>
      <c r="H4" s="12" t="s">
        <v>6</v>
      </c>
      <c r="I4" s="13"/>
      <c r="J4" s="21"/>
      <c r="K4" s="45">
        <f xml:space="preserve"> 'T&amp;E'!K$11</f>
        <v>1</v>
      </c>
      <c r="L4" s="45">
        <f xml:space="preserve"> 'T&amp;E'!L$11</f>
        <v>2</v>
      </c>
      <c r="M4" s="45">
        <f xml:space="preserve"> 'T&amp;E'!M$11</f>
        <v>3</v>
      </c>
      <c r="N4" s="45">
        <f xml:space="preserve"> 'T&amp;E'!N$11</f>
        <v>4</v>
      </c>
      <c r="O4" s="45">
        <f xml:space="preserve"> 'T&amp;E'!O$11</f>
        <v>5</v>
      </c>
      <c r="P4" s="45">
        <f xml:space="preserve"> 'T&amp;E'!P$11</f>
        <v>6</v>
      </c>
      <c r="Q4" s="45">
        <f xml:space="preserve"> 'T&amp;E'!Q$11</f>
        <v>7</v>
      </c>
      <c r="R4" s="45">
        <f xml:space="preserve"> 'T&amp;E'!R$11</f>
        <v>8</v>
      </c>
      <c r="S4" s="45">
        <f xml:space="preserve"> 'T&amp;E'!S$11</f>
        <v>9</v>
      </c>
      <c r="T4" s="45">
        <f xml:space="preserve"> 'T&amp;E'!T$11</f>
        <v>10</v>
      </c>
      <c r="U4" s="45">
        <f xml:space="preserve"> 'T&amp;E'!U$11</f>
        <v>11</v>
      </c>
      <c r="V4" s="45">
        <f xml:space="preserve"> 'T&amp;E'!V$11</f>
        <v>12</v>
      </c>
      <c r="W4" s="45">
        <f xml:space="preserve"> 'T&amp;E'!W$11</f>
        <v>13</v>
      </c>
      <c r="X4" s="45">
        <f xml:space="preserve"> 'T&amp;E'!X$11</f>
        <v>14</v>
      </c>
      <c r="Y4" s="45">
        <f xml:space="preserve"> 'T&amp;E'!Y$11</f>
        <v>15</v>
      </c>
      <c r="Z4" s="45">
        <f xml:space="preserve"> 'T&amp;E'!Z$11</f>
        <v>16</v>
      </c>
      <c r="AA4" s="45">
        <f xml:space="preserve"> 'T&amp;E'!AA$11</f>
        <v>17</v>
      </c>
      <c r="AB4" s="45">
        <f xml:space="preserve"> 'T&amp;E'!AB$11</f>
        <v>18</v>
      </c>
      <c r="AC4" s="45">
        <f xml:space="preserve"> 'T&amp;E'!AC$11</f>
        <v>19</v>
      </c>
      <c r="AD4" s="45">
        <f xml:space="preserve"> 'T&amp;E'!AD$11</f>
        <v>20</v>
      </c>
      <c r="AE4" s="45">
        <f xml:space="preserve"> 'T&amp;E'!AE$11</f>
        <v>21</v>
      </c>
      <c r="AF4" s="45">
        <f xml:space="preserve"> 'T&amp;E'!AF$11</f>
        <v>22</v>
      </c>
      <c r="AG4" s="45">
        <f xml:space="preserve"> 'T&amp;E'!AG$11</f>
        <v>23</v>
      </c>
      <c r="AH4" s="45">
        <f xml:space="preserve"> 'T&amp;E'!AH$11</f>
        <v>24</v>
      </c>
      <c r="AI4" s="45">
        <f xml:space="preserve"> 'T&amp;E'!AI$11</f>
        <v>25</v>
      </c>
      <c r="AJ4" s="45">
        <f xml:space="preserve"> 'T&amp;E'!AJ$11</f>
        <v>26</v>
      </c>
      <c r="AK4" s="3">
        <f xml:space="preserve"> 'T&amp;E'!AK$11</f>
        <v>27</v>
      </c>
      <c r="AL4" s="3">
        <f xml:space="preserve"> 'T&amp;E'!AL$11</f>
        <v>28</v>
      </c>
      <c r="AM4" s="3">
        <f xml:space="preserve"> 'T&amp;E'!AM$11</f>
        <v>29</v>
      </c>
      <c r="AN4" s="3">
        <f xml:space="preserve"> 'T&amp;E'!AN$11</f>
        <v>30</v>
      </c>
      <c r="AO4" s="3">
        <f xml:space="preserve"> 'T&amp;E'!AO$11</f>
        <v>31</v>
      </c>
      <c r="AP4" s="3">
        <f xml:space="preserve"> 'T&amp;E'!AP$11</f>
        <v>32</v>
      </c>
      <c r="AQ4" s="3">
        <f xml:space="preserve"> 'T&amp;E'!AQ$11</f>
        <v>33</v>
      </c>
      <c r="AR4" s="3">
        <f xml:space="preserve"> 'T&amp;E'!AR$11</f>
        <v>34</v>
      </c>
      <c r="AS4" s="3">
        <f xml:space="preserve"> 'T&amp;E'!AS$11</f>
        <v>35</v>
      </c>
    </row>
    <row r="5" spans="1:45" ht="15" customHeight="1" x14ac:dyDescent="0.3">
      <c r="F5" s="11"/>
      <c r="G5" s="1"/>
      <c r="H5" s="12"/>
      <c r="I5" s="12"/>
      <c r="K5" s="45"/>
      <c r="L5" s="45"/>
      <c r="M5" s="45"/>
      <c r="N5" s="45"/>
      <c r="O5" s="45"/>
      <c r="P5" s="45"/>
      <c r="Q5" s="45"/>
      <c r="R5" s="45"/>
      <c r="S5" s="45"/>
      <c r="T5" s="45"/>
      <c r="U5" s="45"/>
      <c r="V5" s="45"/>
      <c r="W5" s="45"/>
      <c r="X5" s="45"/>
      <c r="Y5" s="45"/>
      <c r="Z5" s="45"/>
      <c r="AA5" s="45"/>
      <c r="AB5" s="45"/>
      <c r="AC5" s="45"/>
      <c r="AD5" s="45"/>
      <c r="AE5" s="45"/>
      <c r="AF5" s="45"/>
      <c r="AG5" s="45"/>
      <c r="AH5" s="45"/>
      <c r="AI5" s="45"/>
      <c r="AJ5" s="45"/>
    </row>
    <row r="6" spans="1:45" ht="15" customHeight="1" x14ac:dyDescent="0.3">
      <c r="A6" s="415" t="s">
        <v>526</v>
      </c>
      <c r="B6" s="416"/>
      <c r="C6" s="417"/>
      <c r="D6" s="418"/>
      <c r="E6" s="416"/>
      <c r="F6" s="416"/>
      <c r="G6" s="416"/>
      <c r="H6" s="416"/>
      <c r="I6" s="416"/>
      <c r="J6" s="420"/>
      <c r="K6" s="420"/>
      <c r="L6" s="420"/>
      <c r="M6" s="420"/>
      <c r="N6" s="420"/>
      <c r="O6" s="420"/>
      <c r="P6" s="420"/>
      <c r="Q6" s="420"/>
      <c r="R6" s="420"/>
      <c r="S6" s="420"/>
      <c r="T6" s="420"/>
      <c r="U6" s="420"/>
      <c r="V6" s="420"/>
      <c r="W6" s="420"/>
      <c r="X6" s="420"/>
      <c r="Y6" s="420"/>
      <c r="Z6" s="420"/>
      <c r="AA6" s="420"/>
      <c r="AB6" s="420"/>
      <c r="AC6" s="420"/>
      <c r="AD6" s="420"/>
      <c r="AE6" s="420"/>
      <c r="AF6" s="420"/>
      <c r="AG6" s="420"/>
      <c r="AH6" s="420"/>
      <c r="AI6" s="420"/>
      <c r="AJ6" s="420"/>
      <c r="AK6" s="420"/>
      <c r="AL6" s="420"/>
      <c r="AM6" s="420"/>
      <c r="AN6" s="420"/>
      <c r="AO6" s="420"/>
      <c r="AP6" s="420"/>
      <c r="AQ6" s="420"/>
      <c r="AR6" s="420"/>
      <c r="AS6" s="420"/>
    </row>
    <row r="7" spans="1:45" ht="15" customHeight="1" x14ac:dyDescent="0.3">
      <c r="A7" s="398"/>
      <c r="B7" s="398"/>
      <c r="C7" s="421"/>
      <c r="D7" s="423"/>
      <c r="E7" s="423"/>
      <c r="F7" s="397"/>
      <c r="G7" s="398"/>
      <c r="H7" s="398"/>
      <c r="I7" s="398"/>
      <c r="J7" s="13"/>
      <c r="K7" s="426"/>
      <c r="L7" s="426"/>
      <c r="M7" s="426"/>
      <c r="N7" s="426"/>
      <c r="O7" s="426"/>
      <c r="P7" s="426"/>
      <c r="Q7" s="423"/>
      <c r="R7" s="423"/>
      <c r="S7" s="423"/>
      <c r="T7" s="423"/>
      <c r="U7" s="423"/>
      <c r="V7" s="423"/>
      <c r="W7" s="423"/>
      <c r="X7" s="423"/>
      <c r="Y7" s="423"/>
      <c r="Z7" s="423"/>
      <c r="AA7" s="423"/>
      <c r="AB7" s="423"/>
      <c r="AC7" s="423"/>
      <c r="AD7" s="423"/>
      <c r="AE7" s="423"/>
      <c r="AF7" s="423"/>
      <c r="AG7" s="423"/>
      <c r="AH7" s="423"/>
      <c r="AI7" s="423"/>
      <c r="AJ7" s="423"/>
      <c r="AK7" s="423"/>
      <c r="AL7" s="423"/>
      <c r="AM7" s="423"/>
      <c r="AN7" s="423"/>
      <c r="AO7" s="423"/>
      <c r="AP7" s="423"/>
      <c r="AQ7" s="423"/>
      <c r="AR7" s="423"/>
      <c r="AS7" s="423"/>
    </row>
    <row r="8" spans="1:45" ht="15" customHeight="1" x14ac:dyDescent="0.3">
      <c r="A8" s="398"/>
      <c r="B8" s="398"/>
      <c r="C8" s="421"/>
      <c r="D8" s="423"/>
      <c r="E8" s="493" t="s">
        <v>527</v>
      </c>
      <c r="F8" s="397"/>
      <c r="G8" s="340" t="s">
        <v>528</v>
      </c>
      <c r="H8" s="398"/>
      <c r="I8" s="340" t="s">
        <v>318</v>
      </c>
      <c r="J8" s="13"/>
      <c r="K8" s="495">
        <v>201.55799999999999</v>
      </c>
      <c r="L8" s="495">
        <v>207.34399999999999</v>
      </c>
      <c r="M8" s="495">
        <v>215.25399999999999</v>
      </c>
      <c r="N8" s="495">
        <v>214.565</v>
      </c>
      <c r="O8" s="495">
        <v>218.07599999999999</v>
      </c>
      <c r="P8" s="495">
        <v>224.923</v>
      </c>
      <c r="Q8" s="495">
        <v>229.58600000000001</v>
      </c>
      <c r="R8" s="495">
        <v>232.952</v>
      </c>
      <c r="S8" s="495">
        <v>236.715</v>
      </c>
      <c r="T8" s="495">
        <v>237.00200000000001</v>
      </c>
      <c r="U8" s="495">
        <v>240.005</v>
      </c>
      <c r="V8" s="495">
        <v>245.12100000000001</v>
      </c>
      <c r="W8" s="495">
        <v>251.1</v>
      </c>
      <c r="X8" s="495">
        <v>255.65299999999999</v>
      </c>
      <c r="Y8" s="495">
        <v>258.846</v>
      </c>
      <c r="Z8" s="495">
        <v>270.96600000000001</v>
      </c>
      <c r="AA8" s="495">
        <v>292.62099999999998</v>
      </c>
      <c r="AB8" s="495">
        <v>304.70100000000002</v>
      </c>
      <c r="AC8" s="495">
        <v>313.55900000000003</v>
      </c>
      <c r="AD8" s="495">
        <v>319.83100000000002</v>
      </c>
      <c r="AE8" s="495">
        <v>326.416</v>
      </c>
      <c r="AF8" s="495">
        <v>333.27</v>
      </c>
      <c r="AG8" s="495">
        <v>340.32400000000001</v>
      </c>
      <c r="AH8" s="495">
        <v>347.61700000000002</v>
      </c>
      <c r="AI8"/>
      <c r="AJ8"/>
      <c r="AK8"/>
    </row>
    <row r="9" spans="1:45" ht="15" customHeight="1" x14ac:dyDescent="0.3">
      <c r="A9" s="470"/>
      <c r="B9" s="470"/>
      <c r="C9" s="496"/>
      <c r="D9" s="470"/>
      <c r="E9" s="497" t="str">
        <f xml:space="preserve"> Inputs_Con!E$20</f>
        <v>USD CPI beyond IMF WEO</v>
      </c>
      <c r="F9" s="508">
        <f xml:space="preserve"> Inputs_Con!F$20</f>
        <v>0.02</v>
      </c>
      <c r="G9" s="470"/>
      <c r="H9" s="470"/>
      <c r="I9" s="470" t="s">
        <v>318</v>
      </c>
      <c r="J9" s="498"/>
      <c r="K9" s="470"/>
      <c r="L9" s="834"/>
      <c r="M9" s="834"/>
      <c r="N9" s="834"/>
      <c r="O9" s="834"/>
      <c r="P9" s="834"/>
      <c r="Q9" s="834"/>
      <c r="R9" s="834"/>
      <c r="S9" s="144"/>
      <c r="T9" s="144"/>
      <c r="U9" s="144"/>
      <c r="V9" s="144"/>
      <c r="W9" s="144"/>
      <c r="X9" s="144"/>
      <c r="Y9" s="144"/>
      <c r="Z9" s="144"/>
      <c r="AA9" s="144"/>
      <c r="AB9" s="144"/>
      <c r="AC9" s="144"/>
      <c r="AD9" s="144"/>
      <c r="AE9" s="144"/>
      <c r="AF9"/>
      <c r="AG9"/>
      <c r="AH9"/>
      <c r="AI9"/>
      <c r="AJ9"/>
      <c r="AK9"/>
    </row>
    <row r="10" spans="1:45" ht="15" customHeight="1" x14ac:dyDescent="0.3">
      <c r="A10" s="340"/>
      <c r="B10" s="340"/>
      <c r="C10" s="421"/>
      <c r="D10" s="423"/>
      <c r="E10" s="423" t="str">
        <f xml:space="preserve"> E8 &amp; " Act + forecast"</f>
        <v>US Inflation, average consumer prices Act + forecast</v>
      </c>
      <c r="F10" s="500"/>
      <c r="G10" s="340" t="str">
        <f xml:space="preserve"> G8</f>
        <v>index</v>
      </c>
      <c r="H10" s="340"/>
      <c r="I10" s="340" t="s">
        <v>318</v>
      </c>
      <c r="J10" s="501"/>
      <c r="K10" s="423">
        <f t="shared" ref="K10:R10" si="0" xml:space="preserve"> IF(K8 &lt;&gt; 0, K8, J10 * ( 1 + $F9))</f>
        <v>201.55799999999999</v>
      </c>
      <c r="L10" s="423">
        <f t="shared" si="0"/>
        <v>207.34399999999999</v>
      </c>
      <c r="M10" s="423">
        <f t="shared" si="0"/>
        <v>215.25399999999999</v>
      </c>
      <c r="N10" s="423">
        <f t="shared" si="0"/>
        <v>214.565</v>
      </c>
      <c r="O10" s="423">
        <f t="shared" si="0"/>
        <v>218.07599999999999</v>
      </c>
      <c r="P10" s="423">
        <f t="shared" si="0"/>
        <v>224.923</v>
      </c>
      <c r="Q10" s="423">
        <f t="shared" si="0"/>
        <v>229.58600000000001</v>
      </c>
      <c r="R10" s="423">
        <f t="shared" si="0"/>
        <v>232.952</v>
      </c>
      <c r="S10" s="423">
        <f xml:space="preserve"> IF(S8 &lt;&gt; 0, S8, J10 * ( 1 + $F9))</f>
        <v>236.715</v>
      </c>
      <c r="T10" s="423">
        <f t="shared" ref="T10:AH10" si="1" xml:space="preserve"> IF(T8 &lt;&gt; 0, T8, S10 * ( 1 + $F9))</f>
        <v>237.00200000000001</v>
      </c>
      <c r="U10" s="423">
        <f t="shared" si="1"/>
        <v>240.005</v>
      </c>
      <c r="V10" s="423">
        <f t="shared" si="1"/>
        <v>245.12100000000001</v>
      </c>
      <c r="W10" s="423">
        <f t="shared" si="1"/>
        <v>251.1</v>
      </c>
      <c r="X10" s="423">
        <f t="shared" si="1"/>
        <v>255.65299999999999</v>
      </c>
      <c r="Y10" s="423">
        <f t="shared" si="1"/>
        <v>258.846</v>
      </c>
      <c r="Z10" s="423">
        <f t="shared" si="1"/>
        <v>270.96600000000001</v>
      </c>
      <c r="AA10" s="423">
        <f t="shared" si="1"/>
        <v>292.62099999999998</v>
      </c>
      <c r="AB10" s="423">
        <f t="shared" si="1"/>
        <v>304.70100000000002</v>
      </c>
      <c r="AC10" s="423">
        <f t="shared" si="1"/>
        <v>313.55900000000003</v>
      </c>
      <c r="AD10" s="423">
        <f t="shared" si="1"/>
        <v>319.83100000000002</v>
      </c>
      <c r="AE10" s="423">
        <f t="shared" si="1"/>
        <v>326.416</v>
      </c>
      <c r="AF10" s="423">
        <f t="shared" si="1"/>
        <v>333.27</v>
      </c>
      <c r="AG10" s="423">
        <f t="shared" si="1"/>
        <v>340.32400000000001</v>
      </c>
      <c r="AH10" s="423">
        <f t="shared" si="1"/>
        <v>347.61700000000002</v>
      </c>
      <c r="AI10"/>
      <c r="AJ10"/>
      <c r="AK10"/>
    </row>
    <row r="11" spans="1:45" ht="15" customHeight="1" x14ac:dyDescent="0.3">
      <c r="A11" s="340"/>
      <c r="B11" s="340"/>
      <c r="C11" s="421"/>
      <c r="D11" s="423"/>
      <c r="E11" s="423" t="str">
        <f xml:space="preserve"> E8</f>
        <v>US Inflation, average consumer prices</v>
      </c>
      <c r="F11" s="500"/>
      <c r="G11" s="340" t="s">
        <v>34</v>
      </c>
      <c r="H11" s="340"/>
      <c r="I11" s="340" t="s">
        <v>318</v>
      </c>
      <c r="J11" s="501"/>
      <c r="K11" s="423"/>
      <c r="L11" s="878">
        <f t="shared" ref="L11" si="2" xml:space="preserve"> IFERROR(L10 / K10 - 1, 0)</f>
        <v>2.8706377320671939E-2</v>
      </c>
      <c r="M11" s="878">
        <f t="shared" ref="M11" si="3" xml:space="preserve"> IFERROR(M10 / L10 - 1, 0)</f>
        <v>3.81491627440389E-2</v>
      </c>
      <c r="N11" s="878">
        <f t="shared" ref="N11" si="4" xml:space="preserve"> IFERROR(N10 / M10 - 1, 0)</f>
        <v>-3.2008696702500172E-3</v>
      </c>
      <c r="O11" s="878">
        <f t="shared" ref="O11" si="5" xml:space="preserve"> IFERROR(O10 / N10 - 1, 0)</f>
        <v>1.6363339780486097E-2</v>
      </c>
      <c r="P11" s="878">
        <f t="shared" ref="P11" si="6" xml:space="preserve"> IFERROR(P10 / O10 - 1, 0)</f>
        <v>3.1397311029182529E-2</v>
      </c>
      <c r="Q11" s="878">
        <f t="shared" ref="Q11" si="7" xml:space="preserve"> IFERROR(Q10 / P10 - 1, 0)</f>
        <v>2.0731539237872632E-2</v>
      </c>
      <c r="R11" s="878">
        <f t="shared" ref="R11" si="8" xml:space="preserve"> IFERROR(R10 / Q10 - 1, 0)</f>
        <v>1.4661172719590887E-2</v>
      </c>
      <c r="S11" s="878">
        <f t="shared" ref="S11" si="9" xml:space="preserve"> IFERROR(S10 / R10 - 1, 0)</f>
        <v>1.6153542360658024E-2</v>
      </c>
      <c r="T11" s="878">
        <f t="shared" ref="T11" si="10" xml:space="preserve"> IFERROR(T10 / S10 - 1, 0)</f>
        <v>1.2124284477113001E-3</v>
      </c>
      <c r="U11" s="878">
        <f t="shared" ref="U11" si="11" xml:space="preserve"> IFERROR(U10 / T10 - 1, 0)</f>
        <v>1.2670779149543066E-2</v>
      </c>
      <c r="V11" s="878">
        <f t="shared" ref="V11" si="12" xml:space="preserve"> IFERROR(V10 / U10 - 1, 0)</f>
        <v>2.1316222578696253E-2</v>
      </c>
      <c r="W11" s="878">
        <f t="shared" ref="W11" si="13" xml:space="preserve"> IFERROR(W10 / V10 - 1, 0)</f>
        <v>2.4392034954165531E-2</v>
      </c>
      <c r="X11" s="878">
        <f t="shared" ref="X11" si="14" xml:space="preserve"> IFERROR(X10 / W10 - 1, 0)</f>
        <v>1.8132218239745201E-2</v>
      </c>
      <c r="Y11" s="878">
        <f t="shared" ref="Y11" si="15" xml:space="preserve"> IFERROR(Y10 / X10 - 1, 0)</f>
        <v>1.2489585492835964E-2</v>
      </c>
      <c r="Z11" s="878">
        <f t="shared" ref="Z11" si="16" xml:space="preserve"> IFERROR(Z10 / Y10 - 1, 0)</f>
        <v>4.6823207621520258E-2</v>
      </c>
      <c r="AA11" s="878">
        <f t="shared" ref="AA11" si="17" xml:space="preserve"> IFERROR(AA10 / Z10 - 1, 0)</f>
        <v>7.9917775661890955E-2</v>
      </c>
      <c r="AB11" s="878">
        <f t="shared" ref="AB11" si="18" xml:space="preserve"> IFERROR(AB10 / AA10 - 1, 0)</f>
        <v>4.128206793087319E-2</v>
      </c>
      <c r="AC11" s="878">
        <f t="shared" ref="AC11" si="19" xml:space="preserve"> IFERROR(AC10 / AB10 - 1, 0)</f>
        <v>2.9071122182073639E-2</v>
      </c>
      <c r="AD11" s="878">
        <f t="shared" ref="AD11" si="20" xml:space="preserve"> IFERROR(AD10 / AC10 - 1, 0)</f>
        <v>2.0002615137820978E-2</v>
      </c>
      <c r="AE11" s="878">
        <f t="shared" ref="AE11" si="21" xml:space="preserve"> IFERROR(AE10 / AD10 - 1, 0)</f>
        <v>2.0588998564867067E-2</v>
      </c>
      <c r="AF11" s="878">
        <f t="shared" ref="AF11" si="22" xml:space="preserve"> IFERROR(AF10 / AE10 - 1, 0)</f>
        <v>2.0997745208568119E-2</v>
      </c>
      <c r="AG11" s="878">
        <f t="shared" ref="AG11" si="23" xml:space="preserve"> IFERROR(AG10 / AF10 - 1, 0)</f>
        <v>2.1166021544093416E-2</v>
      </c>
      <c r="AH11" s="878">
        <f t="shared" ref="AH11" si="24" xml:space="preserve"> IFERROR(AH10 / AG10 - 1, 0)</f>
        <v>2.1429578871898558E-2</v>
      </c>
      <c r="AI11"/>
      <c r="AJ11"/>
      <c r="AK11"/>
    </row>
    <row r="12" spans="1:45" ht="15" customHeight="1" x14ac:dyDescent="0.3">
      <c r="A12" s="340"/>
      <c r="B12" s="340"/>
      <c r="C12" s="421"/>
      <c r="D12" s="423"/>
      <c r="E12" s="423"/>
      <c r="F12" s="500"/>
      <c r="G12" s="340"/>
      <c r="H12" s="340"/>
      <c r="I12" s="340"/>
      <c r="J12" s="501"/>
      <c r="K12" s="426"/>
      <c r="L12" s="426"/>
      <c r="M12" s="426"/>
      <c r="N12" s="426"/>
      <c r="O12" s="426"/>
      <c r="P12" s="426"/>
      <c r="Q12" s="423"/>
      <c r="R12" s="423"/>
      <c r="S12" s="423"/>
      <c r="T12" s="423"/>
      <c r="U12" s="423"/>
      <c r="V12" s="423"/>
      <c r="W12" s="423"/>
      <c r="X12" s="423"/>
      <c r="Y12" s="423"/>
      <c r="Z12" s="423"/>
      <c r="AA12" s="423"/>
      <c r="AB12" s="423"/>
      <c r="AC12" s="423"/>
      <c r="AD12" s="423"/>
      <c r="AE12" s="423"/>
      <c r="AF12" s="423"/>
      <c r="AG12" s="423"/>
      <c r="AH12" s="423"/>
      <c r="AI12" s="423"/>
      <c r="AJ12" s="423"/>
      <c r="AK12" s="423"/>
      <c r="AL12" s="423"/>
      <c r="AM12" s="423"/>
      <c r="AN12" s="423"/>
      <c r="AO12" s="423"/>
      <c r="AP12" s="423"/>
      <c r="AQ12" s="423"/>
      <c r="AR12" s="423"/>
      <c r="AS12" s="423"/>
    </row>
    <row r="13" spans="1:45" ht="15" customHeight="1" x14ac:dyDescent="0.3">
      <c r="A13" s="340"/>
      <c r="B13" s="340"/>
      <c r="C13" s="421"/>
      <c r="D13" s="423"/>
      <c r="E13" s="423"/>
      <c r="F13" s="500"/>
      <c r="G13" s="340"/>
      <c r="H13" s="340"/>
      <c r="I13" s="340"/>
      <c r="J13" s="501"/>
      <c r="K13" s="426"/>
      <c r="L13" s="426"/>
      <c r="M13" s="426"/>
      <c r="N13" s="426"/>
      <c r="O13" s="426"/>
      <c r="P13" s="426"/>
      <c r="Q13" s="423"/>
      <c r="R13" s="423"/>
      <c r="S13" s="423"/>
      <c r="T13" s="423"/>
      <c r="U13" s="423"/>
      <c r="V13" s="423"/>
      <c r="W13" s="423"/>
      <c r="X13" s="423"/>
      <c r="Y13" s="423"/>
      <c r="Z13" s="423"/>
      <c r="AA13" s="423"/>
      <c r="AB13" s="423"/>
      <c r="AC13" s="423"/>
      <c r="AD13" s="423"/>
      <c r="AE13" s="423"/>
      <c r="AF13" s="423"/>
      <c r="AG13" s="423"/>
      <c r="AH13" s="423"/>
      <c r="AI13" s="423"/>
      <c r="AJ13" s="423"/>
      <c r="AK13" s="423"/>
      <c r="AL13" s="423"/>
      <c r="AM13" s="423"/>
      <c r="AN13" s="423"/>
      <c r="AO13" s="423"/>
      <c r="AP13" s="423"/>
      <c r="AQ13" s="423"/>
      <c r="AR13" s="423"/>
      <c r="AS13" s="423"/>
    </row>
    <row r="14" spans="1:45" ht="15" customHeight="1" x14ac:dyDescent="0.3">
      <c r="A14" s="415" t="s">
        <v>529</v>
      </c>
      <c r="B14" s="416"/>
      <c r="C14" s="417"/>
      <c r="D14" s="418"/>
      <c r="E14" s="416"/>
      <c r="F14" s="416"/>
      <c r="G14" s="416"/>
      <c r="H14" s="416"/>
      <c r="I14" s="416"/>
      <c r="J14" s="420"/>
      <c r="K14" s="420"/>
      <c r="L14" s="420"/>
      <c r="M14" s="420"/>
      <c r="N14" s="420"/>
      <c r="O14" s="420"/>
      <c r="P14" s="420"/>
      <c r="Q14" s="420"/>
      <c r="R14" s="420"/>
      <c r="S14" s="420"/>
      <c r="T14" s="420"/>
      <c r="U14" s="420"/>
      <c r="V14" s="420"/>
      <c r="W14" s="420"/>
      <c r="X14" s="420"/>
      <c r="Y14" s="420"/>
      <c r="Z14" s="420"/>
      <c r="AA14" s="420"/>
      <c r="AB14" s="420"/>
      <c r="AC14" s="420"/>
      <c r="AD14" s="420"/>
      <c r="AE14" s="420"/>
      <c r="AF14" s="420"/>
      <c r="AG14" s="420"/>
      <c r="AH14" s="420"/>
      <c r="AI14" s="420"/>
      <c r="AJ14" s="420"/>
      <c r="AK14" s="420"/>
      <c r="AL14" s="420"/>
      <c r="AM14" s="420"/>
      <c r="AN14" s="420"/>
      <c r="AO14" s="420"/>
      <c r="AP14" s="420"/>
      <c r="AQ14" s="420"/>
      <c r="AR14" s="420"/>
      <c r="AS14" s="420"/>
    </row>
    <row r="15" spans="1:45" ht="15" customHeight="1" x14ac:dyDescent="0.3">
      <c r="A15" s="340"/>
      <c r="B15" s="340"/>
      <c r="C15" s="421"/>
      <c r="D15" s="423"/>
      <c r="E15" s="423"/>
      <c r="F15" s="500"/>
      <c r="G15" s="340"/>
      <c r="H15" s="340"/>
      <c r="I15" s="340"/>
      <c r="J15" s="501"/>
      <c r="K15" s="426"/>
      <c r="L15" s="426"/>
      <c r="M15" s="426"/>
      <c r="N15" s="426"/>
      <c r="O15" s="426"/>
      <c r="P15" s="426"/>
      <c r="Q15" s="423"/>
      <c r="R15" s="423"/>
      <c r="S15" s="423"/>
      <c r="T15" s="423"/>
      <c r="U15" s="423"/>
      <c r="V15" s="423"/>
      <c r="W15" s="423"/>
      <c r="X15" s="423"/>
      <c r="Y15" s="423"/>
      <c r="Z15" s="423"/>
      <c r="AA15" s="423"/>
      <c r="AB15" s="423"/>
      <c r="AC15" s="423"/>
      <c r="AD15" s="423"/>
      <c r="AE15" s="423"/>
      <c r="AF15" s="423"/>
      <c r="AG15" s="423"/>
      <c r="AH15" s="423"/>
      <c r="AI15" s="423"/>
      <c r="AJ15" s="423"/>
      <c r="AK15" s="423"/>
      <c r="AL15" s="423"/>
      <c r="AM15" s="423"/>
      <c r="AN15" s="423"/>
      <c r="AO15" s="423"/>
      <c r="AP15" s="423"/>
      <c r="AQ15" s="423"/>
      <c r="AR15" s="423"/>
      <c r="AS15" s="423"/>
    </row>
    <row r="16" spans="1:45" ht="15" customHeight="1" x14ac:dyDescent="0.3">
      <c r="A16" s="425"/>
      <c r="B16" s="425"/>
      <c r="C16" s="502"/>
      <c r="D16" s="425"/>
      <c r="E16" s="425" t="str">
        <f xml:space="preserve"> 'T&amp;E'!E$9</f>
        <v>Model calendar year</v>
      </c>
      <c r="F16" s="425">
        <f xml:space="preserve"> 'T&amp;E'!F$9</f>
        <v>0</v>
      </c>
      <c r="G16" s="425" t="str">
        <f xml:space="preserve"> 'T&amp;E'!G$9</f>
        <v>year</v>
      </c>
      <c r="H16" s="425">
        <f xml:space="preserve"> 'T&amp;E'!H$9</f>
        <v>0</v>
      </c>
      <c r="I16" s="425">
        <f xml:space="preserve"> 'T&amp;E'!I$9</f>
        <v>0</v>
      </c>
      <c r="J16" s="425">
        <f xml:space="preserve"> 'T&amp;E'!J$9</f>
        <v>0</v>
      </c>
      <c r="K16" s="425">
        <f xml:space="preserve"> 'T&amp;E'!F$9</f>
        <v>0</v>
      </c>
      <c r="L16" s="425" t="str">
        <f xml:space="preserve"> 'T&amp;E'!G$9</f>
        <v>year</v>
      </c>
      <c r="M16" s="425">
        <f xml:space="preserve"> 'T&amp;E'!H$9</f>
        <v>0</v>
      </c>
      <c r="N16" s="425">
        <f xml:space="preserve"> 'T&amp;E'!I$9</f>
        <v>0</v>
      </c>
      <c r="O16" s="425">
        <f xml:space="preserve"> 'T&amp;E'!J$9</f>
        <v>0</v>
      </c>
      <c r="P16" s="425">
        <f xml:space="preserve"> 'T&amp;E'!K$9</f>
        <v>2006</v>
      </c>
      <c r="Q16" s="425">
        <f xml:space="preserve"> 'T&amp;E'!L$9</f>
        <v>2007</v>
      </c>
      <c r="R16" s="425">
        <f xml:space="preserve"> 'T&amp;E'!M$9</f>
        <v>2008</v>
      </c>
      <c r="S16" s="425">
        <f xml:space="preserve"> 'T&amp;E'!N$9</f>
        <v>2009</v>
      </c>
      <c r="T16" s="425">
        <f xml:space="preserve"> 'T&amp;E'!O$9</f>
        <v>2010</v>
      </c>
      <c r="U16" s="425">
        <f xml:space="preserve"> 'T&amp;E'!P$9</f>
        <v>2011</v>
      </c>
      <c r="V16" s="425">
        <f xml:space="preserve"> 'T&amp;E'!Q$9</f>
        <v>2012</v>
      </c>
      <c r="W16" s="425">
        <f xml:space="preserve"> 'T&amp;E'!R$9</f>
        <v>2013</v>
      </c>
      <c r="X16" s="425">
        <f xml:space="preserve"> 'T&amp;E'!S$9</f>
        <v>2014</v>
      </c>
      <c r="Y16" s="425">
        <f xml:space="preserve"> 'T&amp;E'!T$9</f>
        <v>2015</v>
      </c>
      <c r="Z16" s="425">
        <f xml:space="preserve"> 'T&amp;E'!U$9</f>
        <v>2016</v>
      </c>
      <c r="AA16" s="425">
        <f xml:space="preserve"> 'T&amp;E'!V$9</f>
        <v>2017</v>
      </c>
      <c r="AB16" s="425">
        <f xml:space="preserve"> 'T&amp;E'!W$9</f>
        <v>2018</v>
      </c>
      <c r="AC16" s="425">
        <f xml:space="preserve"> 'T&amp;E'!X$9</f>
        <v>2019</v>
      </c>
      <c r="AD16" s="425">
        <f xml:space="preserve"> 'T&amp;E'!Y$9</f>
        <v>2020</v>
      </c>
      <c r="AE16" s="425">
        <f xml:space="preserve"> 'T&amp;E'!Z$9</f>
        <v>2021</v>
      </c>
      <c r="AF16" s="425">
        <f xml:space="preserve"> 'T&amp;E'!AA$9</f>
        <v>2022</v>
      </c>
      <c r="AG16" s="425">
        <f xml:space="preserve"> 'T&amp;E'!AB$9</f>
        <v>2023</v>
      </c>
      <c r="AH16" s="425">
        <f xml:space="preserve"> 'T&amp;E'!AC$9</f>
        <v>2024</v>
      </c>
      <c r="AI16" s="425">
        <f xml:space="preserve"> 'T&amp;E'!AD$9</f>
        <v>2025</v>
      </c>
      <c r="AJ16" s="425">
        <f xml:space="preserve"> 'T&amp;E'!AE$9</f>
        <v>2026</v>
      </c>
      <c r="AK16" s="425">
        <f xml:space="preserve"> 'T&amp;E'!AF$9</f>
        <v>2027</v>
      </c>
      <c r="AL16" s="425">
        <f xml:space="preserve"> 'T&amp;E'!AG$9</f>
        <v>2028</v>
      </c>
      <c r="AM16" s="425">
        <f xml:space="preserve"> 'T&amp;E'!AH$9</f>
        <v>2029</v>
      </c>
      <c r="AN16" s="425">
        <f xml:space="preserve"> 'T&amp;E'!AI$9</f>
        <v>2030</v>
      </c>
      <c r="AO16" s="425">
        <f xml:space="preserve"> 'T&amp;E'!AJ$9</f>
        <v>2031</v>
      </c>
      <c r="AP16" s="425">
        <f xml:space="preserve"> 'T&amp;E'!AK$9</f>
        <v>2032</v>
      </c>
      <c r="AQ16" s="425">
        <f xml:space="preserve"> 'T&amp;E'!AL$9</f>
        <v>2033</v>
      </c>
      <c r="AR16" s="425">
        <f xml:space="preserve"> 'T&amp;E'!AM$9</f>
        <v>2034</v>
      </c>
      <c r="AS16" s="425">
        <f xml:space="preserve"> 'T&amp;E'!AN$9</f>
        <v>2035</v>
      </c>
    </row>
    <row r="17" spans="1:45" s="143" customFormat="1" ht="15" customHeight="1" x14ac:dyDescent="0.3">
      <c r="A17" s="1097"/>
      <c r="B17" s="1097"/>
      <c r="C17" s="1098"/>
      <c r="D17" s="465"/>
      <c r="E17" s="521" t="str">
        <f xml:space="preserve"> Inputs_Con!E$33</f>
        <v>Copper production sensitivity (forecast period)</v>
      </c>
      <c r="F17" s="465"/>
      <c r="G17" s="521" t="s">
        <v>34</v>
      </c>
      <c r="H17" s="465"/>
      <c r="I17" s="465"/>
      <c r="J17" s="465"/>
      <c r="K17" s="469">
        <f xml:space="preserve"> IF(K16 &lt; Inputs_Con!$F29, 1, Inputs_Con!$F33)</f>
        <v>1</v>
      </c>
      <c r="L17" s="469">
        <f xml:space="preserve"> IF(L16 &lt; Inputs_Con!$F29, 1, Inputs_Con!$F33)</f>
        <v>1</v>
      </c>
      <c r="M17" s="469">
        <f xml:space="preserve"> IF(M16 &lt; Inputs_Con!$F29, 1, Inputs_Con!$F33)</f>
        <v>1</v>
      </c>
      <c r="N17" s="469">
        <f xml:space="preserve"> IF(N16 &lt; Inputs_Con!$F29, 1, Inputs_Con!$F33)</f>
        <v>1</v>
      </c>
      <c r="O17" s="469">
        <f xml:space="preserve"> IF(O16 &lt; Inputs_Con!$F29, 1, Inputs_Con!$F33)</f>
        <v>1</v>
      </c>
      <c r="P17" s="469">
        <f xml:space="preserve"> IF(P16 &lt; Inputs_Con!$F29, 1, Inputs_Con!$F33)</f>
        <v>1</v>
      </c>
      <c r="Q17" s="469">
        <f xml:space="preserve"> IF(Q16 &lt; Inputs_Con!$F29, 1, Inputs_Con!$F33)</f>
        <v>1</v>
      </c>
      <c r="R17" s="469">
        <f xml:space="preserve"> IF(R16 &lt; Inputs_Con!$F29, 1, Inputs_Con!$F33)</f>
        <v>1</v>
      </c>
      <c r="S17" s="469">
        <f xml:space="preserve"> IF(S16 &lt; Inputs_Con!$F29, 1, Inputs_Con!$F33)</f>
        <v>1</v>
      </c>
      <c r="T17" s="469">
        <f xml:space="preserve"> IF(T16 &lt; Inputs_Con!$F29, 1, Inputs_Con!$F33)</f>
        <v>1</v>
      </c>
      <c r="U17" s="469">
        <f xml:space="preserve"> IF(U16 &lt; Inputs_Con!$F29, 1, Inputs_Con!$F33)</f>
        <v>1</v>
      </c>
      <c r="V17" s="469">
        <f xml:space="preserve"> IF(V16 &lt; Inputs_Con!$F29, 1, Inputs_Con!$F33)</f>
        <v>1</v>
      </c>
      <c r="W17" s="469">
        <f xml:space="preserve"> IF(W16 &lt; Inputs_Con!$F29, 1, Inputs_Con!$F33)</f>
        <v>1</v>
      </c>
      <c r="X17" s="469">
        <f xml:space="preserve"> IF(X16 &lt; Inputs_Con!$F29, 1, Inputs_Con!$F33)</f>
        <v>1</v>
      </c>
      <c r="Y17" s="469">
        <f xml:space="preserve"> IF(Y16 &lt; Inputs_Con!$F29, 1, Inputs_Con!$F33)</f>
        <v>1</v>
      </c>
      <c r="Z17" s="469">
        <f xml:space="preserve"> IF(Z16 &lt; Inputs_Con!$F29, 1, Inputs_Con!$F33)</f>
        <v>1</v>
      </c>
      <c r="AA17" s="469">
        <f xml:space="preserve"> IF(AA16 &lt; Inputs_Con!$F29, 1, Inputs_Con!$F33)</f>
        <v>1</v>
      </c>
      <c r="AB17" s="469">
        <f xml:space="preserve"> IF(AB16 &lt; Inputs_Con!$F29, 1, Inputs_Con!$F33)</f>
        <v>1</v>
      </c>
      <c r="AC17" s="469">
        <f xml:space="preserve"> IF(AC16 &lt; Inputs_Con!$F29, 1, Inputs_Con!$F33)</f>
        <v>1</v>
      </c>
      <c r="AD17" s="469">
        <f xml:space="preserve"> IF(AD16 &lt; Inputs_Con!$F29, 1, Inputs_Con!$F33)</f>
        <v>1</v>
      </c>
      <c r="AE17" s="469">
        <f xml:space="preserve"> IF(AE16 &lt; Inputs_Con!$F29, 1, Inputs_Con!$F33)</f>
        <v>1</v>
      </c>
      <c r="AF17" s="469">
        <f xml:space="preserve"> IF(AF16 &lt; Inputs_Con!$F29, 1, Inputs_Con!$F33)</f>
        <v>1</v>
      </c>
      <c r="AG17" s="469">
        <f xml:space="preserve"> IF(AG16 &lt; Inputs_Con!$F29, 1, Inputs_Con!$F33)</f>
        <v>1</v>
      </c>
      <c r="AH17" s="469">
        <f xml:space="preserve"> IF(AH16 &lt; Inputs_Con!$F29, 1, Inputs_Con!$F33)</f>
        <v>1</v>
      </c>
      <c r="AI17" s="469">
        <f xml:space="preserve"> IF(AI16 &lt; Inputs_Con!$F29, 1, Inputs_Con!$F33)</f>
        <v>1</v>
      </c>
      <c r="AJ17" s="469">
        <f xml:space="preserve"> IF(AJ16 &lt; Inputs_Con!$F29, 1, Inputs_Con!$F33)</f>
        <v>1</v>
      </c>
      <c r="AK17" s="469">
        <f xml:space="preserve"> IF(AK16 &lt; Inputs_Con!$F29, 1, Inputs_Con!$F33)</f>
        <v>1</v>
      </c>
      <c r="AL17" s="469">
        <f xml:space="preserve"> IF(AL16 &lt; Inputs_Con!$F29, 1, Inputs_Con!$F33)</f>
        <v>1</v>
      </c>
      <c r="AM17" s="469">
        <f xml:space="preserve"> IF(AM16 &lt; Inputs_Con!$F29, 1, Inputs_Con!$F33)</f>
        <v>1</v>
      </c>
      <c r="AN17" s="469">
        <f xml:space="preserve"> IF(AN16 &lt; Inputs_Con!$F29, 1, Inputs_Con!$F33)</f>
        <v>1</v>
      </c>
      <c r="AO17" s="469">
        <f xml:space="preserve"> IF(AO16 &lt; Inputs_Con!$F29, 1, Inputs_Con!$F33)</f>
        <v>1</v>
      </c>
      <c r="AP17" s="469">
        <f xml:space="preserve"> IF(AP16 &lt; Inputs_Con!$F29, 1, Inputs_Con!$F33)</f>
        <v>1</v>
      </c>
      <c r="AQ17" s="469">
        <f xml:space="preserve"> IF(AQ16 &lt; Inputs_Con!$F29, 1, Inputs_Con!$F33)</f>
        <v>1</v>
      </c>
      <c r="AR17" s="469">
        <f xml:space="preserve"> IF(AR16 &lt; Inputs_Con!$F29, 1, Inputs_Con!$F33)</f>
        <v>1</v>
      </c>
      <c r="AS17" s="469">
        <f xml:space="preserve"> IF(AS16 &lt; Inputs_Con!$F29, 1, Inputs_Con!$F33)</f>
        <v>1</v>
      </c>
    </row>
    <row r="18" spans="1:45" s="143" customFormat="1" ht="15" customHeight="1" x14ac:dyDescent="0.3">
      <c r="A18" s="761"/>
      <c r="B18" s="761"/>
      <c r="C18" s="623"/>
      <c r="D18" s="168"/>
      <c r="E18" s="521" t="str">
        <f xml:space="preserve"> Inputs_Con!E$34</f>
        <v>Cobalt production sensitivity (forecast period)</v>
      </c>
      <c r="F18" s="465"/>
      <c r="G18" s="521" t="s">
        <v>34</v>
      </c>
      <c r="H18" s="168"/>
      <c r="I18" s="168"/>
      <c r="J18" s="168"/>
      <c r="K18" s="469">
        <f xml:space="preserve"> IF(K17 &lt; Inputs_Con!$F33, 1, Inputs_Con!$F34)</f>
        <v>1</v>
      </c>
      <c r="L18" s="469">
        <f xml:space="preserve"> IF(L17 &lt; Inputs_Con!$F33, 1, Inputs_Con!$F34)</f>
        <v>1</v>
      </c>
      <c r="M18" s="469">
        <f xml:space="preserve"> IF(M17 &lt; Inputs_Con!$F33, 1, Inputs_Con!$F34)</f>
        <v>1</v>
      </c>
      <c r="N18" s="469">
        <f xml:space="preserve"> IF(N17 &lt; Inputs_Con!$F33, 1, Inputs_Con!$F34)</f>
        <v>1</v>
      </c>
      <c r="O18" s="469">
        <f xml:space="preserve"> IF(O17 &lt; Inputs_Con!$F33, 1, Inputs_Con!$F34)</f>
        <v>1</v>
      </c>
      <c r="P18" s="469">
        <f xml:space="preserve"> IF(P17 &lt; Inputs_Con!$F33, 1, Inputs_Con!$F34)</f>
        <v>1</v>
      </c>
      <c r="Q18" s="469">
        <f xml:space="preserve"> IF(Q17 &lt; Inputs_Con!$F33, 1, Inputs_Con!$F34)</f>
        <v>1</v>
      </c>
      <c r="R18" s="469">
        <f xml:space="preserve"> IF(R17 &lt; Inputs_Con!$F33, 1, Inputs_Con!$F34)</f>
        <v>1</v>
      </c>
      <c r="S18" s="469">
        <f xml:space="preserve"> IF(S17 &lt; Inputs_Con!$F33, 1, Inputs_Con!$F34)</f>
        <v>1</v>
      </c>
      <c r="T18" s="469">
        <f xml:space="preserve"> IF(T17 &lt; Inputs_Con!$F33, 1, Inputs_Con!$F34)</f>
        <v>1</v>
      </c>
      <c r="U18" s="469">
        <f xml:space="preserve"> IF(U17 &lt; Inputs_Con!$F33, 1, Inputs_Con!$F34)</f>
        <v>1</v>
      </c>
      <c r="V18" s="469">
        <f xml:space="preserve"> IF(V17 &lt; Inputs_Con!$F33, 1, Inputs_Con!$F34)</f>
        <v>1</v>
      </c>
      <c r="W18" s="469">
        <f xml:space="preserve"> IF(W17 &lt; Inputs_Con!$F33, 1, Inputs_Con!$F34)</f>
        <v>1</v>
      </c>
      <c r="X18" s="469">
        <f xml:space="preserve"> IF(X17 &lt; Inputs_Con!$F33, 1, Inputs_Con!$F34)</f>
        <v>1</v>
      </c>
      <c r="Y18" s="469">
        <f xml:space="preserve"> IF(Y17 &lt; Inputs_Con!$F33, 1, Inputs_Con!$F34)</f>
        <v>1</v>
      </c>
      <c r="Z18" s="469">
        <f xml:space="preserve"> IF(Z17 &lt; Inputs_Con!$F33, 1, Inputs_Con!$F34)</f>
        <v>1</v>
      </c>
      <c r="AA18" s="469">
        <f xml:space="preserve"> IF(AA17 &lt; Inputs_Con!$F33, 1, Inputs_Con!$F34)</f>
        <v>1</v>
      </c>
      <c r="AB18" s="469">
        <f xml:space="preserve"> IF(AB17 &lt; Inputs_Con!$F33, 1, Inputs_Con!$F34)</f>
        <v>1</v>
      </c>
      <c r="AC18" s="469">
        <f xml:space="preserve"> IF(AC17 &lt; Inputs_Con!$F33, 1, Inputs_Con!$F34)</f>
        <v>1</v>
      </c>
      <c r="AD18" s="469">
        <f xml:space="preserve"> IF(AD17 &lt; Inputs_Con!$F33, 1, Inputs_Con!$F34)</f>
        <v>1</v>
      </c>
      <c r="AE18" s="469">
        <f xml:space="preserve"> IF(AE17 &lt; Inputs_Con!$F33, 1, Inputs_Con!$F34)</f>
        <v>1</v>
      </c>
      <c r="AF18" s="469">
        <f xml:space="preserve"> IF(AF17 &lt; Inputs_Con!$F33, 1, Inputs_Con!$F34)</f>
        <v>1</v>
      </c>
      <c r="AG18" s="469">
        <f xml:space="preserve"> IF(AG17 &lt; Inputs_Con!$F33, 1, Inputs_Con!$F34)</f>
        <v>1</v>
      </c>
      <c r="AH18" s="469">
        <f xml:space="preserve"> IF(AH17 &lt; Inputs_Con!$F33, 1, Inputs_Con!$F34)</f>
        <v>1</v>
      </c>
      <c r="AI18" s="469">
        <f xml:space="preserve"> IF(AI17 &lt; Inputs_Con!$F33, 1, Inputs_Con!$F34)</f>
        <v>1</v>
      </c>
      <c r="AJ18" s="469">
        <f xml:space="preserve"> IF(AJ17 &lt; Inputs_Con!$F33, 1, Inputs_Con!$F34)</f>
        <v>1</v>
      </c>
      <c r="AK18" s="469">
        <f xml:space="preserve"> IF(AK17 &lt; Inputs_Con!$F33, 1, Inputs_Con!$F34)</f>
        <v>1</v>
      </c>
      <c r="AL18" s="469">
        <f xml:space="preserve"> IF(AL17 &lt; Inputs_Con!$F33, 1, Inputs_Con!$F34)</f>
        <v>1</v>
      </c>
      <c r="AM18" s="469">
        <f xml:space="preserve"> IF(AM17 &lt; Inputs_Con!$F33, 1, Inputs_Con!$F34)</f>
        <v>1</v>
      </c>
      <c r="AN18" s="469">
        <f xml:space="preserve"> IF(AN17 &lt; Inputs_Con!$F33, 1, Inputs_Con!$F34)</f>
        <v>1</v>
      </c>
      <c r="AO18" s="469">
        <f xml:space="preserve"> IF(AO17 &lt; Inputs_Con!$F33, 1, Inputs_Con!$F34)</f>
        <v>1</v>
      </c>
      <c r="AP18" s="469">
        <f xml:space="preserve"> IF(AP17 &lt; Inputs_Con!$F33, 1, Inputs_Con!$F34)</f>
        <v>1</v>
      </c>
      <c r="AQ18" s="469">
        <f xml:space="preserve"> IF(AQ17 &lt; Inputs_Con!$F33, 1, Inputs_Con!$F34)</f>
        <v>1</v>
      </c>
      <c r="AR18" s="469">
        <f xml:space="preserve"> IF(AR17 &lt; Inputs_Con!$F33, 1, Inputs_Con!$F34)</f>
        <v>1</v>
      </c>
      <c r="AS18" s="469">
        <f xml:space="preserve"> IF(AS17 &lt; Inputs_Con!$F33, 1, Inputs_Con!$F34)</f>
        <v>1</v>
      </c>
    </row>
    <row r="19" spans="1:45" s="143" customFormat="1" ht="15" customHeight="1" x14ac:dyDescent="0.3">
      <c r="A19" s="470"/>
      <c r="B19" s="470"/>
      <c r="C19" s="496"/>
      <c r="D19" s="470"/>
      <c r="E19" s="521" t="str">
        <f xml:space="preserve"> Inputs_Con!E$35</f>
        <v>Operating cost Sensitivity (forecast period)</v>
      </c>
      <c r="F19" s="1089"/>
      <c r="G19" s="521" t="s">
        <v>34</v>
      </c>
      <c r="H19" s="470"/>
      <c r="I19" s="470"/>
      <c r="J19" s="498"/>
      <c r="K19" s="469">
        <f xml:space="preserve"> IF(K18 &lt; Inputs_Con!$F34, 1, Inputs_Con!$F35)</f>
        <v>1</v>
      </c>
      <c r="L19" s="469">
        <f xml:space="preserve"> IF(L18 &lt; Inputs_Con!$F34, 1, Inputs_Con!$F35)</f>
        <v>1</v>
      </c>
      <c r="M19" s="469">
        <f xml:space="preserve"> IF(M18 &lt; Inputs_Con!$F34, 1, Inputs_Con!$F35)</f>
        <v>1</v>
      </c>
      <c r="N19" s="469">
        <f xml:space="preserve"> IF(N18 &lt; Inputs_Con!$F34, 1, Inputs_Con!$F35)</f>
        <v>1</v>
      </c>
      <c r="O19" s="469">
        <f xml:space="preserve"> IF(O18 &lt; Inputs_Con!$F34, 1, Inputs_Con!$F35)</f>
        <v>1</v>
      </c>
      <c r="P19" s="469">
        <f xml:space="preserve"> IF(P18 &lt; Inputs_Con!$F34, 1, Inputs_Con!$F35)</f>
        <v>1</v>
      </c>
      <c r="Q19" s="469">
        <f xml:space="preserve"> IF(Q18 &lt; Inputs_Con!$F34, 1, Inputs_Con!$F35)</f>
        <v>1</v>
      </c>
      <c r="R19" s="469">
        <f xml:space="preserve"> IF(R18 &lt; Inputs_Con!$F34, 1, Inputs_Con!$F35)</f>
        <v>1</v>
      </c>
      <c r="S19" s="469">
        <f xml:space="preserve"> IF(S18 &lt; Inputs_Con!$F34, 1, Inputs_Con!$F35)</f>
        <v>1</v>
      </c>
      <c r="T19" s="469">
        <f xml:space="preserve"> IF(T18 &lt; Inputs_Con!$F34, 1, Inputs_Con!$F35)</f>
        <v>1</v>
      </c>
      <c r="U19" s="469">
        <f xml:space="preserve"> IF(U18 &lt; Inputs_Con!$F34, 1, Inputs_Con!$F35)</f>
        <v>1</v>
      </c>
      <c r="V19" s="469">
        <f xml:space="preserve"> IF(V18 &lt; Inputs_Con!$F34, 1, Inputs_Con!$F35)</f>
        <v>1</v>
      </c>
      <c r="W19" s="469">
        <f xml:space="preserve"> IF(W18 &lt; Inputs_Con!$F34, 1, Inputs_Con!$F35)</f>
        <v>1</v>
      </c>
      <c r="X19" s="469">
        <f xml:space="preserve"> IF(X18 &lt; Inputs_Con!$F34, 1, Inputs_Con!$F35)</f>
        <v>1</v>
      </c>
      <c r="Y19" s="469">
        <f xml:space="preserve"> IF(Y18 &lt; Inputs_Con!$F34, 1, Inputs_Con!$F35)</f>
        <v>1</v>
      </c>
      <c r="Z19" s="469">
        <f xml:space="preserve"> IF(Z18 &lt; Inputs_Con!$F34, 1, Inputs_Con!$F35)</f>
        <v>1</v>
      </c>
      <c r="AA19" s="469">
        <f xml:space="preserve"> IF(AA18 &lt; Inputs_Con!$F34, 1, Inputs_Con!$F35)</f>
        <v>1</v>
      </c>
      <c r="AB19" s="469">
        <f xml:space="preserve"> IF(AB18 &lt; Inputs_Con!$F34, 1, Inputs_Con!$F35)</f>
        <v>1</v>
      </c>
      <c r="AC19" s="469">
        <f xml:space="preserve"> IF(AC18 &lt; Inputs_Con!$F34, 1, Inputs_Con!$F35)</f>
        <v>1</v>
      </c>
      <c r="AD19" s="469">
        <f xml:space="preserve"> IF(AD18 &lt; Inputs_Con!$F34, 1, Inputs_Con!$F35)</f>
        <v>1</v>
      </c>
      <c r="AE19" s="469">
        <f xml:space="preserve"> IF(AE18 &lt; Inputs_Con!$F34, 1, Inputs_Con!$F35)</f>
        <v>1</v>
      </c>
      <c r="AF19" s="469">
        <f xml:space="preserve"> IF(AF18 &lt; Inputs_Con!$F34, 1, Inputs_Con!$F35)</f>
        <v>1</v>
      </c>
      <c r="AG19" s="469">
        <f xml:space="preserve"> IF(AG18 &lt; Inputs_Con!$F34, 1, Inputs_Con!$F35)</f>
        <v>1</v>
      </c>
      <c r="AH19" s="469">
        <f xml:space="preserve"> IF(AH18 &lt; Inputs_Con!$F34, 1, Inputs_Con!$F35)</f>
        <v>1</v>
      </c>
      <c r="AI19" s="469">
        <f xml:space="preserve"> IF(AI18 &lt; Inputs_Con!$F34, 1, Inputs_Con!$F35)</f>
        <v>1</v>
      </c>
      <c r="AJ19" s="469">
        <f xml:space="preserve"> IF(AJ18 &lt; Inputs_Con!$F34, 1, Inputs_Con!$F35)</f>
        <v>1</v>
      </c>
      <c r="AK19" s="469">
        <f xml:space="preserve"> IF(AK18 &lt; Inputs_Con!$F34, 1, Inputs_Con!$F35)</f>
        <v>1</v>
      </c>
      <c r="AL19" s="469">
        <f xml:space="preserve"> IF(AL18 &lt; Inputs_Con!$F34, 1, Inputs_Con!$F35)</f>
        <v>1</v>
      </c>
      <c r="AM19" s="469">
        <f xml:space="preserve"> IF(AM18 &lt; Inputs_Con!$F34, 1, Inputs_Con!$F35)</f>
        <v>1</v>
      </c>
      <c r="AN19" s="469">
        <f xml:space="preserve"> IF(AN18 &lt; Inputs_Con!$F34, 1, Inputs_Con!$F35)</f>
        <v>1</v>
      </c>
      <c r="AO19" s="469">
        <f xml:space="preserve"> IF(AO18 &lt; Inputs_Con!$F34, 1, Inputs_Con!$F35)</f>
        <v>1</v>
      </c>
      <c r="AP19" s="469">
        <f xml:space="preserve"> IF(AP18 &lt; Inputs_Con!$F34, 1, Inputs_Con!$F35)</f>
        <v>1</v>
      </c>
      <c r="AQ19" s="469">
        <f xml:space="preserve"> IF(AQ18 &lt; Inputs_Con!$F34, 1, Inputs_Con!$F35)</f>
        <v>1</v>
      </c>
      <c r="AR19" s="469">
        <f xml:space="preserve"> IF(AR18 &lt; Inputs_Con!$F34, 1, Inputs_Con!$F35)</f>
        <v>1</v>
      </c>
      <c r="AS19" s="469">
        <f xml:space="preserve"> IF(AS18 &lt; Inputs_Con!$F34, 1, Inputs_Con!$F35)</f>
        <v>1</v>
      </c>
    </row>
    <row r="20" spans="1:45" ht="15" customHeight="1" x14ac:dyDescent="0.3">
      <c r="A20" s="340"/>
      <c r="B20" s="340"/>
      <c r="C20" s="421"/>
      <c r="D20" s="423"/>
      <c r="E20" s="438" t="str">
        <f xml:space="preserve"> Inputs_Con!E$36</f>
        <v>Capital cost sensitivity (forecast period)</v>
      </c>
      <c r="F20" s="500"/>
      <c r="G20" s="438" t="s">
        <v>34</v>
      </c>
      <c r="H20" s="340"/>
      <c r="I20" s="340"/>
      <c r="J20" s="501"/>
      <c r="K20" s="433">
        <f xml:space="preserve"> IF(K19 &lt; Inputs_Con!$F35, 1, Inputs_Con!$F36)</f>
        <v>1</v>
      </c>
      <c r="L20" s="433">
        <f xml:space="preserve"> IF(L19 &lt; Inputs_Con!$F35, 1, Inputs_Con!$F36)</f>
        <v>1</v>
      </c>
      <c r="M20" s="433">
        <f xml:space="preserve"> IF(M19 &lt; Inputs_Con!$F35, 1, Inputs_Con!$F36)</f>
        <v>1</v>
      </c>
      <c r="N20" s="433">
        <f xml:space="preserve"> IF(N19 &lt; Inputs_Con!$F35, 1, Inputs_Con!$F36)</f>
        <v>1</v>
      </c>
      <c r="O20" s="433">
        <f xml:space="preserve"> IF(O19 &lt; Inputs_Con!$F35, 1, Inputs_Con!$F36)</f>
        <v>1</v>
      </c>
      <c r="P20" s="433">
        <f xml:space="preserve"> IF(P19 &lt; Inputs_Con!$F35, 1, Inputs_Con!$F36)</f>
        <v>1</v>
      </c>
      <c r="Q20" s="433">
        <f xml:space="preserve"> IF(Q19 &lt; Inputs_Con!$F35, 1, Inputs_Con!$F36)</f>
        <v>1</v>
      </c>
      <c r="R20" s="433">
        <f xml:space="preserve"> IF(R19 &lt; Inputs_Con!$F35, 1, Inputs_Con!$F36)</f>
        <v>1</v>
      </c>
      <c r="S20" s="433">
        <f xml:space="preserve"> IF(S19 &lt; Inputs_Con!$F35, 1, Inputs_Con!$F36)</f>
        <v>1</v>
      </c>
      <c r="T20" s="433">
        <f xml:space="preserve"> IF(T19 &lt; Inputs_Con!$F35, 1, Inputs_Con!$F36)</f>
        <v>1</v>
      </c>
      <c r="U20" s="433">
        <f xml:space="preserve"> IF(U19 &lt; Inputs_Con!$F35, 1, Inputs_Con!$F36)</f>
        <v>1</v>
      </c>
      <c r="V20" s="433">
        <f xml:space="preserve"> IF(V19 &lt; Inputs_Con!$F35, 1, Inputs_Con!$F36)</f>
        <v>1</v>
      </c>
      <c r="W20" s="433">
        <f xml:space="preserve"> IF(W19 &lt; Inputs_Con!$F35, 1, Inputs_Con!$F36)</f>
        <v>1</v>
      </c>
      <c r="X20" s="433">
        <f xml:space="preserve"> IF(X19 &lt; Inputs_Con!$F35, 1, Inputs_Con!$F36)</f>
        <v>1</v>
      </c>
      <c r="Y20" s="433">
        <f xml:space="preserve"> IF(Y19 &lt; Inputs_Con!$F35, 1, Inputs_Con!$F36)</f>
        <v>1</v>
      </c>
      <c r="Z20" s="433">
        <f xml:space="preserve"> IF(Z19 &lt; Inputs_Con!$F35, 1, Inputs_Con!$F36)</f>
        <v>1</v>
      </c>
      <c r="AA20" s="433">
        <f xml:space="preserve"> IF(AA19 &lt; Inputs_Con!$F35, 1, Inputs_Con!$F36)</f>
        <v>1</v>
      </c>
      <c r="AB20" s="433">
        <f xml:space="preserve"> IF(AB19 &lt; Inputs_Con!$F35, 1, Inputs_Con!$F36)</f>
        <v>1</v>
      </c>
      <c r="AC20" s="433">
        <f xml:space="preserve"> IF(AC19 &lt; Inputs_Con!$F35, 1, Inputs_Con!$F36)</f>
        <v>1</v>
      </c>
      <c r="AD20" s="433">
        <f xml:space="preserve"> IF(AD19 &lt; Inputs_Con!$F35, 1, Inputs_Con!$F36)</f>
        <v>1</v>
      </c>
      <c r="AE20" s="433">
        <f xml:space="preserve"> IF(AE19 &lt; Inputs_Con!$F35, 1, Inputs_Con!$F36)</f>
        <v>1</v>
      </c>
      <c r="AF20" s="433">
        <f xml:space="preserve"> IF(AF19 &lt; Inputs_Con!$F35, 1, Inputs_Con!$F36)</f>
        <v>1</v>
      </c>
      <c r="AG20" s="433">
        <f xml:space="preserve"> IF(AG19 &lt; Inputs_Con!$F35, 1, Inputs_Con!$F36)</f>
        <v>1</v>
      </c>
      <c r="AH20" s="433">
        <f xml:space="preserve"> IF(AH19 &lt; Inputs_Con!$F35, 1, Inputs_Con!$F36)</f>
        <v>1</v>
      </c>
      <c r="AI20" s="433">
        <f xml:space="preserve"> IF(AI19 &lt; Inputs_Con!$F35, 1, Inputs_Con!$F36)</f>
        <v>1</v>
      </c>
      <c r="AJ20" s="433">
        <f xml:space="preserve"> IF(AJ19 &lt; Inputs_Con!$F35, 1, Inputs_Con!$F36)</f>
        <v>1</v>
      </c>
      <c r="AK20" s="433">
        <f xml:space="preserve"> IF(AK19 &lt; Inputs_Con!$F35, 1, Inputs_Con!$F36)</f>
        <v>1</v>
      </c>
      <c r="AL20" s="433">
        <f xml:space="preserve"> IF(AL19 &lt; Inputs_Con!$F35, 1, Inputs_Con!$F36)</f>
        <v>1</v>
      </c>
      <c r="AM20" s="433">
        <f xml:space="preserve"> IF(AM19 &lt; Inputs_Con!$F35, 1, Inputs_Con!$F36)</f>
        <v>1</v>
      </c>
      <c r="AN20" s="433">
        <f xml:space="preserve"> IF(AN19 &lt; Inputs_Con!$F35, 1, Inputs_Con!$F36)</f>
        <v>1</v>
      </c>
      <c r="AO20" s="433">
        <f xml:space="preserve"> IF(AO19 &lt; Inputs_Con!$F35, 1, Inputs_Con!$F36)</f>
        <v>1</v>
      </c>
      <c r="AP20" s="433">
        <f xml:space="preserve"> IF(AP19 &lt; Inputs_Con!$F35, 1, Inputs_Con!$F36)</f>
        <v>1</v>
      </c>
      <c r="AQ20" s="433">
        <f xml:space="preserve"> IF(AQ19 &lt; Inputs_Con!$F35, 1, Inputs_Con!$F36)</f>
        <v>1</v>
      </c>
      <c r="AR20" s="433">
        <f xml:space="preserve"> IF(AR19 &lt; Inputs_Con!$F35, 1, Inputs_Con!$F36)</f>
        <v>1</v>
      </c>
      <c r="AS20" s="433">
        <f xml:space="preserve"> IF(AS19 &lt; Inputs_Con!$F35, 1, Inputs_Con!$F36)</f>
        <v>1</v>
      </c>
    </row>
    <row r="21" spans="1:45" ht="15" customHeight="1" x14ac:dyDescent="0.3">
      <c r="A21" s="340"/>
      <c r="B21" s="340"/>
      <c r="C21" s="421"/>
      <c r="D21" s="423"/>
      <c r="E21" s="423"/>
      <c r="F21" s="500"/>
      <c r="G21" s="340"/>
      <c r="H21" s="340"/>
      <c r="I21" s="340"/>
      <c r="J21" s="501"/>
      <c r="K21" s="426"/>
      <c r="L21" s="426"/>
      <c r="M21" s="426"/>
      <c r="N21" s="426"/>
      <c r="O21" s="426"/>
      <c r="P21" s="426"/>
      <c r="Q21" s="423"/>
      <c r="R21" s="423"/>
      <c r="S21" s="423"/>
      <c r="T21" s="423"/>
      <c r="U21" s="423"/>
      <c r="V21" s="423"/>
      <c r="W21" s="423"/>
      <c r="X21" s="423"/>
      <c r="Y21" s="423"/>
      <c r="Z21" s="423"/>
      <c r="AA21" s="423"/>
      <c r="AB21" s="423"/>
      <c r="AC21" s="423"/>
      <c r="AD21" s="423"/>
      <c r="AE21" s="423"/>
      <c r="AF21" s="423"/>
      <c r="AG21" s="423"/>
      <c r="AH21" s="423"/>
      <c r="AI21" s="423"/>
      <c r="AJ21" s="423"/>
      <c r="AK21" s="423"/>
      <c r="AL21" s="423"/>
      <c r="AM21" s="423"/>
      <c r="AN21" s="423"/>
      <c r="AO21" s="423"/>
      <c r="AP21" s="423"/>
      <c r="AQ21" s="423"/>
      <c r="AR21" s="423"/>
      <c r="AS21" s="423"/>
    </row>
    <row r="22" spans="1:45" ht="15" customHeight="1" x14ac:dyDescent="0.3">
      <c r="A22" s="15" t="s">
        <v>83</v>
      </c>
      <c r="B22" s="16"/>
      <c r="C22" s="17"/>
      <c r="D22" s="18"/>
      <c r="E22" s="16"/>
      <c r="F22" s="16"/>
      <c r="G22" s="16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  <c r="AK22" s="19"/>
      <c r="AL22" s="19"/>
      <c r="AM22" s="19"/>
      <c r="AN22" s="19"/>
      <c r="AO22" s="19"/>
      <c r="AP22" s="19"/>
      <c r="AQ22" s="19"/>
      <c r="AR22" s="19"/>
      <c r="AS22" s="19"/>
    </row>
    <row r="23" spans="1:45" ht="15" customHeight="1" x14ac:dyDescent="0.3">
      <c r="E23" s="139"/>
      <c r="F23" s="142"/>
      <c r="G23" s="142"/>
      <c r="H23" s="186"/>
      <c r="I23" s="186"/>
      <c r="K23" s="45"/>
      <c r="L23" s="45"/>
      <c r="M23" s="45"/>
      <c r="N23" s="45"/>
      <c r="O23" s="45"/>
      <c r="P23" s="45"/>
      <c r="Q23" s="45"/>
      <c r="R23" s="45"/>
      <c r="S23" s="45"/>
      <c r="T23" s="45"/>
      <c r="U23" s="45"/>
      <c r="V23" s="45"/>
      <c r="W23" s="45"/>
      <c r="X23" s="45"/>
      <c r="Y23" s="45"/>
      <c r="Z23" s="45"/>
      <c r="AA23" s="45"/>
      <c r="AB23" s="45"/>
      <c r="AC23" s="45"/>
      <c r="AD23" s="45"/>
      <c r="AE23" s="45"/>
      <c r="AF23" s="45"/>
      <c r="AG23" s="45"/>
      <c r="AH23" s="45"/>
      <c r="AI23" s="45"/>
      <c r="AJ23" s="45"/>
      <c r="AK23" s="45"/>
      <c r="AL23" s="45"/>
      <c r="AM23" s="45"/>
      <c r="AN23" s="45"/>
      <c r="AO23" s="45"/>
      <c r="AP23" s="3"/>
    </row>
    <row r="24" spans="1:45" ht="15" customHeight="1" x14ac:dyDescent="0.3">
      <c r="C24" s="2" t="s">
        <v>135</v>
      </c>
      <c r="E24" s="139"/>
      <c r="F24" s="142"/>
      <c r="G24" s="142"/>
      <c r="H24" s="186"/>
      <c r="I24" s="186"/>
      <c r="J24" s="61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5"/>
      <c r="V24" s="45"/>
      <c r="W24" s="45"/>
      <c r="X24" s="45"/>
      <c r="Y24" s="45"/>
      <c r="Z24" s="45"/>
      <c r="AA24" s="45"/>
      <c r="AB24" s="45"/>
      <c r="AC24" s="45"/>
      <c r="AD24" s="45"/>
      <c r="AE24" s="45"/>
      <c r="AF24" s="45"/>
      <c r="AG24" s="45"/>
      <c r="AH24" s="45"/>
      <c r="AI24" s="45"/>
      <c r="AJ24" s="45"/>
      <c r="AK24" s="45"/>
      <c r="AL24" s="45"/>
      <c r="AM24" s="45"/>
      <c r="AN24" s="45"/>
      <c r="AO24" s="45"/>
      <c r="AP24" s="3"/>
    </row>
    <row r="25" spans="1:45" ht="15" customHeight="1" x14ac:dyDescent="0.3">
      <c r="E25" s="142" t="s">
        <v>126</v>
      </c>
      <c r="F25" s="187">
        <v>1.54</v>
      </c>
      <c r="G25" s="142" t="s">
        <v>35</v>
      </c>
      <c r="H25" s="36" t="str">
        <f xml:space="preserve"> Sources!I$13</f>
        <v>IX</v>
      </c>
      <c r="I25" s="36"/>
      <c r="K25" s="45"/>
      <c r="L25" s="45"/>
      <c r="M25" s="45"/>
      <c r="N25" s="45"/>
      <c r="O25" s="45"/>
      <c r="P25" s="45"/>
      <c r="Q25" s="45"/>
      <c r="R25" s="45"/>
      <c r="S25" s="45"/>
      <c r="T25" s="45"/>
      <c r="U25" s="45"/>
      <c r="V25" s="45"/>
      <c r="W25" s="45"/>
      <c r="X25" s="45"/>
      <c r="Y25" s="45"/>
      <c r="Z25" s="45"/>
      <c r="AA25" s="45"/>
      <c r="AB25" s="45"/>
      <c r="AC25" s="45"/>
      <c r="AD25" s="45"/>
      <c r="AE25" s="45"/>
      <c r="AF25" s="45"/>
      <c r="AG25" s="45"/>
      <c r="AH25" s="45"/>
      <c r="AI25" s="45"/>
      <c r="AJ25" s="45"/>
      <c r="AK25" s="45"/>
      <c r="AL25" s="45"/>
      <c r="AM25" s="45"/>
      <c r="AN25" s="45"/>
      <c r="AO25" s="45"/>
      <c r="AP25" s="3"/>
    </row>
    <row r="26" spans="1:45" ht="15" customHeight="1" x14ac:dyDescent="0.3">
      <c r="E26" s="142" t="s">
        <v>127</v>
      </c>
      <c r="F26" s="188">
        <v>3.9300000000000002E-2</v>
      </c>
      <c r="G26" s="142" t="s">
        <v>34</v>
      </c>
      <c r="H26" s="36" t="str">
        <f xml:space="preserve"> Sources!I$13</f>
        <v>IX</v>
      </c>
      <c r="I26" s="36"/>
      <c r="K26" s="45"/>
      <c r="L26" s="45"/>
      <c r="M26" s="45"/>
      <c r="N26" s="45"/>
      <c r="O26" s="45"/>
      <c r="P26" s="45"/>
      <c r="Q26" s="45"/>
      <c r="R26" s="45"/>
      <c r="S26" s="45"/>
      <c r="T26" s="45"/>
      <c r="U26" s="45"/>
      <c r="V26" s="45"/>
      <c r="W26" s="45"/>
      <c r="X26" s="45"/>
      <c r="Y26" s="45"/>
      <c r="Z26" s="45"/>
      <c r="AA26" s="45"/>
      <c r="AB26" s="45"/>
      <c r="AC26" s="45"/>
      <c r="AD26" s="45"/>
      <c r="AE26" s="45"/>
      <c r="AF26" s="45"/>
      <c r="AG26" s="45"/>
      <c r="AH26" s="45"/>
      <c r="AI26" s="45"/>
      <c r="AJ26" s="45"/>
      <c r="AK26" s="45"/>
      <c r="AL26" s="45"/>
      <c r="AM26" s="45"/>
      <c r="AN26" s="45"/>
      <c r="AO26" s="45"/>
      <c r="AP26" s="3"/>
    </row>
    <row r="27" spans="1:45" ht="15" customHeight="1" x14ac:dyDescent="0.3">
      <c r="E27" s="139"/>
      <c r="F27" s="142"/>
      <c r="G27" s="142"/>
      <c r="H27" s="186"/>
      <c r="I27" s="186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  <c r="AA27" s="45"/>
      <c r="AB27" s="45"/>
      <c r="AC27" s="45"/>
      <c r="AD27" s="45"/>
      <c r="AE27" s="45"/>
      <c r="AF27" s="45"/>
      <c r="AG27" s="45"/>
      <c r="AH27" s="45"/>
      <c r="AI27" s="45"/>
      <c r="AJ27" s="45"/>
      <c r="AK27" s="45"/>
      <c r="AL27" s="45"/>
      <c r="AM27" s="45"/>
      <c r="AN27" s="45"/>
      <c r="AO27" s="45"/>
      <c r="AP27" s="3"/>
    </row>
    <row r="28" spans="1:45" ht="15" customHeight="1" x14ac:dyDescent="0.3">
      <c r="C28" s="2" t="s">
        <v>84</v>
      </c>
      <c r="E28" s="139"/>
      <c r="F28" s="142"/>
      <c r="G28" s="142"/>
      <c r="H28" s="186"/>
      <c r="I28" s="186"/>
      <c r="J28" s="61"/>
      <c r="K28" s="45"/>
      <c r="L28" s="45"/>
      <c r="M28" s="45"/>
      <c r="N28" s="45"/>
      <c r="O28" s="45"/>
      <c r="P28" s="45"/>
      <c r="Q28" s="45"/>
      <c r="R28" s="45"/>
      <c r="S28" s="45"/>
      <c r="T28" s="45"/>
      <c r="U28" s="45"/>
      <c r="V28" s="45"/>
      <c r="W28" s="45"/>
      <c r="X28" s="45"/>
      <c r="Y28" s="45"/>
      <c r="Z28" s="45"/>
      <c r="AA28" s="45"/>
      <c r="AB28" s="45"/>
      <c r="AC28" s="45"/>
      <c r="AD28" s="45"/>
      <c r="AE28" s="45"/>
      <c r="AF28" s="45"/>
      <c r="AG28" s="45"/>
      <c r="AH28" s="45"/>
      <c r="AI28" s="45"/>
      <c r="AJ28" s="45"/>
      <c r="AK28" s="45"/>
      <c r="AL28" s="45"/>
      <c r="AM28" s="45"/>
      <c r="AN28" s="45"/>
      <c r="AO28" s="45"/>
      <c r="AP28" s="3"/>
    </row>
    <row r="29" spans="1:45" ht="15" customHeight="1" x14ac:dyDescent="0.3">
      <c r="E29" s="142" t="s">
        <v>126</v>
      </c>
      <c r="F29" s="187">
        <v>1.6862600000000001</v>
      </c>
      <c r="G29" s="142" t="s">
        <v>35</v>
      </c>
      <c r="H29" s="183" t="str">
        <f xml:space="preserve"> Sources!I$12</f>
        <v>VIII</v>
      </c>
      <c r="I29" s="183"/>
      <c r="K29" s="45"/>
      <c r="L29" s="45"/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45"/>
      <c r="X29" s="45"/>
      <c r="Y29" s="45"/>
      <c r="Z29" s="45"/>
      <c r="AA29" s="45"/>
      <c r="AB29" s="45"/>
      <c r="AC29" s="45"/>
      <c r="AD29" s="45"/>
      <c r="AE29" s="45"/>
      <c r="AF29" s="45"/>
      <c r="AG29" s="45"/>
      <c r="AH29" s="45"/>
      <c r="AI29" s="45"/>
      <c r="AJ29" s="45"/>
      <c r="AK29" s="45"/>
      <c r="AL29" s="45"/>
      <c r="AM29" s="45"/>
      <c r="AN29" s="45"/>
      <c r="AO29" s="45"/>
      <c r="AP29" s="3"/>
    </row>
    <row r="30" spans="1:45" ht="15" customHeight="1" x14ac:dyDescent="0.3">
      <c r="E30" s="142" t="s">
        <v>68</v>
      </c>
      <c r="F30" s="189">
        <v>2.8799999999999999E-2</v>
      </c>
      <c r="G30" s="142" t="s">
        <v>34</v>
      </c>
      <c r="H30" s="183" t="str">
        <f xml:space="preserve"> Sources!I$12</f>
        <v>VIII</v>
      </c>
      <c r="I30" s="183"/>
      <c r="K30" s="45"/>
      <c r="L30" s="45"/>
      <c r="M30" s="45"/>
      <c r="N30" s="45"/>
      <c r="O30" s="45"/>
      <c r="P30" s="45"/>
      <c r="Q30" s="45"/>
      <c r="R30" s="45"/>
      <c r="S30" s="45"/>
      <c r="T30" s="45"/>
      <c r="U30" s="45"/>
      <c r="V30" s="45"/>
      <c r="W30" s="45"/>
      <c r="X30" s="45"/>
      <c r="Y30" s="45"/>
      <c r="Z30" s="45"/>
      <c r="AA30" s="45"/>
      <c r="AB30" s="45"/>
      <c r="AC30" s="45"/>
      <c r="AD30" s="45"/>
      <c r="AE30" s="45"/>
      <c r="AF30" s="45"/>
      <c r="AG30" s="45"/>
      <c r="AH30" s="45"/>
      <c r="AI30" s="45"/>
      <c r="AJ30" s="45"/>
      <c r="AK30" s="45"/>
      <c r="AL30" s="45"/>
      <c r="AM30" s="45"/>
      <c r="AN30" s="45"/>
      <c r="AO30" s="45"/>
      <c r="AP30" s="3"/>
    </row>
    <row r="31" spans="1:45" ht="15" customHeight="1" x14ac:dyDescent="0.3">
      <c r="E31" s="142" t="s">
        <v>136</v>
      </c>
      <c r="F31" s="190">
        <v>4.8000000000000001E-2</v>
      </c>
      <c r="G31" s="142" t="s">
        <v>35</v>
      </c>
      <c r="H31" s="36" t="str">
        <f xml:space="preserve"> Sources!I$13</f>
        <v>IX</v>
      </c>
      <c r="I31" s="36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  <c r="AA31" s="45"/>
      <c r="AB31" s="45"/>
      <c r="AC31" s="45"/>
      <c r="AD31" s="45"/>
      <c r="AE31" s="45"/>
      <c r="AF31" s="45"/>
      <c r="AG31" s="45"/>
      <c r="AH31" s="45"/>
      <c r="AI31" s="45"/>
      <c r="AJ31" s="45"/>
      <c r="AK31" s="45"/>
      <c r="AL31" s="45"/>
      <c r="AM31" s="45"/>
      <c r="AN31" s="45"/>
      <c r="AO31" s="45"/>
      <c r="AP31" s="3"/>
    </row>
    <row r="32" spans="1:45" ht="15" customHeight="1" x14ac:dyDescent="0.3">
      <c r="E32" s="142" t="s">
        <v>69</v>
      </c>
      <c r="F32" s="188">
        <v>8.0000000000000004E-4</v>
      </c>
      <c r="G32" s="142" t="s">
        <v>34</v>
      </c>
      <c r="H32" s="36" t="str">
        <f xml:space="preserve"> Sources!I$13</f>
        <v>IX</v>
      </c>
      <c r="I32" s="36"/>
      <c r="J32" s="61"/>
      <c r="K32" s="45"/>
      <c r="L32" s="45"/>
      <c r="M32" s="45"/>
      <c r="N32" s="45"/>
      <c r="O32" s="45"/>
      <c r="P32" s="45"/>
      <c r="Q32" s="45"/>
      <c r="R32" s="45"/>
      <c r="S32" s="45"/>
      <c r="T32" s="45"/>
      <c r="U32" s="45"/>
      <c r="V32" s="45"/>
      <c r="W32" s="45"/>
      <c r="X32" s="45"/>
      <c r="Y32" s="45"/>
      <c r="Z32" s="45"/>
      <c r="AA32" s="45"/>
      <c r="AB32" s="45"/>
      <c r="AC32" s="45"/>
      <c r="AD32" s="45"/>
      <c r="AE32" s="45"/>
      <c r="AF32" s="45"/>
      <c r="AG32" s="45"/>
      <c r="AH32" s="45"/>
      <c r="AI32" s="45"/>
      <c r="AJ32" s="45"/>
      <c r="AK32" s="45"/>
      <c r="AL32" s="45"/>
      <c r="AM32" s="45"/>
      <c r="AN32" s="45"/>
      <c r="AO32" s="45"/>
      <c r="AP32" s="3"/>
    </row>
    <row r="33" spans="3:42" ht="15" customHeight="1" x14ac:dyDescent="0.3">
      <c r="E33" s="139"/>
      <c r="F33" s="142"/>
      <c r="G33" s="142"/>
      <c r="H33" s="186"/>
      <c r="I33" s="186"/>
      <c r="K33" s="45"/>
      <c r="L33" s="45"/>
      <c r="M33" s="45"/>
      <c r="N33" s="45"/>
      <c r="O33" s="45"/>
      <c r="P33" s="45"/>
      <c r="Q33" s="45"/>
      <c r="R33" s="45"/>
      <c r="S33" s="45"/>
      <c r="T33" s="45"/>
      <c r="U33" s="45"/>
      <c r="V33" s="45"/>
      <c r="W33" s="45"/>
      <c r="X33" s="45"/>
      <c r="Y33" s="45"/>
      <c r="Z33" s="45"/>
      <c r="AA33" s="45"/>
      <c r="AB33" s="45"/>
      <c r="AC33" s="45"/>
      <c r="AD33" s="45"/>
      <c r="AE33" s="45"/>
      <c r="AF33" s="45"/>
      <c r="AG33" s="45"/>
      <c r="AH33" s="45"/>
      <c r="AI33" s="45"/>
      <c r="AJ33" s="45"/>
      <c r="AK33" s="45"/>
      <c r="AL33" s="45"/>
      <c r="AM33" s="45"/>
      <c r="AN33" s="45"/>
      <c r="AO33" s="45"/>
      <c r="AP33" s="3"/>
    </row>
    <row r="34" spans="3:42" ht="15" customHeight="1" x14ac:dyDescent="0.3">
      <c r="C34" s="2" t="s">
        <v>66</v>
      </c>
      <c r="E34" s="139"/>
      <c r="F34" s="142"/>
      <c r="G34" s="142"/>
      <c r="H34" s="186"/>
      <c r="I34" s="186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5"/>
      <c r="Y34" s="45"/>
      <c r="Z34" s="45"/>
      <c r="AA34" s="45"/>
      <c r="AB34" s="45"/>
      <c r="AC34" s="45"/>
      <c r="AD34" s="45"/>
      <c r="AE34" s="45"/>
      <c r="AF34" s="45"/>
      <c r="AG34" s="45"/>
      <c r="AH34" s="45"/>
      <c r="AI34" s="45"/>
      <c r="AJ34" s="45"/>
      <c r="AK34" s="45"/>
      <c r="AL34" s="45"/>
      <c r="AM34" s="45"/>
      <c r="AN34" s="45"/>
      <c r="AO34" s="45"/>
      <c r="AP34" s="3"/>
    </row>
    <row r="35" spans="3:42" ht="15" customHeight="1" x14ac:dyDescent="0.3">
      <c r="E35" s="142" t="s">
        <v>126</v>
      </c>
      <c r="F35" s="187">
        <v>1.08</v>
      </c>
      <c r="G35" s="142" t="s">
        <v>35</v>
      </c>
      <c r="H35" s="183" t="str">
        <f xml:space="preserve"> Sources!I$8</f>
        <v>IV</v>
      </c>
      <c r="I35" s="183"/>
      <c r="K35" s="45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  <c r="Y35" s="45"/>
      <c r="Z35" s="45"/>
      <c r="AA35" s="45"/>
      <c r="AB35" s="45"/>
      <c r="AC35" s="45"/>
      <c r="AD35" s="45"/>
      <c r="AE35" s="45"/>
      <c r="AF35" s="45"/>
      <c r="AG35" s="45"/>
      <c r="AH35" s="45"/>
      <c r="AI35" s="45"/>
      <c r="AJ35" s="45"/>
      <c r="AK35" s="45"/>
      <c r="AL35" s="45"/>
      <c r="AM35" s="45"/>
      <c r="AN35" s="45"/>
      <c r="AO35" s="45"/>
      <c r="AP35" s="3"/>
    </row>
    <row r="36" spans="3:42" ht="15" customHeight="1" x14ac:dyDescent="0.3">
      <c r="E36" s="142" t="s">
        <v>68</v>
      </c>
      <c r="F36" s="189">
        <v>4.1700000000000001E-2</v>
      </c>
      <c r="G36" s="142" t="s">
        <v>34</v>
      </c>
      <c r="H36" s="183" t="str">
        <f xml:space="preserve"> Sources!I$8</f>
        <v>IV</v>
      </c>
      <c r="I36" s="183"/>
      <c r="J36" s="61"/>
      <c r="K36" s="45"/>
      <c r="L36" s="45"/>
      <c r="M36" s="45"/>
      <c r="N36" s="45"/>
      <c r="O36" s="45"/>
      <c r="P36" s="45"/>
      <c r="Q36" s="45"/>
      <c r="R36" s="45"/>
      <c r="S36" s="45"/>
      <c r="T36" s="45"/>
      <c r="U36" s="45"/>
      <c r="V36" s="45"/>
      <c r="W36" s="45"/>
      <c r="X36" s="45"/>
      <c r="Y36" s="45"/>
      <c r="Z36" s="45"/>
      <c r="AA36" s="45"/>
      <c r="AB36" s="45"/>
      <c r="AC36" s="45"/>
      <c r="AD36" s="45"/>
      <c r="AE36" s="45"/>
      <c r="AF36" s="45"/>
      <c r="AG36" s="45"/>
      <c r="AH36" s="45"/>
      <c r="AI36" s="45"/>
      <c r="AJ36" s="45"/>
      <c r="AK36" s="45"/>
      <c r="AL36" s="45"/>
      <c r="AM36" s="45"/>
      <c r="AN36" s="45"/>
      <c r="AO36" s="45"/>
      <c r="AP36" s="3"/>
    </row>
    <row r="37" spans="3:42" ht="15" customHeight="1" x14ac:dyDescent="0.3">
      <c r="E37" s="142" t="s">
        <v>136</v>
      </c>
      <c r="F37" s="191">
        <v>0.13</v>
      </c>
      <c r="G37" s="142" t="s">
        <v>35</v>
      </c>
      <c r="H37" s="183" t="str">
        <f xml:space="preserve"> Sources!I$8</f>
        <v>IV</v>
      </c>
      <c r="I37" s="183"/>
      <c r="K37" s="45"/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45"/>
      <c r="X37" s="45"/>
      <c r="Y37" s="45"/>
      <c r="Z37" s="45"/>
      <c r="AA37" s="45"/>
      <c r="AB37" s="45"/>
      <c r="AC37" s="45"/>
      <c r="AD37" s="45"/>
      <c r="AE37" s="45"/>
      <c r="AF37" s="45"/>
      <c r="AG37" s="45"/>
      <c r="AH37" s="45"/>
      <c r="AI37" s="45"/>
      <c r="AJ37" s="45"/>
      <c r="AK37" s="45"/>
      <c r="AL37" s="45"/>
      <c r="AM37" s="45"/>
      <c r="AN37" s="45"/>
      <c r="AO37" s="45"/>
      <c r="AP37" s="3"/>
    </row>
    <row r="38" spans="3:42" ht="15" customHeight="1" x14ac:dyDescent="0.3">
      <c r="E38" s="142" t="s">
        <v>69</v>
      </c>
      <c r="F38" s="189">
        <v>1.1999999999999999E-3</v>
      </c>
      <c r="G38" s="142" t="s">
        <v>34</v>
      </c>
      <c r="H38" s="183" t="str">
        <f xml:space="preserve"> Sources!I$8</f>
        <v>IV</v>
      </c>
      <c r="I38" s="183"/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45"/>
      <c r="X38" s="45"/>
      <c r="Y38" s="45"/>
      <c r="Z38" s="45"/>
      <c r="AA38" s="45"/>
      <c r="AB38" s="45"/>
      <c r="AC38" s="45"/>
      <c r="AD38" s="45"/>
      <c r="AE38" s="45"/>
      <c r="AF38" s="45"/>
      <c r="AG38" s="45"/>
      <c r="AH38" s="45"/>
      <c r="AI38" s="45"/>
      <c r="AJ38" s="45"/>
      <c r="AK38" s="45"/>
      <c r="AL38" s="45"/>
      <c r="AM38" s="45"/>
      <c r="AN38" s="45"/>
      <c r="AO38" s="45"/>
      <c r="AP38" s="3"/>
    </row>
    <row r="39" spans="3:42" ht="15" customHeight="1" x14ac:dyDescent="0.3">
      <c r="E39" s="142"/>
      <c r="F39" s="192"/>
      <c r="G39" s="142"/>
      <c r="H39" s="186"/>
      <c r="I39" s="186"/>
      <c r="K39" s="45"/>
      <c r="L39" s="45"/>
      <c r="M39" s="45"/>
      <c r="N39" s="45"/>
      <c r="O39" s="45"/>
      <c r="P39" s="45"/>
      <c r="Q39" s="45"/>
      <c r="R39" s="45"/>
      <c r="S39" s="45"/>
      <c r="T39" s="45"/>
      <c r="U39" s="45"/>
      <c r="V39" s="45"/>
      <c r="W39" s="45"/>
      <c r="X39" s="45"/>
      <c r="Y39" s="45"/>
      <c r="Z39" s="45"/>
      <c r="AA39" s="45"/>
      <c r="AB39" s="45"/>
      <c r="AC39" s="45"/>
      <c r="AD39" s="45"/>
      <c r="AE39" s="45"/>
      <c r="AF39" s="45"/>
      <c r="AG39" s="45"/>
      <c r="AH39" s="45"/>
      <c r="AI39" s="45"/>
      <c r="AJ39" s="45"/>
      <c r="AK39" s="45"/>
      <c r="AL39" s="45"/>
      <c r="AM39" s="45"/>
      <c r="AN39" s="45"/>
      <c r="AO39" s="45"/>
      <c r="AP39" s="3"/>
    </row>
    <row r="40" spans="3:42" ht="15" customHeight="1" x14ac:dyDescent="0.3">
      <c r="C40" s="2" t="s">
        <v>70</v>
      </c>
      <c r="E40" s="142"/>
      <c r="F40" s="192"/>
      <c r="G40" s="142"/>
      <c r="H40" s="186"/>
      <c r="I40" s="186"/>
      <c r="J40" s="61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  <c r="Z40" s="45"/>
      <c r="AA40" s="45"/>
      <c r="AB40" s="45"/>
      <c r="AC40" s="45"/>
      <c r="AD40" s="45"/>
      <c r="AE40" s="45"/>
      <c r="AF40" s="45"/>
      <c r="AG40" s="45"/>
      <c r="AH40" s="45"/>
      <c r="AI40" s="45"/>
      <c r="AJ40" s="45"/>
      <c r="AK40" s="45"/>
      <c r="AL40" s="45"/>
      <c r="AM40" s="45"/>
      <c r="AN40" s="45"/>
      <c r="AO40" s="45"/>
      <c r="AP40" s="3"/>
    </row>
    <row r="41" spans="3:42" ht="15" customHeight="1" x14ac:dyDescent="0.3">
      <c r="E41" s="142" t="s">
        <v>126</v>
      </c>
      <c r="F41" s="187">
        <v>2.41</v>
      </c>
      <c r="G41" s="142" t="s">
        <v>35</v>
      </c>
      <c r="H41" s="183" t="str">
        <f xml:space="preserve"> Sources!I$8</f>
        <v>IV</v>
      </c>
      <c r="I41" s="183"/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5"/>
      <c r="AA41" s="45"/>
      <c r="AB41" s="45"/>
      <c r="AC41" s="45"/>
      <c r="AD41" s="45"/>
      <c r="AE41" s="45"/>
      <c r="AF41" s="45"/>
      <c r="AG41" s="45"/>
      <c r="AH41" s="45"/>
      <c r="AI41" s="45"/>
      <c r="AJ41" s="45"/>
      <c r="AK41" s="45"/>
      <c r="AL41" s="45"/>
      <c r="AM41" s="45"/>
      <c r="AN41" s="45"/>
      <c r="AO41" s="45"/>
      <c r="AP41" s="3"/>
    </row>
    <row r="42" spans="3:42" ht="15" customHeight="1" x14ac:dyDescent="0.3">
      <c r="E42" s="142" t="s">
        <v>68</v>
      </c>
      <c r="F42" s="189">
        <v>3.9100000000000003E-2</v>
      </c>
      <c r="G42" s="142" t="s">
        <v>34</v>
      </c>
      <c r="H42" s="183" t="str">
        <f xml:space="preserve"> Sources!I$8</f>
        <v>IV</v>
      </c>
      <c r="I42" s="183"/>
      <c r="K42" s="45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5"/>
      <c r="Z42" s="45"/>
      <c r="AA42" s="45"/>
      <c r="AB42" s="45"/>
      <c r="AC42" s="45"/>
      <c r="AD42" s="45"/>
      <c r="AE42" s="45"/>
      <c r="AF42" s="45"/>
      <c r="AG42" s="45"/>
      <c r="AH42" s="45"/>
      <c r="AI42" s="45"/>
      <c r="AJ42" s="45"/>
      <c r="AK42" s="45"/>
      <c r="AL42" s="45"/>
      <c r="AM42" s="45"/>
      <c r="AN42" s="45"/>
      <c r="AO42" s="45"/>
      <c r="AP42" s="3"/>
    </row>
    <row r="43" spans="3:42" ht="15" customHeight="1" x14ac:dyDescent="0.3">
      <c r="E43" s="142" t="s">
        <v>136</v>
      </c>
      <c r="F43" s="191">
        <v>6.4699999999999994E-2</v>
      </c>
      <c r="G43" s="142" t="s">
        <v>35</v>
      </c>
      <c r="H43" s="183" t="str">
        <f xml:space="preserve"> Sources!I$8</f>
        <v>IV</v>
      </c>
      <c r="I43" s="183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  <c r="Z43" s="45"/>
      <c r="AA43" s="45"/>
      <c r="AB43" s="45"/>
      <c r="AC43" s="45"/>
      <c r="AD43" s="45"/>
      <c r="AE43" s="45"/>
      <c r="AF43" s="45"/>
      <c r="AG43" s="45"/>
      <c r="AH43" s="45"/>
      <c r="AI43" s="45"/>
      <c r="AJ43" s="45"/>
      <c r="AK43" s="45"/>
      <c r="AL43" s="45"/>
      <c r="AM43" s="45"/>
      <c r="AN43" s="45"/>
      <c r="AO43" s="45"/>
      <c r="AP43" s="3"/>
    </row>
    <row r="44" spans="3:42" ht="15" customHeight="1" x14ac:dyDescent="0.3">
      <c r="E44" s="142" t="s">
        <v>69</v>
      </c>
      <c r="F44" s="188">
        <v>1.1000000000000001E-3</v>
      </c>
      <c r="G44" s="142" t="s">
        <v>34</v>
      </c>
      <c r="H44" s="183" t="str">
        <f xml:space="preserve"> Sources!I$8</f>
        <v>IV</v>
      </c>
      <c r="I44" s="183"/>
      <c r="J44" s="61"/>
      <c r="K44" s="45"/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5"/>
      <c r="Y44" s="45"/>
      <c r="Z44" s="45"/>
      <c r="AA44" s="45"/>
      <c r="AB44" s="45"/>
      <c r="AC44" s="45"/>
      <c r="AD44" s="45"/>
      <c r="AE44" s="45"/>
      <c r="AF44" s="45"/>
      <c r="AG44" s="45"/>
      <c r="AH44" s="45"/>
      <c r="AI44" s="45"/>
      <c r="AJ44" s="45"/>
      <c r="AK44" s="45"/>
      <c r="AL44" s="45"/>
      <c r="AM44" s="45"/>
      <c r="AN44" s="45"/>
      <c r="AO44" s="45"/>
      <c r="AP44" s="3"/>
    </row>
    <row r="45" spans="3:42" ht="15" customHeight="1" x14ac:dyDescent="0.3">
      <c r="E45" s="142"/>
      <c r="F45" s="193"/>
      <c r="G45" s="142"/>
      <c r="H45" s="186"/>
      <c r="I45" s="186"/>
      <c r="K45" s="45"/>
      <c r="L45" s="45"/>
      <c r="M45" s="45"/>
      <c r="N45" s="45"/>
      <c r="O45" s="45"/>
      <c r="P45" s="45"/>
      <c r="Q45" s="45"/>
      <c r="R45" s="45"/>
      <c r="S45" s="45"/>
      <c r="T45" s="45"/>
      <c r="U45" s="45"/>
      <c r="V45" s="45"/>
      <c r="W45" s="45"/>
      <c r="X45" s="45"/>
      <c r="Y45" s="45"/>
      <c r="Z45" s="45"/>
      <c r="AA45" s="45"/>
      <c r="AB45" s="45"/>
      <c r="AC45" s="45"/>
      <c r="AD45" s="45"/>
      <c r="AE45" s="45"/>
      <c r="AF45" s="45"/>
      <c r="AG45" s="45"/>
      <c r="AH45" s="45"/>
      <c r="AI45" s="45"/>
      <c r="AJ45" s="45"/>
      <c r="AK45" s="45"/>
      <c r="AL45" s="45"/>
      <c r="AM45" s="45"/>
      <c r="AN45" s="45"/>
      <c r="AO45" s="45"/>
      <c r="AP45" s="3"/>
    </row>
    <row r="46" spans="3:42" ht="15" customHeight="1" x14ac:dyDescent="0.3">
      <c r="C46" s="2" t="s">
        <v>133</v>
      </c>
      <c r="E46" s="142"/>
      <c r="F46" s="193"/>
      <c r="G46" s="142"/>
      <c r="H46" s="186"/>
      <c r="I46" s="186"/>
      <c r="K46" s="45"/>
      <c r="L46" s="45"/>
      <c r="M46" s="45"/>
      <c r="N46" s="45"/>
      <c r="O46" s="45"/>
      <c r="P46" s="45"/>
      <c r="Q46" s="45"/>
      <c r="R46" s="45"/>
      <c r="S46" s="45"/>
      <c r="T46" s="45"/>
      <c r="U46" s="45"/>
      <c r="V46" s="45"/>
      <c r="W46" s="45"/>
      <c r="X46" s="45"/>
      <c r="Y46" s="45"/>
      <c r="Z46" s="45"/>
      <c r="AA46" s="45"/>
      <c r="AB46" s="45"/>
      <c r="AC46" s="45"/>
      <c r="AD46" s="45"/>
      <c r="AE46" s="45"/>
      <c r="AF46" s="45"/>
      <c r="AG46" s="45"/>
      <c r="AH46" s="45"/>
      <c r="AI46" s="45"/>
      <c r="AJ46" s="45"/>
      <c r="AK46" s="45"/>
      <c r="AL46" s="45"/>
      <c r="AM46" s="45"/>
      <c r="AN46" s="45"/>
      <c r="AO46" s="45"/>
      <c r="AP46" s="3"/>
    </row>
    <row r="47" spans="3:42" ht="15" customHeight="1" x14ac:dyDescent="0.3">
      <c r="E47" s="142" t="s">
        <v>126</v>
      </c>
      <c r="F47" s="187">
        <v>2.5099999999999998</v>
      </c>
      <c r="G47" s="142" t="s">
        <v>35</v>
      </c>
      <c r="H47" s="183" t="str">
        <f xml:space="preserve"> Sources!I$8</f>
        <v>IV</v>
      </c>
      <c r="I47" s="183"/>
      <c r="K47" s="45"/>
      <c r="L47" s="45"/>
      <c r="M47" s="45"/>
      <c r="N47" s="45"/>
      <c r="O47" s="45"/>
      <c r="P47" s="45"/>
      <c r="Q47" s="45"/>
      <c r="R47" s="45"/>
      <c r="S47" s="45"/>
      <c r="T47" s="45"/>
      <c r="U47" s="45"/>
      <c r="V47" s="45"/>
      <c r="W47" s="45"/>
      <c r="X47" s="45"/>
      <c r="Y47" s="45"/>
      <c r="Z47" s="45"/>
      <c r="AA47" s="45"/>
      <c r="AB47" s="45"/>
      <c r="AC47" s="45"/>
      <c r="AD47" s="45"/>
      <c r="AE47" s="45"/>
      <c r="AF47" s="45"/>
      <c r="AG47" s="45"/>
      <c r="AH47" s="45"/>
      <c r="AI47" s="45"/>
      <c r="AJ47" s="45"/>
      <c r="AK47" s="45"/>
      <c r="AL47" s="45"/>
      <c r="AM47" s="45"/>
      <c r="AN47" s="45"/>
      <c r="AO47" s="45"/>
      <c r="AP47" s="3"/>
    </row>
    <row r="48" spans="3:42" ht="15" customHeight="1" x14ac:dyDescent="0.3">
      <c r="E48" s="142" t="s">
        <v>68</v>
      </c>
      <c r="F48" s="189">
        <v>3.3000000000000002E-2</v>
      </c>
      <c r="G48" s="142" t="s">
        <v>34</v>
      </c>
      <c r="H48" s="183" t="str">
        <f xml:space="preserve"> Sources!I$8</f>
        <v>IV</v>
      </c>
      <c r="I48" s="183"/>
      <c r="J48" s="61"/>
      <c r="K48" s="45"/>
      <c r="L48" s="45"/>
      <c r="M48" s="45"/>
      <c r="N48" s="45"/>
      <c r="O48" s="45"/>
      <c r="P48" s="45"/>
      <c r="Q48" s="45"/>
      <c r="R48" s="45"/>
      <c r="S48" s="45"/>
      <c r="T48" s="45"/>
      <c r="U48" s="45"/>
      <c r="V48" s="45"/>
      <c r="W48" s="45"/>
      <c r="X48" s="45"/>
      <c r="Y48" s="45"/>
      <c r="Z48" s="45"/>
      <c r="AA48" s="45"/>
      <c r="AB48" s="45"/>
      <c r="AC48" s="45"/>
      <c r="AD48" s="45"/>
      <c r="AE48" s="45"/>
      <c r="AF48" s="45"/>
      <c r="AG48" s="45"/>
      <c r="AH48" s="45"/>
      <c r="AI48" s="45"/>
      <c r="AJ48" s="45"/>
      <c r="AK48" s="45"/>
      <c r="AL48" s="45"/>
      <c r="AM48" s="45"/>
      <c r="AN48" s="45"/>
      <c r="AO48" s="45"/>
      <c r="AP48" s="3"/>
    </row>
    <row r="49" spans="1:45" ht="15" customHeight="1" x14ac:dyDescent="0.3">
      <c r="E49" s="142" t="s">
        <v>136</v>
      </c>
      <c r="F49" s="191">
        <v>3.7999999999999999E-2</v>
      </c>
      <c r="G49" s="142" t="s">
        <v>35</v>
      </c>
      <c r="H49" s="183" t="str">
        <f xml:space="preserve"> Sources!I$8</f>
        <v>IV</v>
      </c>
      <c r="I49" s="183"/>
      <c r="K49" s="45"/>
      <c r="L49" s="45"/>
      <c r="M49" s="45"/>
      <c r="N49" s="45"/>
      <c r="O49" s="45"/>
      <c r="P49" s="45"/>
      <c r="Q49" s="45"/>
      <c r="R49" s="45"/>
      <c r="S49" s="45"/>
      <c r="T49" s="45"/>
      <c r="U49" s="45"/>
      <c r="V49" s="45"/>
      <c r="W49" s="45"/>
      <c r="X49" s="45"/>
      <c r="Y49" s="45"/>
      <c r="Z49" s="45"/>
      <c r="AA49" s="45"/>
      <c r="AB49" s="45"/>
      <c r="AC49" s="45"/>
      <c r="AD49" s="45"/>
      <c r="AE49" s="45"/>
      <c r="AF49" s="45"/>
      <c r="AG49" s="45"/>
      <c r="AH49" s="45"/>
      <c r="AI49" s="45"/>
      <c r="AJ49" s="45"/>
      <c r="AK49" s="45"/>
      <c r="AL49" s="45"/>
      <c r="AM49" s="45"/>
      <c r="AN49" s="45"/>
      <c r="AO49" s="45"/>
      <c r="AP49" s="3"/>
    </row>
    <row r="50" spans="1:45" ht="15" customHeight="1" x14ac:dyDescent="0.3">
      <c r="E50" s="142" t="s">
        <v>69</v>
      </c>
      <c r="F50" s="188">
        <v>5.0000000000000001E-4</v>
      </c>
      <c r="G50" s="142" t="s">
        <v>34</v>
      </c>
      <c r="H50" s="183" t="str">
        <f xml:space="preserve"> Sources!I$8</f>
        <v>IV</v>
      </c>
      <c r="I50" s="183"/>
      <c r="K50" s="45"/>
      <c r="L50" s="45"/>
      <c r="M50" s="45"/>
      <c r="N50" s="45"/>
      <c r="O50" s="45"/>
      <c r="P50" s="45"/>
      <c r="Q50" s="45"/>
      <c r="R50" s="45"/>
      <c r="S50" s="45"/>
      <c r="T50" s="45"/>
      <c r="U50" s="45"/>
      <c r="V50" s="45"/>
      <c r="W50" s="45"/>
      <c r="X50" s="45"/>
      <c r="Y50" s="45"/>
      <c r="Z50" s="45"/>
      <c r="AA50" s="45"/>
      <c r="AB50" s="45"/>
      <c r="AC50" s="45"/>
      <c r="AD50" s="45"/>
      <c r="AE50" s="45"/>
      <c r="AF50" s="45"/>
      <c r="AG50" s="45"/>
      <c r="AH50" s="45"/>
      <c r="AI50" s="45"/>
      <c r="AJ50" s="45"/>
      <c r="AK50" s="45"/>
      <c r="AL50" s="45"/>
      <c r="AM50" s="45"/>
      <c r="AN50" s="45"/>
      <c r="AO50" s="45"/>
      <c r="AP50" s="3"/>
    </row>
    <row r="51" spans="1:45" ht="15" customHeight="1" x14ac:dyDescent="0.3">
      <c r="E51" s="142"/>
      <c r="F51" s="193"/>
      <c r="G51" s="142"/>
      <c r="H51" s="186"/>
      <c r="I51" s="186"/>
      <c r="K51" s="45"/>
      <c r="L51" s="45"/>
      <c r="M51" s="45"/>
      <c r="N51" s="45"/>
      <c r="O51" s="45"/>
      <c r="P51" s="45"/>
      <c r="Q51" s="45"/>
      <c r="R51" s="45"/>
      <c r="S51" s="45"/>
      <c r="T51" s="45"/>
      <c r="U51" s="45"/>
      <c r="V51" s="45"/>
      <c r="W51" s="45"/>
      <c r="X51" s="45"/>
      <c r="Y51" s="45"/>
      <c r="Z51" s="45"/>
      <c r="AA51" s="45"/>
      <c r="AB51" s="45"/>
      <c r="AC51" s="45"/>
      <c r="AD51" s="45"/>
      <c r="AE51" s="45"/>
      <c r="AF51" s="45"/>
      <c r="AG51" s="45"/>
      <c r="AH51" s="45"/>
      <c r="AI51" s="45"/>
      <c r="AJ51" s="45"/>
      <c r="AK51" s="45"/>
      <c r="AL51" s="45"/>
      <c r="AM51" s="45"/>
      <c r="AN51" s="45"/>
      <c r="AO51" s="45"/>
      <c r="AP51" s="3"/>
    </row>
    <row r="52" spans="1:45" ht="15" customHeight="1" x14ac:dyDescent="0.3">
      <c r="C52" s="2" t="s">
        <v>134</v>
      </c>
      <c r="E52" s="139"/>
      <c r="F52" s="142"/>
      <c r="G52" s="142"/>
      <c r="H52" s="186"/>
      <c r="I52" s="186"/>
      <c r="J52" s="61"/>
      <c r="K52" s="45"/>
      <c r="L52" s="45"/>
      <c r="M52" s="45"/>
      <c r="N52" s="45"/>
      <c r="O52" s="45"/>
      <c r="P52" s="45"/>
      <c r="Q52" s="45"/>
      <c r="R52" s="45"/>
      <c r="S52" s="45"/>
      <c r="T52" s="45"/>
      <c r="U52" s="45"/>
      <c r="V52" s="45"/>
      <c r="W52" s="45"/>
      <c r="X52" s="45"/>
      <c r="Y52" s="45"/>
      <c r="Z52" s="45"/>
      <c r="AA52" s="45"/>
      <c r="AB52" s="45"/>
      <c r="AC52" s="45"/>
      <c r="AD52" s="45"/>
      <c r="AE52" s="45"/>
      <c r="AF52" s="45"/>
      <c r="AG52" s="45"/>
      <c r="AH52" s="45"/>
      <c r="AI52" s="45"/>
      <c r="AJ52" s="45"/>
      <c r="AK52" s="45"/>
      <c r="AL52" s="45"/>
      <c r="AM52" s="45"/>
      <c r="AN52" s="45"/>
      <c r="AO52" s="45"/>
      <c r="AP52" s="3"/>
    </row>
    <row r="53" spans="1:45" ht="15" customHeight="1" x14ac:dyDescent="0.3">
      <c r="A53" s="91"/>
      <c r="B53" s="91"/>
      <c r="C53" s="92"/>
      <c r="D53" s="93"/>
      <c r="E53" s="142" t="s">
        <v>126</v>
      </c>
      <c r="F53" s="187">
        <v>1.4296949999999999</v>
      </c>
      <c r="G53" s="142" t="s">
        <v>35</v>
      </c>
      <c r="H53" s="36" t="str">
        <f xml:space="preserve"> Sources!I$13</f>
        <v>IX</v>
      </c>
      <c r="I53" s="36"/>
      <c r="K53" s="45"/>
      <c r="L53" s="45"/>
      <c r="M53" s="45"/>
      <c r="N53" s="45"/>
      <c r="O53" s="45"/>
      <c r="P53" s="45"/>
      <c r="Q53" s="45"/>
      <c r="R53" s="45"/>
      <c r="S53" s="45"/>
      <c r="T53" s="45"/>
      <c r="U53" s="45"/>
      <c r="V53" s="45"/>
      <c r="W53" s="45"/>
      <c r="X53" s="45"/>
      <c r="Y53" s="45"/>
      <c r="Z53" s="45"/>
      <c r="AA53" s="45"/>
      <c r="AB53" s="45"/>
      <c r="AC53" s="45"/>
      <c r="AD53" s="45"/>
      <c r="AE53" s="45"/>
      <c r="AF53" s="45"/>
      <c r="AG53" s="45"/>
      <c r="AH53" s="45"/>
      <c r="AI53" s="45"/>
      <c r="AJ53" s="45"/>
      <c r="AK53" s="45"/>
      <c r="AL53" s="45"/>
      <c r="AM53" s="45"/>
      <c r="AN53" s="45"/>
      <c r="AO53" s="45"/>
      <c r="AP53" s="93"/>
    </row>
    <row r="54" spans="1:45" ht="15" customHeight="1" x14ac:dyDescent="0.3">
      <c r="A54" s="91"/>
      <c r="B54" s="91"/>
      <c r="C54" s="92"/>
      <c r="D54" s="93"/>
      <c r="E54" s="142" t="s">
        <v>127</v>
      </c>
      <c r="F54" s="189">
        <v>3.0499999999999999E-2</v>
      </c>
      <c r="G54" s="142" t="s">
        <v>34</v>
      </c>
      <c r="H54" s="36" t="str">
        <f xml:space="preserve"> Sources!I$13</f>
        <v>IX</v>
      </c>
      <c r="I54" s="36"/>
      <c r="K54" s="45"/>
      <c r="L54" s="45"/>
      <c r="M54" s="45"/>
      <c r="N54" s="45"/>
      <c r="O54" s="45"/>
      <c r="P54" s="45"/>
      <c r="Q54" s="45"/>
      <c r="R54" s="45"/>
      <c r="S54" s="45"/>
      <c r="T54" s="45"/>
      <c r="U54" s="45"/>
      <c r="V54" s="45"/>
      <c r="W54" s="45"/>
      <c r="X54" s="45"/>
      <c r="Y54" s="45"/>
      <c r="Z54" s="45"/>
      <c r="AA54" s="45"/>
      <c r="AB54" s="45"/>
      <c r="AC54" s="45"/>
      <c r="AD54" s="45"/>
      <c r="AE54" s="45"/>
      <c r="AF54" s="45"/>
      <c r="AG54" s="45"/>
      <c r="AH54" s="45"/>
      <c r="AI54" s="45"/>
      <c r="AJ54" s="45"/>
      <c r="AK54" s="45"/>
      <c r="AL54" s="45"/>
      <c r="AM54" s="45"/>
      <c r="AN54" s="45"/>
      <c r="AO54" s="45"/>
      <c r="AP54" s="93"/>
    </row>
    <row r="55" spans="1:45" ht="15" customHeight="1" x14ac:dyDescent="0.3">
      <c r="A55" s="91"/>
      <c r="B55" s="91"/>
      <c r="C55" s="92"/>
      <c r="D55" s="93"/>
      <c r="E55" s="142" t="s">
        <v>136</v>
      </c>
      <c r="F55" s="194">
        <v>3.4200000000000001E-2</v>
      </c>
      <c r="G55" s="142" t="s">
        <v>35</v>
      </c>
      <c r="H55" s="36" t="str">
        <f xml:space="preserve"> Sources!I$13</f>
        <v>IX</v>
      </c>
      <c r="I55" s="36"/>
      <c r="K55" s="45"/>
      <c r="L55" s="45"/>
      <c r="M55" s="45"/>
      <c r="N55" s="45"/>
      <c r="O55" s="45"/>
      <c r="P55" s="45"/>
      <c r="Q55" s="45"/>
      <c r="R55" s="45"/>
      <c r="S55" s="45"/>
      <c r="T55" s="45"/>
      <c r="U55" s="45"/>
      <c r="V55" s="45"/>
      <c r="W55" s="45"/>
      <c r="X55" s="45"/>
      <c r="Y55" s="45"/>
      <c r="Z55" s="45"/>
      <c r="AA55" s="45"/>
      <c r="AB55" s="45"/>
      <c r="AC55" s="45"/>
      <c r="AD55" s="45"/>
      <c r="AE55" s="45"/>
      <c r="AF55" s="45"/>
      <c r="AG55" s="45"/>
      <c r="AH55" s="45"/>
      <c r="AI55" s="45"/>
      <c r="AJ55" s="45"/>
      <c r="AK55" s="45"/>
      <c r="AL55" s="45"/>
      <c r="AM55" s="45"/>
      <c r="AN55" s="45"/>
      <c r="AO55" s="45"/>
      <c r="AP55" s="93"/>
    </row>
    <row r="56" spans="1:45" ht="15" customHeight="1" x14ac:dyDescent="0.3">
      <c r="E56" s="142"/>
      <c r="F56" s="195"/>
      <c r="G56" s="142"/>
      <c r="H56" s="36"/>
      <c r="I56" s="36"/>
      <c r="J56" s="61"/>
      <c r="K56" s="45"/>
      <c r="L56" s="45"/>
      <c r="M56" s="45"/>
      <c r="N56" s="45"/>
      <c r="O56" s="45"/>
      <c r="P56" s="45"/>
      <c r="Q56" s="45"/>
      <c r="R56" s="45"/>
      <c r="S56" s="45"/>
      <c r="T56" s="45"/>
      <c r="U56" s="45"/>
      <c r="V56" s="45"/>
      <c r="W56" s="45"/>
      <c r="X56" s="45"/>
      <c r="Y56" s="45"/>
      <c r="Z56" s="45"/>
      <c r="AA56" s="45"/>
      <c r="AB56" s="45"/>
      <c r="AC56" s="45"/>
      <c r="AD56" s="45"/>
      <c r="AE56" s="45"/>
      <c r="AF56" s="45"/>
      <c r="AG56" s="45"/>
      <c r="AH56" s="45"/>
      <c r="AI56" s="45"/>
      <c r="AJ56" s="45"/>
      <c r="AK56" s="45"/>
      <c r="AL56" s="45"/>
      <c r="AM56" s="45"/>
      <c r="AN56" s="45"/>
      <c r="AO56" s="45"/>
      <c r="AP56" s="3"/>
    </row>
    <row r="57" spans="1:45" ht="15" customHeight="1" x14ac:dyDescent="0.3">
      <c r="A57" s="91"/>
      <c r="B57" s="91"/>
      <c r="C57" s="92"/>
      <c r="D57" s="93"/>
      <c r="E57" s="142" t="s">
        <v>67</v>
      </c>
      <c r="F57" s="187">
        <v>0.816218</v>
      </c>
      <c r="G57" s="142" t="s">
        <v>35</v>
      </c>
      <c r="H57" s="36" t="str">
        <f xml:space="preserve"> Sources!I$13</f>
        <v>IX</v>
      </c>
      <c r="I57" s="36"/>
      <c r="K57" s="45"/>
      <c r="L57" s="45"/>
      <c r="M57" s="45"/>
      <c r="N57" s="45"/>
      <c r="O57" s="45"/>
      <c r="P57" s="45"/>
      <c r="Q57" s="45"/>
      <c r="R57" s="45"/>
      <c r="S57" s="45"/>
      <c r="T57" s="45"/>
      <c r="U57" s="45"/>
      <c r="V57" s="45"/>
      <c r="W57" s="45"/>
      <c r="X57" s="45"/>
      <c r="Y57" s="45"/>
      <c r="Z57" s="45"/>
      <c r="AA57" s="45"/>
      <c r="AB57" s="45"/>
      <c r="AC57" s="45"/>
      <c r="AD57" s="45"/>
      <c r="AE57" s="45"/>
      <c r="AF57" s="45"/>
      <c r="AG57" s="45"/>
      <c r="AH57" s="45"/>
      <c r="AI57" s="45"/>
      <c r="AJ57" s="45"/>
      <c r="AK57" s="45"/>
      <c r="AL57" s="45"/>
      <c r="AM57" s="45"/>
      <c r="AN57" s="45"/>
      <c r="AO57" s="45"/>
      <c r="AP57" s="93"/>
    </row>
    <row r="58" spans="1:45" ht="15" customHeight="1" x14ac:dyDescent="0.3">
      <c r="A58" s="91"/>
      <c r="B58" s="91"/>
      <c r="C58" s="92"/>
      <c r="D58" s="93"/>
      <c r="E58" s="142" t="s">
        <v>128</v>
      </c>
      <c r="F58" s="188">
        <v>3.1300000000000001E-2</v>
      </c>
      <c r="G58" s="142" t="s">
        <v>34</v>
      </c>
      <c r="H58" s="36" t="str">
        <f xml:space="preserve"> Sources!I$13</f>
        <v>IX</v>
      </c>
      <c r="I58" s="36"/>
      <c r="K58" s="45"/>
      <c r="L58" s="45"/>
      <c r="M58" s="45"/>
      <c r="N58" s="45"/>
      <c r="O58" s="45"/>
      <c r="P58" s="45"/>
      <c r="Q58" s="45"/>
      <c r="R58" s="45"/>
      <c r="S58" s="45"/>
      <c r="T58" s="45"/>
      <c r="U58" s="45"/>
      <c r="V58" s="45"/>
      <c r="W58" s="45"/>
      <c r="X58" s="45"/>
      <c r="Y58" s="45"/>
      <c r="Z58" s="45"/>
      <c r="AA58" s="45"/>
      <c r="AB58" s="45"/>
      <c r="AC58" s="45"/>
      <c r="AD58" s="45"/>
      <c r="AE58" s="45"/>
      <c r="AF58" s="45"/>
      <c r="AG58" s="45"/>
      <c r="AH58" s="45"/>
      <c r="AI58" s="45"/>
      <c r="AJ58" s="45"/>
      <c r="AK58" s="45"/>
      <c r="AL58" s="45"/>
      <c r="AM58" s="45"/>
      <c r="AN58" s="45"/>
      <c r="AO58" s="45"/>
      <c r="AP58" s="93"/>
    </row>
    <row r="59" spans="1:45" ht="15" customHeight="1" x14ac:dyDescent="0.3">
      <c r="E59" s="139"/>
      <c r="F59" s="142"/>
      <c r="G59" s="142"/>
      <c r="H59" s="186"/>
      <c r="I59" s="186"/>
      <c r="K59" s="45"/>
      <c r="L59" s="45"/>
      <c r="M59" s="45"/>
      <c r="N59" s="45"/>
      <c r="O59" s="45"/>
      <c r="P59" s="45"/>
      <c r="Q59" s="45"/>
      <c r="R59" s="45"/>
      <c r="S59" s="45"/>
      <c r="T59" s="45"/>
      <c r="U59" s="45"/>
      <c r="V59" s="45"/>
      <c r="W59" s="45"/>
      <c r="X59" s="45"/>
      <c r="Y59" s="45"/>
      <c r="Z59" s="45"/>
      <c r="AA59" s="45"/>
      <c r="AB59" s="45"/>
      <c r="AC59" s="45"/>
      <c r="AD59" s="45"/>
      <c r="AE59" s="45"/>
      <c r="AF59" s="45"/>
      <c r="AG59" s="45"/>
      <c r="AH59" s="45"/>
      <c r="AI59" s="45"/>
      <c r="AJ59" s="45"/>
      <c r="AK59" s="45"/>
      <c r="AL59" s="45"/>
      <c r="AM59" s="45"/>
      <c r="AN59" s="45"/>
      <c r="AO59" s="45"/>
      <c r="AP59" s="3"/>
    </row>
    <row r="60" spans="1:45" ht="15" customHeight="1" collapsed="1" x14ac:dyDescent="0.3">
      <c r="A60" s="15" t="s">
        <v>36</v>
      </c>
      <c r="B60" s="16"/>
      <c r="C60" s="17"/>
      <c r="D60" s="18"/>
      <c r="E60" s="196"/>
      <c r="F60" s="196"/>
      <c r="G60" s="196"/>
      <c r="H60" s="196"/>
      <c r="I60" s="19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6"/>
      <c r="AL60" s="16"/>
      <c r="AM60" s="16"/>
      <c r="AN60" s="16"/>
      <c r="AO60" s="16"/>
      <c r="AP60" s="16"/>
      <c r="AQ60" s="16"/>
      <c r="AR60" s="16"/>
      <c r="AS60" s="16"/>
    </row>
    <row r="61" spans="1:45" ht="15" customHeight="1" x14ac:dyDescent="0.3">
      <c r="A61" s="52"/>
      <c r="B61" s="53"/>
      <c r="C61" s="54"/>
      <c r="D61" s="55"/>
      <c r="E61" s="197"/>
      <c r="F61" s="197"/>
      <c r="G61" s="197"/>
      <c r="H61" s="197"/>
      <c r="I61" s="197"/>
      <c r="U61" s="53"/>
      <c r="V61" s="53"/>
      <c r="W61" s="53"/>
      <c r="X61" s="53"/>
      <c r="Y61" s="53"/>
      <c r="Z61" s="53"/>
      <c r="AA61" s="53"/>
      <c r="AB61" s="53"/>
      <c r="AC61" s="53"/>
      <c r="AD61" s="53"/>
      <c r="AE61" s="53"/>
      <c r="AF61" s="53"/>
      <c r="AG61" s="53"/>
      <c r="AH61" s="53"/>
      <c r="AI61" s="53"/>
      <c r="AJ61" s="53"/>
      <c r="AK61" s="53"/>
      <c r="AL61" s="53"/>
      <c r="AM61" s="53"/>
      <c r="AN61" s="53"/>
      <c r="AO61" s="53"/>
      <c r="AP61" s="53"/>
      <c r="AQ61" s="53"/>
      <c r="AR61" s="53"/>
      <c r="AS61" s="53"/>
    </row>
    <row r="62" spans="1:45" ht="15" customHeight="1" x14ac:dyDescent="0.3">
      <c r="A62" s="52"/>
      <c r="B62" s="53" t="s">
        <v>88</v>
      </c>
      <c r="C62" s="54"/>
      <c r="D62" s="55"/>
      <c r="E62" s="184"/>
      <c r="F62" s="197"/>
      <c r="G62" s="197"/>
      <c r="H62" s="197"/>
      <c r="I62" s="197"/>
      <c r="U62" s="53"/>
      <c r="V62" s="53"/>
      <c r="W62" s="53"/>
      <c r="X62" s="53"/>
      <c r="Y62" s="53"/>
      <c r="Z62" s="53"/>
      <c r="AA62" s="53"/>
      <c r="AB62" s="53"/>
      <c r="AC62" s="53"/>
      <c r="AD62" s="53"/>
      <c r="AE62" s="53"/>
      <c r="AF62" s="53"/>
      <c r="AG62" s="53"/>
      <c r="AH62" s="53"/>
      <c r="AI62" s="53"/>
      <c r="AJ62" s="53"/>
      <c r="AK62" s="53"/>
      <c r="AL62" s="53"/>
      <c r="AM62" s="53"/>
      <c r="AN62" s="53"/>
      <c r="AO62" s="53"/>
      <c r="AP62" s="53"/>
      <c r="AQ62" s="53"/>
      <c r="AR62" s="53"/>
      <c r="AS62" s="53"/>
    </row>
    <row r="63" spans="1:45" ht="15" customHeight="1" x14ac:dyDescent="0.3">
      <c r="A63" s="52"/>
      <c r="B63" s="53"/>
      <c r="C63" s="54"/>
      <c r="D63" s="55"/>
      <c r="E63" s="184" t="s">
        <v>89</v>
      </c>
      <c r="F63" s="76">
        <v>120000</v>
      </c>
      <c r="G63" s="184" t="s">
        <v>37</v>
      </c>
      <c r="H63" s="36" t="str">
        <f xml:space="preserve"> Sources!I$8</f>
        <v>IV</v>
      </c>
      <c r="I63" s="36"/>
      <c r="U63" s="53"/>
      <c r="V63" s="53"/>
      <c r="W63" s="53"/>
      <c r="X63" s="53"/>
      <c r="Y63" s="53"/>
      <c r="Z63" s="53"/>
      <c r="AA63" s="53"/>
      <c r="AB63" s="53"/>
      <c r="AC63" s="53"/>
      <c r="AD63" s="53"/>
      <c r="AE63" s="53"/>
      <c r="AF63" s="53"/>
      <c r="AG63" s="53"/>
      <c r="AH63" s="53"/>
      <c r="AI63" s="53"/>
      <c r="AJ63" s="53"/>
      <c r="AK63" s="53"/>
      <c r="AL63" s="53"/>
      <c r="AM63" s="53"/>
      <c r="AN63" s="53"/>
      <c r="AO63" s="53"/>
      <c r="AP63" s="53"/>
      <c r="AQ63" s="53"/>
      <c r="AR63" s="53"/>
      <c r="AS63" s="53"/>
    </row>
    <row r="64" spans="1:45" ht="15" customHeight="1" x14ac:dyDescent="0.3">
      <c r="A64" s="52"/>
      <c r="B64" s="53"/>
      <c r="C64" s="54"/>
      <c r="D64" s="55"/>
      <c r="E64" s="184" t="s">
        <v>90</v>
      </c>
      <c r="F64" s="79">
        <v>3000</v>
      </c>
      <c r="G64" s="184" t="s">
        <v>37</v>
      </c>
      <c r="H64" s="36" t="str">
        <f xml:space="preserve"> Sources!I$8</f>
        <v>IV</v>
      </c>
      <c r="I64" s="36"/>
      <c r="J64" s="61"/>
      <c r="U64" s="53"/>
      <c r="V64" s="53"/>
      <c r="W64" s="53"/>
      <c r="X64" s="53"/>
      <c r="Y64" s="53"/>
      <c r="Z64" s="53"/>
      <c r="AA64" s="53"/>
      <c r="AB64" s="53"/>
      <c r="AC64" s="53"/>
      <c r="AD64" s="53"/>
      <c r="AE64" s="53"/>
      <c r="AF64" s="53"/>
      <c r="AG64" s="53"/>
      <c r="AH64" s="53"/>
      <c r="AI64" s="53"/>
      <c r="AJ64" s="53"/>
      <c r="AK64" s="53"/>
      <c r="AL64" s="53"/>
      <c r="AM64" s="53"/>
      <c r="AN64" s="53"/>
      <c r="AO64" s="53"/>
      <c r="AP64" s="53"/>
      <c r="AQ64" s="53"/>
      <c r="AR64" s="53"/>
      <c r="AS64" s="53"/>
    </row>
    <row r="65" spans="1:45" ht="15" customHeight="1" x14ac:dyDescent="0.3">
      <c r="A65" s="52"/>
      <c r="B65" s="53"/>
      <c r="C65" s="54"/>
      <c r="D65" s="55"/>
      <c r="E65" s="184"/>
      <c r="F65" s="198"/>
      <c r="G65" s="184"/>
      <c r="H65" s="36"/>
      <c r="I65" s="36"/>
      <c r="U65" s="53"/>
      <c r="V65" s="53"/>
      <c r="W65" s="53"/>
      <c r="X65" s="53"/>
      <c r="Y65" s="53"/>
      <c r="Z65" s="53"/>
      <c r="AA65" s="53"/>
      <c r="AB65" s="53"/>
      <c r="AC65" s="53"/>
      <c r="AD65" s="53"/>
      <c r="AE65" s="53"/>
      <c r="AF65" s="53"/>
      <c r="AG65" s="53"/>
      <c r="AH65" s="53"/>
      <c r="AI65" s="53"/>
      <c r="AJ65" s="53"/>
      <c r="AK65" s="53"/>
      <c r="AL65" s="53"/>
      <c r="AM65" s="53"/>
      <c r="AN65" s="53"/>
      <c r="AO65" s="53"/>
      <c r="AP65" s="53"/>
      <c r="AQ65" s="53"/>
      <c r="AR65" s="53"/>
      <c r="AS65" s="53"/>
    </row>
    <row r="66" spans="1:45" ht="15" customHeight="1" x14ac:dyDescent="0.3">
      <c r="A66" s="52"/>
      <c r="B66" s="53"/>
      <c r="C66" s="54"/>
      <c r="D66" s="55"/>
      <c r="E66" s="184" t="s">
        <v>98</v>
      </c>
      <c r="F66" s="198"/>
      <c r="G66" s="184"/>
      <c r="H66" s="183" t="str">
        <f xml:space="preserve"> Sources!I$13</f>
        <v>IX</v>
      </c>
      <c r="I66" s="183"/>
      <c r="K66" s="75"/>
      <c r="L66" s="75"/>
      <c r="M66" s="75"/>
      <c r="N66" s="75"/>
      <c r="O66" s="75"/>
      <c r="P66" s="75"/>
      <c r="Q66" s="75"/>
      <c r="R66" s="75"/>
      <c r="S66" s="75"/>
      <c r="T66" s="75"/>
      <c r="U66" s="75"/>
      <c r="V66" s="75"/>
      <c r="W66" s="75"/>
      <c r="X66" s="75"/>
      <c r="Y66" s="75"/>
      <c r="Z66" s="75"/>
      <c r="AA66" s="60">
        <v>127000</v>
      </c>
      <c r="AB66" s="60">
        <v>126000</v>
      </c>
      <c r="AC66" s="60">
        <v>128000</v>
      </c>
      <c r="AD66" s="75"/>
      <c r="AE66" s="75"/>
      <c r="AF66" s="75"/>
      <c r="AG66" s="75"/>
      <c r="AH66" s="75"/>
      <c r="AI66" s="75"/>
      <c r="AJ66" s="75"/>
      <c r="AK66" s="75"/>
      <c r="AL66" s="75"/>
      <c r="AM66" s="75"/>
      <c r="AN66" s="75"/>
      <c r="AO66" s="75"/>
      <c r="AP66" s="75"/>
      <c r="AQ66" s="75"/>
      <c r="AR66" s="75"/>
      <c r="AS66" s="75"/>
    </row>
    <row r="67" spans="1:45" ht="15" customHeight="1" x14ac:dyDescent="0.3">
      <c r="A67" s="97"/>
      <c r="B67" s="97"/>
      <c r="C67" s="98"/>
      <c r="D67" s="99"/>
      <c r="E67" s="184" t="s">
        <v>100</v>
      </c>
      <c r="F67" s="198">
        <f>AVERAGE(U66:AP66)</f>
        <v>127000</v>
      </c>
      <c r="G67" s="226"/>
      <c r="H67" s="34"/>
      <c r="I67" s="34"/>
      <c r="K67" s="227"/>
      <c r="L67" s="227"/>
      <c r="M67" s="227"/>
      <c r="N67" s="227"/>
      <c r="O67" s="227"/>
      <c r="P67" s="227"/>
      <c r="Q67" s="227"/>
      <c r="R67" s="227"/>
      <c r="S67" s="227"/>
      <c r="T67" s="227"/>
      <c r="U67" s="227"/>
      <c r="V67" s="227"/>
      <c r="W67" s="227"/>
      <c r="X67" s="227"/>
      <c r="Y67" s="227"/>
      <c r="Z67" s="227"/>
      <c r="AA67" s="228"/>
      <c r="AB67" s="228"/>
      <c r="AC67" s="228"/>
      <c r="AD67" s="227"/>
      <c r="AE67" s="227"/>
      <c r="AF67" s="227"/>
      <c r="AG67" s="227"/>
      <c r="AH67" s="227"/>
      <c r="AI67" s="227"/>
      <c r="AJ67" s="227"/>
      <c r="AK67" s="227"/>
      <c r="AL67" s="227"/>
      <c r="AM67" s="227"/>
      <c r="AN67" s="227"/>
      <c r="AO67" s="227"/>
      <c r="AP67" s="227"/>
      <c r="AQ67" s="227"/>
      <c r="AR67" s="227"/>
      <c r="AS67" s="227"/>
    </row>
    <row r="68" spans="1:45" ht="15" customHeight="1" x14ac:dyDescent="0.3">
      <c r="A68" s="97"/>
      <c r="B68" s="97"/>
      <c r="C68" s="98"/>
      <c r="D68" s="99"/>
      <c r="E68" s="184" t="s">
        <v>99</v>
      </c>
      <c r="F68" s="198"/>
      <c r="G68" s="184"/>
      <c r="H68" s="183" t="str">
        <f xml:space="preserve"> Sources!I$13</f>
        <v>IX</v>
      </c>
      <c r="I68" s="183"/>
      <c r="J68" s="61"/>
      <c r="K68" s="75"/>
      <c r="L68" s="75"/>
      <c r="M68" s="75"/>
      <c r="N68" s="75"/>
      <c r="O68" s="75"/>
      <c r="P68" s="75"/>
      <c r="Q68" s="75"/>
      <c r="R68" s="75"/>
      <c r="S68" s="75"/>
      <c r="T68" s="75"/>
      <c r="U68" s="75"/>
      <c r="V68" s="75"/>
      <c r="W68" s="75"/>
      <c r="X68" s="75"/>
      <c r="Y68" s="75"/>
      <c r="Z68" s="75"/>
      <c r="AA68" s="60">
        <v>1973</v>
      </c>
      <c r="AB68" s="60">
        <v>2387</v>
      </c>
      <c r="AC68" s="60">
        <v>2305</v>
      </c>
      <c r="AD68" s="75"/>
      <c r="AE68" s="75"/>
      <c r="AF68" s="75"/>
      <c r="AG68" s="75"/>
      <c r="AH68" s="75"/>
      <c r="AI68" s="75"/>
      <c r="AJ68" s="75"/>
      <c r="AK68" s="75"/>
      <c r="AL68" s="75"/>
      <c r="AM68" s="75"/>
      <c r="AN68" s="75"/>
      <c r="AO68" s="75"/>
      <c r="AP68" s="114"/>
      <c r="AQ68" s="114"/>
      <c r="AR68" s="114"/>
      <c r="AS68" s="114"/>
    </row>
    <row r="69" spans="1:45" ht="15" customHeight="1" x14ac:dyDescent="0.3">
      <c r="A69" s="52"/>
      <c r="B69" s="53"/>
      <c r="C69" s="54"/>
      <c r="D69" s="55"/>
      <c r="E69" s="184" t="s">
        <v>101</v>
      </c>
      <c r="F69" s="198">
        <f>AVERAGE(U68:AP68)</f>
        <v>2221.6666666666665</v>
      </c>
      <c r="G69" s="184"/>
      <c r="H69" s="36"/>
      <c r="I69" s="36"/>
      <c r="U69" s="80"/>
      <c r="V69" s="80"/>
      <c r="W69" s="80"/>
      <c r="X69" s="80"/>
      <c r="Y69" s="80"/>
      <c r="Z69" s="80"/>
      <c r="AA69" s="58"/>
      <c r="AB69" s="58"/>
      <c r="AC69" s="58"/>
      <c r="AD69" s="80"/>
      <c r="AE69" s="80"/>
      <c r="AF69" s="80"/>
      <c r="AG69" s="80"/>
      <c r="AH69" s="80"/>
      <c r="AI69" s="80"/>
      <c r="AJ69" s="80"/>
      <c r="AK69" s="80"/>
      <c r="AL69" s="80"/>
      <c r="AM69" s="80"/>
      <c r="AN69" s="80"/>
      <c r="AO69" s="80"/>
      <c r="AP69" s="80"/>
      <c r="AQ69" s="80"/>
      <c r="AR69" s="80"/>
      <c r="AS69" s="80"/>
    </row>
    <row r="70" spans="1:45" ht="15" customHeight="1" x14ac:dyDescent="0.3">
      <c r="A70" s="52"/>
      <c r="B70" s="53"/>
      <c r="C70" s="54"/>
      <c r="D70" s="55"/>
      <c r="E70" s="184"/>
      <c r="F70" s="198"/>
      <c r="G70" s="184"/>
      <c r="H70" s="36"/>
      <c r="I70" s="36"/>
      <c r="U70" s="80"/>
      <c r="V70" s="80"/>
      <c r="W70" s="80"/>
      <c r="X70" s="80"/>
      <c r="Y70" s="80"/>
      <c r="Z70" s="80"/>
      <c r="AA70" s="58"/>
      <c r="AB70" s="58"/>
      <c r="AC70" s="58"/>
      <c r="AD70" s="80"/>
      <c r="AE70" s="80"/>
      <c r="AF70" s="80"/>
      <c r="AG70" s="80"/>
      <c r="AH70" s="80"/>
      <c r="AI70" s="80"/>
      <c r="AJ70" s="80"/>
      <c r="AK70" s="80"/>
      <c r="AL70" s="80"/>
      <c r="AM70" s="80"/>
      <c r="AN70" s="80"/>
      <c r="AO70" s="80"/>
      <c r="AP70" s="80"/>
      <c r="AQ70" s="80"/>
      <c r="AR70" s="80"/>
      <c r="AS70" s="80"/>
    </row>
    <row r="71" spans="1:45" ht="15" customHeight="1" x14ac:dyDescent="0.3">
      <c r="A71" s="97"/>
      <c r="B71" s="97"/>
      <c r="C71" s="98"/>
      <c r="D71" s="99"/>
      <c r="E71" s="184" t="s">
        <v>122</v>
      </c>
      <c r="F71" s="79">
        <v>110000</v>
      </c>
      <c r="G71" s="184" t="s">
        <v>37</v>
      </c>
      <c r="H71" s="183" t="str">
        <f xml:space="preserve"> Sources!I$13</f>
        <v>IX</v>
      </c>
      <c r="I71" s="183"/>
      <c r="K71" s="70"/>
      <c r="L71" s="70"/>
      <c r="M71" s="70"/>
      <c r="N71" s="70"/>
      <c r="O71" s="70"/>
      <c r="P71" s="70"/>
      <c r="Q71" s="70"/>
      <c r="R71" s="70"/>
      <c r="S71" s="70"/>
      <c r="T71" s="70"/>
      <c r="U71" s="80"/>
      <c r="V71" s="80"/>
      <c r="W71" s="80"/>
      <c r="X71" s="80"/>
      <c r="Y71" s="80"/>
      <c r="Z71" s="80"/>
      <c r="AA71" s="58"/>
      <c r="AB71" s="58"/>
      <c r="AC71" s="58"/>
      <c r="AD71" s="80"/>
      <c r="AE71" s="80"/>
      <c r="AF71" s="80"/>
      <c r="AG71" s="80"/>
      <c r="AH71" s="80"/>
      <c r="AI71" s="80"/>
      <c r="AJ71" s="80"/>
      <c r="AK71" s="80"/>
      <c r="AL71" s="80"/>
      <c r="AM71" s="80"/>
      <c r="AN71" s="80"/>
      <c r="AO71" s="80"/>
      <c r="AP71" s="101"/>
      <c r="AQ71" s="101"/>
      <c r="AR71" s="101"/>
      <c r="AS71" s="101"/>
    </row>
    <row r="72" spans="1:45" ht="15" customHeight="1" x14ac:dyDescent="0.3">
      <c r="A72" s="97"/>
      <c r="B72" s="97"/>
      <c r="C72" s="98"/>
      <c r="D72" s="99"/>
      <c r="E72" s="184" t="s">
        <v>123</v>
      </c>
      <c r="F72" s="76">
        <v>243</v>
      </c>
      <c r="G72" s="184" t="s">
        <v>37</v>
      </c>
      <c r="H72" s="183" t="str">
        <f xml:space="preserve"> Sources!I$13</f>
        <v>IX</v>
      </c>
      <c r="I72" s="183"/>
      <c r="J72" s="61"/>
      <c r="K72" s="70"/>
      <c r="L72" s="70"/>
      <c r="M72" s="70"/>
      <c r="N72" s="70"/>
      <c r="O72" s="70"/>
      <c r="P72" s="70"/>
      <c r="Q72" s="70"/>
      <c r="R72" s="70"/>
      <c r="S72" s="70"/>
      <c r="T72" s="70"/>
      <c r="U72" s="53"/>
      <c r="V72" s="53"/>
      <c r="W72" s="53"/>
      <c r="X72" s="53"/>
      <c r="Y72" s="53"/>
      <c r="Z72" s="53"/>
      <c r="AA72" s="53"/>
      <c r="AB72" s="53"/>
      <c r="AC72" s="53"/>
      <c r="AD72" s="53"/>
      <c r="AE72" s="53"/>
      <c r="AF72" s="53"/>
      <c r="AG72" s="53"/>
      <c r="AH72" s="53"/>
      <c r="AI72" s="53"/>
      <c r="AJ72" s="53"/>
      <c r="AK72" s="53"/>
      <c r="AL72" s="53"/>
      <c r="AM72" s="53"/>
      <c r="AN72" s="53"/>
      <c r="AO72" s="53"/>
      <c r="AP72" s="97"/>
      <c r="AQ72" s="97"/>
      <c r="AR72" s="97"/>
      <c r="AS72" s="97"/>
    </row>
    <row r="73" spans="1:45" ht="15" customHeight="1" x14ac:dyDescent="0.3">
      <c r="A73" s="97"/>
      <c r="B73" s="97"/>
      <c r="C73" s="98"/>
      <c r="D73" s="99"/>
      <c r="E73" s="184" t="s">
        <v>125</v>
      </c>
      <c r="F73" s="79">
        <v>9</v>
      </c>
      <c r="G73" s="184" t="s">
        <v>124</v>
      </c>
      <c r="H73" s="183" t="str">
        <f xml:space="preserve"> Sources!I$13</f>
        <v>IX</v>
      </c>
      <c r="I73" s="183"/>
      <c r="K73" s="70"/>
      <c r="L73" s="70"/>
      <c r="M73" s="70"/>
      <c r="N73" s="70"/>
      <c r="O73" s="70"/>
      <c r="P73" s="70"/>
      <c r="Q73" s="70"/>
      <c r="R73" s="70"/>
      <c r="S73" s="70"/>
      <c r="T73" s="70"/>
      <c r="U73" s="53"/>
      <c r="V73" s="53"/>
      <c r="W73" s="53"/>
      <c r="X73" s="53"/>
      <c r="Y73" s="53"/>
      <c r="Z73" s="53"/>
      <c r="AA73" s="53"/>
      <c r="AB73" s="53"/>
      <c r="AC73" s="53"/>
      <c r="AD73" s="53"/>
      <c r="AE73" s="53"/>
      <c r="AF73" s="53"/>
      <c r="AG73" s="53"/>
      <c r="AH73" s="53"/>
      <c r="AI73" s="53"/>
      <c r="AJ73" s="53"/>
      <c r="AK73" s="53"/>
      <c r="AL73" s="53"/>
      <c r="AM73" s="53"/>
      <c r="AN73" s="53"/>
      <c r="AO73" s="53"/>
      <c r="AP73" s="97"/>
      <c r="AQ73" s="97"/>
      <c r="AR73" s="97"/>
      <c r="AS73" s="97"/>
    </row>
    <row r="74" spans="1:45" ht="15" customHeight="1" x14ac:dyDescent="0.3">
      <c r="A74" s="52"/>
      <c r="B74" s="53"/>
      <c r="C74" s="54"/>
      <c r="D74" s="55"/>
      <c r="E74" s="184"/>
      <c r="F74" s="198"/>
      <c r="G74" s="184"/>
      <c r="H74" s="197"/>
      <c r="I74" s="197"/>
      <c r="U74" s="53"/>
      <c r="V74" s="53"/>
      <c r="W74" s="53"/>
      <c r="X74" s="53"/>
      <c r="Y74" s="53"/>
      <c r="Z74" s="53"/>
      <c r="AA74" s="53"/>
      <c r="AB74" s="53"/>
      <c r="AC74" s="53"/>
      <c r="AD74" s="53"/>
      <c r="AE74" s="53"/>
      <c r="AF74" s="53"/>
      <c r="AG74" s="53"/>
      <c r="AH74" s="53"/>
      <c r="AI74" s="53"/>
      <c r="AJ74" s="53"/>
      <c r="AK74" s="53"/>
      <c r="AL74" s="53"/>
      <c r="AM74" s="53"/>
      <c r="AN74" s="53"/>
      <c r="AO74" s="53"/>
      <c r="AP74" s="53"/>
      <c r="AQ74" s="53"/>
      <c r="AR74" s="53"/>
      <c r="AS74" s="53"/>
    </row>
    <row r="75" spans="1:45" ht="15" customHeight="1" x14ac:dyDescent="0.3">
      <c r="A75" s="52"/>
      <c r="B75" s="53"/>
      <c r="C75" s="54"/>
      <c r="D75" s="55"/>
      <c r="E75" s="184" t="s">
        <v>129</v>
      </c>
      <c r="F75" s="198">
        <f>((F53*10^6) - F71) / (F73-1)</f>
        <v>164961.875</v>
      </c>
      <c r="G75" s="184" t="s">
        <v>37</v>
      </c>
      <c r="H75" s="197"/>
      <c r="I75" s="197"/>
      <c r="U75" s="53"/>
      <c r="V75" s="53"/>
      <c r="W75" s="53"/>
      <c r="X75" s="53"/>
      <c r="Y75" s="53"/>
      <c r="Z75" s="53"/>
      <c r="AA75" s="53"/>
      <c r="AB75" s="53"/>
      <c r="AC75" s="53"/>
      <c r="AD75" s="53"/>
      <c r="AE75" s="53"/>
      <c r="AF75" s="53"/>
      <c r="AG75" s="53"/>
      <c r="AH75" s="53"/>
      <c r="AI75" s="53"/>
      <c r="AJ75" s="53"/>
      <c r="AK75" s="53"/>
      <c r="AL75" s="53"/>
      <c r="AM75" s="53"/>
      <c r="AN75" s="53"/>
      <c r="AO75" s="53"/>
      <c r="AP75" s="53"/>
      <c r="AQ75" s="53"/>
      <c r="AR75" s="53"/>
      <c r="AS75" s="53"/>
    </row>
    <row r="76" spans="1:45" ht="15" customHeight="1" x14ac:dyDescent="0.3">
      <c r="A76" s="52"/>
      <c r="B76" s="53"/>
      <c r="C76" s="54"/>
      <c r="D76" s="55"/>
      <c r="E76" s="184" t="s">
        <v>130</v>
      </c>
      <c r="F76" s="198">
        <f>((F55*10^6) - F72) / (F73-1)</f>
        <v>4244.625</v>
      </c>
      <c r="G76" s="184" t="s">
        <v>37</v>
      </c>
      <c r="H76" s="197"/>
      <c r="I76" s="197"/>
      <c r="J76" s="61"/>
      <c r="U76" s="53"/>
      <c r="V76" s="53"/>
      <c r="W76" s="53"/>
      <c r="X76" s="53"/>
      <c r="Y76" s="53"/>
      <c r="Z76" s="53"/>
      <c r="AA76" s="53"/>
      <c r="AB76" s="53"/>
      <c r="AC76" s="53"/>
      <c r="AD76" s="53"/>
      <c r="AE76" s="53"/>
      <c r="AF76" s="53"/>
      <c r="AG76" s="53"/>
      <c r="AH76" s="53"/>
      <c r="AI76" s="53"/>
      <c r="AJ76" s="53"/>
      <c r="AK76" s="53"/>
      <c r="AL76" s="53"/>
      <c r="AM76" s="53"/>
      <c r="AN76" s="53"/>
      <c r="AO76" s="53"/>
      <c r="AP76" s="53"/>
      <c r="AQ76" s="53"/>
      <c r="AR76" s="53"/>
      <c r="AS76" s="53"/>
    </row>
    <row r="77" spans="1:45" ht="15" customHeight="1" x14ac:dyDescent="0.3">
      <c r="A77" s="52"/>
      <c r="B77" s="53"/>
      <c r="C77" s="54"/>
      <c r="D77" s="55"/>
      <c r="E77" s="184"/>
      <c r="F77" s="198"/>
      <c r="G77" s="184"/>
      <c r="H77" s="197"/>
      <c r="I77" s="197"/>
      <c r="V77" s="53"/>
      <c r="W77" s="53"/>
      <c r="X77" s="53"/>
      <c r="Y77" s="53"/>
      <c r="Z77" s="53"/>
      <c r="AA77" s="53"/>
      <c r="AB77" s="53"/>
      <c r="AC77" s="53"/>
      <c r="AD77" s="53"/>
      <c r="AE77" s="53"/>
      <c r="AF77" s="53"/>
      <c r="AG77" s="53"/>
      <c r="AH77" s="53"/>
      <c r="AI77" s="53"/>
      <c r="AJ77" s="53"/>
      <c r="AK77" s="53"/>
      <c r="AL77" s="53"/>
      <c r="AM77" s="53"/>
      <c r="AN77" s="53"/>
      <c r="AO77" s="53"/>
      <c r="AP77" s="53"/>
      <c r="AQ77" s="53"/>
      <c r="AR77" s="53"/>
      <c r="AS77" s="53"/>
    </row>
    <row r="78" spans="1:45" ht="15" customHeight="1" x14ac:dyDescent="0.3">
      <c r="A78" s="52"/>
      <c r="B78" s="53"/>
      <c r="C78" s="54"/>
      <c r="D78" s="55"/>
      <c r="E78" s="184" t="s">
        <v>132</v>
      </c>
      <c r="F78" s="198">
        <f>((F57*10^6) - F71) / (F73-1)</f>
        <v>88277.25</v>
      </c>
      <c r="G78" s="184" t="s">
        <v>37</v>
      </c>
      <c r="H78" s="197"/>
      <c r="I78" s="197"/>
      <c r="V78" s="53"/>
      <c r="W78" s="53"/>
      <c r="X78" s="53"/>
      <c r="Y78" s="53"/>
      <c r="Z78" s="53"/>
      <c r="AA78" s="53"/>
      <c r="AB78" s="53"/>
      <c r="AC78" s="53"/>
      <c r="AD78" s="53"/>
      <c r="AE78" s="53"/>
      <c r="AF78" s="53"/>
      <c r="AG78" s="53"/>
      <c r="AH78" s="53"/>
      <c r="AI78" s="53"/>
      <c r="AJ78" s="53"/>
      <c r="AK78" s="53"/>
      <c r="AL78" s="53"/>
      <c r="AM78" s="53"/>
      <c r="AN78" s="53"/>
      <c r="AO78" s="53"/>
      <c r="AP78" s="53"/>
      <c r="AQ78" s="53"/>
      <c r="AR78" s="53"/>
      <c r="AS78" s="53"/>
    </row>
    <row r="79" spans="1:45" ht="15" customHeight="1" x14ac:dyDescent="0.3">
      <c r="A79" s="52"/>
      <c r="B79" s="53"/>
      <c r="C79" s="54"/>
      <c r="D79" s="55"/>
      <c r="E79" s="184"/>
      <c r="F79" s="198"/>
      <c r="G79" s="184"/>
      <c r="H79" s="197"/>
      <c r="I79" s="197"/>
      <c r="U79" s="53"/>
      <c r="V79" s="53"/>
      <c r="W79" s="53"/>
      <c r="X79" s="53"/>
      <c r="Y79" s="53"/>
      <c r="Z79" s="53"/>
      <c r="AA79" s="53"/>
      <c r="AB79" s="53"/>
      <c r="AC79" s="53"/>
      <c r="AD79" s="53"/>
      <c r="AE79" s="53"/>
      <c r="AF79" s="53"/>
      <c r="AG79" s="53"/>
      <c r="AH79" s="53"/>
      <c r="AI79" s="53"/>
      <c r="AJ79" s="53"/>
      <c r="AK79" s="53"/>
      <c r="AL79" s="53"/>
      <c r="AM79" s="53"/>
      <c r="AN79" s="53"/>
      <c r="AO79" s="53"/>
      <c r="AP79" s="53"/>
      <c r="AQ79" s="53"/>
      <c r="AR79" s="53"/>
      <c r="AS79" s="53"/>
    </row>
    <row r="80" spans="1:45" ht="15" customHeight="1" x14ac:dyDescent="0.3">
      <c r="A80" s="52"/>
      <c r="B80" s="53" t="s">
        <v>36</v>
      </c>
      <c r="C80" s="54"/>
      <c r="D80" s="55"/>
      <c r="E80" s="184"/>
      <c r="F80" s="197"/>
      <c r="G80" s="197"/>
      <c r="H80" s="197"/>
      <c r="I80" s="197"/>
      <c r="J80" s="61"/>
      <c r="U80" s="53"/>
      <c r="V80" s="53"/>
      <c r="W80" s="53"/>
      <c r="X80" s="53"/>
      <c r="Y80" s="53"/>
      <c r="Z80" s="53"/>
      <c r="AA80" s="53"/>
      <c r="AB80" s="53"/>
      <c r="AC80" s="53"/>
      <c r="AD80" s="53"/>
      <c r="AE80" s="53"/>
      <c r="AF80" s="53"/>
      <c r="AG80" s="53"/>
      <c r="AH80" s="53"/>
      <c r="AI80" s="53"/>
      <c r="AJ80" s="53"/>
      <c r="AK80" s="53"/>
      <c r="AL80" s="53"/>
      <c r="AM80" s="53"/>
      <c r="AN80" s="53"/>
      <c r="AO80" s="53"/>
      <c r="AP80" s="53"/>
      <c r="AQ80" s="53"/>
      <c r="AR80" s="53"/>
      <c r="AS80" s="53"/>
    </row>
    <row r="81" spans="1:45" ht="15" customHeight="1" x14ac:dyDescent="0.3">
      <c r="D81" s="20"/>
      <c r="E81" s="142" t="s">
        <v>64</v>
      </c>
      <c r="F81" s="142"/>
      <c r="G81" s="142" t="s">
        <v>38</v>
      </c>
      <c r="H81" s="183" t="str">
        <f xml:space="preserve"> Sources!I$5</f>
        <v>I</v>
      </c>
      <c r="I81" s="183"/>
      <c r="K81" s="60"/>
      <c r="L81" s="60"/>
      <c r="M81" s="60"/>
      <c r="N81" s="60"/>
      <c r="O81" s="60"/>
      <c r="P81" s="60"/>
      <c r="Q81" s="60"/>
      <c r="R81" s="60"/>
      <c r="S81" s="60"/>
      <c r="T81" s="60"/>
      <c r="U81" s="60"/>
      <c r="V81" s="60"/>
      <c r="W81" s="60"/>
      <c r="X81" s="60"/>
      <c r="Y81" s="60"/>
      <c r="Z81" s="60"/>
      <c r="AA81" s="60"/>
      <c r="AB81" s="60">
        <v>129150.83</v>
      </c>
      <c r="AC81" s="217">
        <v>86859.55</v>
      </c>
      <c r="AD81" s="60"/>
      <c r="AE81" s="60"/>
      <c r="AF81" s="60"/>
      <c r="AG81" s="60"/>
      <c r="AH81" s="60"/>
      <c r="AI81" s="60"/>
      <c r="AJ81" s="60"/>
      <c r="AK81" s="60"/>
      <c r="AL81" s="60"/>
      <c r="AM81" s="60"/>
      <c r="AN81" s="60"/>
      <c r="AO81" s="60"/>
      <c r="AP81" s="56"/>
      <c r="AQ81" s="56"/>
      <c r="AR81" s="56"/>
      <c r="AS81" s="56"/>
    </row>
    <row r="82" spans="1:45" ht="15" customHeight="1" x14ac:dyDescent="0.3">
      <c r="E82" s="142" t="s">
        <v>63</v>
      </c>
      <c r="F82" s="142"/>
      <c r="G82" s="142" t="s">
        <v>38</v>
      </c>
      <c r="H82" s="183" t="str">
        <f xml:space="preserve"> Sources!I$5</f>
        <v>I</v>
      </c>
      <c r="I82" s="183"/>
      <c r="K82" s="60"/>
      <c r="L82" s="60"/>
      <c r="M82" s="60"/>
      <c r="N82" s="60"/>
      <c r="O82" s="60"/>
      <c r="P82" s="60"/>
      <c r="Q82" s="60"/>
      <c r="R82" s="60"/>
      <c r="S82" s="60"/>
      <c r="T82" s="60"/>
      <c r="U82" s="60"/>
      <c r="V82" s="60"/>
      <c r="W82" s="60"/>
      <c r="X82" s="60"/>
      <c r="Y82" s="60"/>
      <c r="Z82" s="217">
        <v>56947.839999999997</v>
      </c>
      <c r="AA82" s="217">
        <v>72904.14</v>
      </c>
      <c r="AB82" s="217">
        <v>72558.63</v>
      </c>
      <c r="AC82" s="60">
        <v>52515.19</v>
      </c>
      <c r="AD82" s="60"/>
      <c r="AE82" s="60"/>
      <c r="AF82" s="60"/>
      <c r="AG82" s="60"/>
      <c r="AH82" s="60"/>
      <c r="AI82" s="60"/>
      <c r="AJ82" s="60"/>
      <c r="AK82" s="60"/>
      <c r="AL82" s="60"/>
      <c r="AM82" s="60"/>
      <c r="AN82" s="60"/>
      <c r="AO82" s="60"/>
      <c r="AP82" s="56"/>
      <c r="AQ82" s="56"/>
      <c r="AR82" s="56"/>
      <c r="AS82" s="56"/>
    </row>
    <row r="83" spans="1:45" ht="15" customHeight="1" x14ac:dyDescent="0.3">
      <c r="D83" s="20"/>
      <c r="E83" s="142" t="s">
        <v>65</v>
      </c>
      <c r="F83" s="142"/>
      <c r="G83" s="142" t="s">
        <v>38</v>
      </c>
      <c r="H83" s="183" t="str">
        <f xml:space="preserve"> Sources!I$5</f>
        <v>I</v>
      </c>
      <c r="I83" s="183"/>
      <c r="K83" s="60"/>
      <c r="L83" s="60"/>
      <c r="M83" s="60"/>
      <c r="N83" s="60"/>
      <c r="O83" s="60"/>
      <c r="P83" s="60"/>
      <c r="Q83" s="60"/>
      <c r="R83" s="60"/>
      <c r="S83" s="60"/>
      <c r="T83" s="60"/>
      <c r="U83" s="60"/>
      <c r="V83" s="60"/>
      <c r="W83" s="60"/>
      <c r="X83" s="60"/>
      <c r="Y83" s="60"/>
      <c r="Z83" s="60"/>
      <c r="AA83" s="60"/>
      <c r="AB83" s="60">
        <v>2179.73</v>
      </c>
      <c r="AC83" s="60">
        <v>778.15</v>
      </c>
      <c r="AD83" s="60"/>
      <c r="AE83" s="60"/>
      <c r="AF83" s="60"/>
      <c r="AG83" s="60"/>
      <c r="AH83" s="60"/>
      <c r="AI83" s="60"/>
      <c r="AJ83" s="60"/>
      <c r="AK83" s="60"/>
      <c r="AL83" s="60"/>
      <c r="AM83" s="60"/>
      <c r="AN83" s="60"/>
      <c r="AO83" s="60"/>
      <c r="AP83" s="56"/>
      <c r="AQ83" s="56"/>
      <c r="AR83" s="56"/>
      <c r="AS83" s="56"/>
    </row>
    <row r="84" spans="1:45" ht="15" customHeight="1" x14ac:dyDescent="0.3">
      <c r="D84" s="20"/>
      <c r="E84" s="142"/>
      <c r="F84" s="142"/>
      <c r="G84" s="142"/>
      <c r="H84" s="183"/>
      <c r="I84" s="183"/>
      <c r="J84" s="61"/>
      <c r="K84" s="58"/>
      <c r="L84" s="58"/>
      <c r="M84" s="58"/>
      <c r="N84" s="58"/>
      <c r="O84" s="58"/>
      <c r="P84" s="58"/>
      <c r="Q84" s="58"/>
      <c r="R84" s="58"/>
      <c r="S84" s="58"/>
      <c r="T84" s="58"/>
      <c r="U84" s="58"/>
      <c r="V84" s="58"/>
      <c r="W84" s="58"/>
      <c r="X84" s="58"/>
      <c r="Y84" s="58"/>
      <c r="Z84" s="58"/>
      <c r="AA84" s="58"/>
      <c r="AB84" s="58"/>
      <c r="AC84" s="58"/>
      <c r="AD84" s="58"/>
      <c r="AE84" s="58"/>
      <c r="AF84" s="58"/>
      <c r="AG84" s="58"/>
      <c r="AH84" s="58"/>
      <c r="AI84" s="58"/>
      <c r="AJ84" s="58"/>
      <c r="AK84" s="58"/>
      <c r="AL84" s="58"/>
      <c r="AM84" s="58"/>
      <c r="AN84" s="58"/>
      <c r="AO84" s="58"/>
      <c r="AP84" s="77"/>
      <c r="AQ84" s="77"/>
      <c r="AR84" s="77"/>
      <c r="AS84" s="77"/>
    </row>
    <row r="85" spans="1:45" ht="15" customHeight="1" x14ac:dyDescent="0.3">
      <c r="D85" s="20"/>
      <c r="E85" s="142" t="s">
        <v>105</v>
      </c>
      <c r="F85" s="142"/>
      <c r="G85" s="142" t="s">
        <v>38</v>
      </c>
      <c r="H85" s="183" t="str">
        <f xml:space="preserve"> Sources!I$19</f>
        <v>XIV</v>
      </c>
      <c r="I85" s="183"/>
      <c r="K85" s="60"/>
      <c r="L85" s="60"/>
      <c r="M85" s="60"/>
      <c r="N85" s="60"/>
      <c r="O85" s="60"/>
      <c r="P85" s="60"/>
      <c r="Q85" s="60"/>
      <c r="R85" s="60"/>
      <c r="S85" s="60"/>
      <c r="T85" s="60"/>
      <c r="U85" s="60"/>
      <c r="V85" s="60"/>
      <c r="W85" s="60">
        <v>48875.353194200005</v>
      </c>
      <c r="X85" s="60">
        <v>77156.183108199999</v>
      </c>
      <c r="Y85" s="60">
        <v>100832.07805564695</v>
      </c>
      <c r="Z85" s="60"/>
      <c r="AA85" s="60"/>
      <c r="AB85" s="60"/>
      <c r="AC85" s="60"/>
      <c r="AD85" s="60"/>
      <c r="AE85" s="60"/>
      <c r="AF85" s="60"/>
      <c r="AG85" s="60"/>
      <c r="AH85" s="60"/>
      <c r="AI85" s="60"/>
      <c r="AJ85" s="60"/>
      <c r="AK85" s="60"/>
      <c r="AL85" s="60"/>
      <c r="AM85" s="60"/>
      <c r="AN85" s="60"/>
      <c r="AO85" s="60"/>
      <c r="AP85" s="56"/>
      <c r="AQ85" s="56"/>
      <c r="AR85" s="56"/>
      <c r="AS85" s="56"/>
    </row>
    <row r="86" spans="1:45" ht="15" customHeight="1" x14ac:dyDescent="0.3">
      <c r="D86" s="20"/>
      <c r="E86" s="142" t="s">
        <v>106</v>
      </c>
      <c r="F86" s="142"/>
      <c r="G86" s="142" t="s">
        <v>38</v>
      </c>
      <c r="H86" s="183" t="str">
        <f xml:space="preserve"> Sources!I$19</f>
        <v>XIV</v>
      </c>
      <c r="I86" s="183"/>
      <c r="K86" s="60"/>
      <c r="L86" s="60"/>
      <c r="M86" s="60"/>
      <c r="N86" s="60"/>
      <c r="O86" s="60"/>
      <c r="P86" s="60"/>
      <c r="Q86" s="60"/>
      <c r="R86" s="60"/>
      <c r="S86" s="60"/>
      <c r="T86" s="60"/>
      <c r="U86" s="60"/>
      <c r="V86" s="60"/>
      <c r="W86" s="60"/>
      <c r="X86" s="60">
        <v>25476.111134099989</v>
      </c>
      <c r="Y86" s="60">
        <v>55196.508797099974</v>
      </c>
      <c r="Z86" s="60"/>
      <c r="AA86" s="60"/>
      <c r="AB86" s="60"/>
      <c r="AC86" s="60"/>
      <c r="AD86" s="60"/>
      <c r="AE86" s="60"/>
      <c r="AF86" s="60"/>
      <c r="AG86" s="60"/>
      <c r="AH86" s="60"/>
      <c r="AI86" s="60"/>
      <c r="AJ86" s="60"/>
      <c r="AK86" s="60"/>
      <c r="AL86" s="60"/>
      <c r="AM86" s="60"/>
      <c r="AN86" s="60"/>
      <c r="AO86" s="60"/>
      <c r="AP86" s="56"/>
      <c r="AQ86" s="56"/>
      <c r="AR86" s="56"/>
      <c r="AS86" s="56"/>
    </row>
    <row r="87" spans="1:45" ht="15" customHeight="1" x14ac:dyDescent="0.3">
      <c r="D87" s="20"/>
      <c r="E87" s="142" t="s">
        <v>112</v>
      </c>
      <c r="F87" s="142"/>
      <c r="G87" s="142" t="s">
        <v>38</v>
      </c>
      <c r="H87" s="183" t="str">
        <f xml:space="preserve"> Sources!I$19</f>
        <v>XIV</v>
      </c>
      <c r="I87" s="183"/>
      <c r="K87" s="60"/>
      <c r="L87" s="60"/>
      <c r="M87" s="60"/>
      <c r="N87" s="60"/>
      <c r="O87" s="60"/>
      <c r="P87" s="60"/>
      <c r="Q87" s="60"/>
      <c r="R87" s="60"/>
      <c r="S87" s="60"/>
      <c r="T87" s="60"/>
      <c r="U87" s="60"/>
      <c r="V87" s="60"/>
      <c r="W87" s="60">
        <v>13914.274682200001</v>
      </c>
      <c r="X87" s="60">
        <v>15833.914959200001</v>
      </c>
      <c r="Y87" s="60">
        <v>11934.314420646999</v>
      </c>
      <c r="Z87" s="60"/>
      <c r="AA87" s="60"/>
      <c r="AB87" s="60"/>
      <c r="AC87" s="60"/>
      <c r="AD87" s="60"/>
      <c r="AE87" s="60"/>
      <c r="AF87" s="60"/>
      <c r="AG87" s="60"/>
      <c r="AH87" s="60"/>
      <c r="AI87" s="60"/>
      <c r="AJ87" s="60"/>
      <c r="AK87" s="60"/>
      <c r="AL87" s="60"/>
      <c r="AM87" s="60"/>
      <c r="AN87" s="60"/>
      <c r="AO87" s="60"/>
      <c r="AP87" s="56"/>
      <c r="AQ87" s="56"/>
      <c r="AR87" s="56"/>
      <c r="AS87" s="56"/>
    </row>
    <row r="88" spans="1:45" ht="15" customHeight="1" x14ac:dyDescent="0.3">
      <c r="D88" s="20"/>
      <c r="E88" s="142" t="s">
        <v>113</v>
      </c>
      <c r="F88" s="142"/>
      <c r="G88" s="142" t="s">
        <v>38</v>
      </c>
      <c r="H88" s="183" t="str">
        <f xml:space="preserve"> Sources!I$19</f>
        <v>XIV</v>
      </c>
      <c r="I88" s="183"/>
      <c r="J88" s="61"/>
      <c r="K88" s="60"/>
      <c r="L88" s="60"/>
      <c r="M88" s="60"/>
      <c r="N88" s="60"/>
      <c r="O88" s="60"/>
      <c r="P88" s="60"/>
      <c r="Q88" s="60"/>
      <c r="R88" s="60"/>
      <c r="S88" s="60"/>
      <c r="T88" s="60"/>
      <c r="U88" s="60"/>
      <c r="V88" s="60"/>
      <c r="W88" s="60">
        <v>31464.845798000002</v>
      </c>
      <c r="X88" s="60">
        <v>32793.025710000009</v>
      </c>
      <c r="Y88" s="60">
        <v>30646.24578719998</v>
      </c>
      <c r="Z88" s="60"/>
      <c r="AA88" s="60"/>
      <c r="AB88" s="60"/>
      <c r="AC88" s="60"/>
      <c r="AD88" s="60"/>
      <c r="AE88" s="60"/>
      <c r="AF88" s="60"/>
      <c r="AG88" s="60"/>
      <c r="AH88" s="60"/>
      <c r="AI88" s="60"/>
      <c r="AJ88" s="60"/>
      <c r="AK88" s="60"/>
      <c r="AL88" s="60"/>
      <c r="AM88" s="60"/>
      <c r="AN88" s="60"/>
      <c r="AO88" s="60"/>
      <c r="AP88" s="56"/>
      <c r="AQ88" s="56"/>
      <c r="AR88" s="56"/>
      <c r="AS88" s="56"/>
    </row>
    <row r="89" spans="1:45" ht="15" customHeight="1" x14ac:dyDescent="0.3">
      <c r="D89" s="20"/>
      <c r="E89" s="142" t="s">
        <v>114</v>
      </c>
      <c r="F89" s="142"/>
      <c r="G89" s="142" t="s">
        <v>38</v>
      </c>
      <c r="H89" s="183" t="str">
        <f xml:space="preserve"> Sources!I$19</f>
        <v>XIV</v>
      </c>
      <c r="I89" s="183"/>
      <c r="K89" s="60"/>
      <c r="L89" s="60"/>
      <c r="M89" s="60"/>
      <c r="N89" s="60"/>
      <c r="O89" s="60"/>
      <c r="P89" s="60"/>
      <c r="Q89" s="60"/>
      <c r="R89" s="60"/>
      <c r="S89" s="60"/>
      <c r="T89" s="60"/>
      <c r="U89" s="60"/>
      <c r="V89" s="60"/>
      <c r="W89" s="60">
        <v>3496.2327139999998</v>
      </c>
      <c r="X89" s="60">
        <v>3053.1313048999991</v>
      </c>
      <c r="Y89" s="60">
        <v>3055.0090507000004</v>
      </c>
      <c r="Z89" s="60"/>
      <c r="AA89" s="60"/>
      <c r="AB89" s="60"/>
      <c r="AC89" s="60"/>
      <c r="AD89" s="60"/>
      <c r="AE89" s="60"/>
      <c r="AF89" s="60"/>
      <c r="AG89" s="60"/>
      <c r="AH89" s="60"/>
      <c r="AI89" s="60"/>
      <c r="AJ89" s="60"/>
      <c r="AK89" s="60"/>
      <c r="AL89" s="60"/>
      <c r="AM89" s="60"/>
      <c r="AN89" s="60"/>
      <c r="AO89" s="60"/>
      <c r="AP89" s="56"/>
      <c r="AQ89" s="56"/>
      <c r="AR89" s="56"/>
      <c r="AS89" s="56"/>
    </row>
    <row r="90" spans="1:45" ht="15" customHeight="1" x14ac:dyDescent="0.3">
      <c r="D90" s="20"/>
      <c r="E90" s="142" t="s">
        <v>169</v>
      </c>
      <c r="F90" s="142"/>
      <c r="G90" s="142" t="s">
        <v>38</v>
      </c>
      <c r="H90" s="183"/>
      <c r="I90" s="183"/>
      <c r="K90" s="62">
        <f t="shared" ref="K90:O90" si="25">K87 + K88 + K89</f>
        <v>0</v>
      </c>
      <c r="L90" s="62">
        <f t="shared" si="25"/>
        <v>0</v>
      </c>
      <c r="M90" s="62">
        <f t="shared" si="25"/>
        <v>0</v>
      </c>
      <c r="N90" s="62">
        <f t="shared" si="25"/>
        <v>0</v>
      </c>
      <c r="O90" s="62">
        <f t="shared" si="25"/>
        <v>0</v>
      </c>
      <c r="P90" s="62">
        <f t="shared" ref="P90:R90" si="26">P87 + P88 + P89</f>
        <v>0</v>
      </c>
      <c r="Q90" s="62">
        <f t="shared" si="26"/>
        <v>0</v>
      </c>
      <c r="R90" s="62">
        <f t="shared" si="26"/>
        <v>0</v>
      </c>
      <c r="S90" s="62">
        <f t="shared" ref="S90:AD90" si="27">S87 + S88 + S89</f>
        <v>0</v>
      </c>
      <c r="T90" s="62">
        <f t="shared" si="27"/>
        <v>0</v>
      </c>
      <c r="U90" s="62">
        <f t="shared" si="27"/>
        <v>0</v>
      </c>
      <c r="V90" s="62">
        <f t="shared" si="27"/>
        <v>0</v>
      </c>
      <c r="W90" s="62">
        <f t="shared" si="27"/>
        <v>48875.353194199997</v>
      </c>
      <c r="X90" s="62">
        <f t="shared" si="27"/>
        <v>51680.071974100014</v>
      </c>
      <c r="Y90" s="62">
        <f t="shared" si="27"/>
        <v>45635.569258546981</v>
      </c>
      <c r="Z90" s="62">
        <f t="shared" si="27"/>
        <v>0</v>
      </c>
      <c r="AA90" s="62">
        <f t="shared" si="27"/>
        <v>0</v>
      </c>
      <c r="AB90" s="62">
        <f t="shared" si="27"/>
        <v>0</v>
      </c>
      <c r="AC90" s="62">
        <f t="shared" si="27"/>
        <v>0</v>
      </c>
      <c r="AD90" s="62">
        <f t="shared" si="27"/>
        <v>0</v>
      </c>
      <c r="AE90" s="62">
        <f t="shared" ref="AE90:AP90" si="28">AE87 + AE88 + AE89</f>
        <v>0</v>
      </c>
      <c r="AF90" s="62">
        <f t="shared" si="28"/>
        <v>0</v>
      </c>
      <c r="AG90" s="62">
        <f t="shared" si="28"/>
        <v>0</v>
      </c>
      <c r="AH90" s="62">
        <f t="shared" si="28"/>
        <v>0</v>
      </c>
      <c r="AI90" s="62">
        <f t="shared" si="28"/>
        <v>0</v>
      </c>
      <c r="AJ90" s="62">
        <f t="shared" si="28"/>
        <v>0</v>
      </c>
      <c r="AK90" s="62">
        <f t="shared" si="28"/>
        <v>0</v>
      </c>
      <c r="AL90" s="62">
        <f t="shared" si="28"/>
        <v>0</v>
      </c>
      <c r="AM90" s="62">
        <f t="shared" si="28"/>
        <v>0</v>
      </c>
      <c r="AN90" s="62">
        <f t="shared" si="28"/>
        <v>0</v>
      </c>
      <c r="AO90" s="62">
        <f t="shared" si="28"/>
        <v>0</v>
      </c>
      <c r="AP90" s="78">
        <f t="shared" si="28"/>
        <v>0</v>
      </c>
      <c r="AQ90" s="78">
        <f t="shared" ref="AQ90:AS90" si="29">AQ87 + AQ88 + AQ89</f>
        <v>0</v>
      </c>
      <c r="AR90" s="78">
        <f t="shared" si="29"/>
        <v>0</v>
      </c>
      <c r="AS90" s="78">
        <f t="shared" si="29"/>
        <v>0</v>
      </c>
    </row>
    <row r="91" spans="1:45" ht="15" customHeight="1" x14ac:dyDescent="0.3">
      <c r="A91" s="81"/>
      <c r="B91" s="81"/>
      <c r="C91" s="82"/>
      <c r="D91" s="83"/>
      <c r="E91" s="199" t="s">
        <v>107</v>
      </c>
      <c r="F91" s="199"/>
      <c r="G91" s="199" t="s">
        <v>38</v>
      </c>
      <c r="H91" s="185" t="str">
        <f xml:space="preserve"> Sources!I$19</f>
        <v>XIV</v>
      </c>
      <c r="I91" s="185"/>
      <c r="K91" s="60"/>
      <c r="L91" s="60"/>
      <c r="M91" s="60"/>
      <c r="N91" s="60"/>
      <c r="O91" s="60"/>
      <c r="P91" s="60"/>
      <c r="Q91" s="60"/>
      <c r="R91" s="60"/>
      <c r="S91" s="60"/>
      <c r="T91" s="60"/>
      <c r="U91" s="60"/>
      <c r="V91" s="60"/>
      <c r="W91" s="60"/>
      <c r="X91" s="60">
        <v>404.70775199999997</v>
      </c>
      <c r="Y91" s="60">
        <v>1583</v>
      </c>
      <c r="Z91" s="60"/>
      <c r="AA91" s="60"/>
      <c r="AB91" s="60"/>
      <c r="AC91" s="60"/>
      <c r="AD91" s="60"/>
      <c r="AE91" s="60"/>
      <c r="AF91" s="60"/>
      <c r="AG91" s="60"/>
      <c r="AH91" s="60"/>
      <c r="AI91" s="60"/>
      <c r="AJ91" s="60"/>
      <c r="AK91" s="60"/>
      <c r="AL91" s="60"/>
      <c r="AM91" s="60"/>
      <c r="AN91" s="60"/>
      <c r="AO91" s="60"/>
      <c r="AP91" s="56"/>
      <c r="AQ91" s="56"/>
      <c r="AR91" s="56"/>
      <c r="AS91" s="56"/>
    </row>
    <row r="92" spans="1:45" ht="15" customHeight="1" x14ac:dyDescent="0.3">
      <c r="A92" s="81"/>
      <c r="B92" s="81"/>
      <c r="C92" s="82"/>
      <c r="D92" s="83"/>
      <c r="E92" s="199"/>
      <c r="F92" s="199"/>
      <c r="G92" s="199"/>
      <c r="H92" s="185"/>
      <c r="I92" s="185"/>
      <c r="J92" s="61"/>
      <c r="K92" s="58"/>
      <c r="L92" s="58"/>
      <c r="M92" s="58"/>
      <c r="N92" s="58"/>
      <c r="O92" s="58"/>
      <c r="P92" s="58"/>
      <c r="Q92" s="58"/>
      <c r="R92" s="58"/>
      <c r="S92" s="58"/>
      <c r="T92" s="58"/>
      <c r="U92" s="58"/>
      <c r="V92" s="58"/>
      <c r="W92" s="58"/>
      <c r="X92" s="58"/>
      <c r="Y92" s="218"/>
      <c r="Z92" s="218"/>
      <c r="AA92" s="218"/>
      <c r="AB92" s="218"/>
      <c r="AC92" s="58"/>
      <c r="AD92" s="58"/>
      <c r="AE92" s="58"/>
      <c r="AF92" s="58"/>
      <c r="AG92" s="58"/>
      <c r="AH92" s="58"/>
      <c r="AI92" s="58"/>
      <c r="AJ92" s="58"/>
      <c r="AK92" s="58"/>
      <c r="AL92" s="58"/>
      <c r="AM92" s="58"/>
      <c r="AN92" s="58"/>
      <c r="AO92" s="58"/>
      <c r="AP92" s="77"/>
      <c r="AQ92" s="77"/>
      <c r="AR92" s="77"/>
      <c r="AS92" s="77"/>
    </row>
    <row r="93" spans="1:45" ht="15" customHeight="1" x14ac:dyDescent="0.3">
      <c r="A93" s="81"/>
      <c r="B93" s="81"/>
      <c r="C93" s="82"/>
      <c r="D93" s="83"/>
      <c r="E93" s="142" t="s">
        <v>115</v>
      </c>
      <c r="F93" s="142"/>
      <c r="G93" s="142" t="s">
        <v>38</v>
      </c>
      <c r="H93" s="183" t="str">
        <f xml:space="preserve"> Sources!I$18</f>
        <v>XIII</v>
      </c>
      <c r="I93" s="183"/>
      <c r="K93" s="60"/>
      <c r="L93" s="60"/>
      <c r="M93" s="60"/>
      <c r="N93" s="60"/>
      <c r="O93" s="60"/>
      <c r="P93" s="60"/>
      <c r="Q93" s="60"/>
      <c r="R93" s="60"/>
      <c r="S93" s="60"/>
      <c r="T93" s="60"/>
      <c r="U93" s="60"/>
      <c r="V93" s="60"/>
      <c r="W93" s="60"/>
      <c r="X93" s="60"/>
      <c r="Y93" s="60">
        <v>117817.05700000002</v>
      </c>
      <c r="Z93" s="60">
        <v>115427.95</v>
      </c>
      <c r="AA93" s="60">
        <v>143925.79999999999</v>
      </c>
      <c r="AB93" s="60">
        <v>143927.04000000001</v>
      </c>
      <c r="AC93" s="60"/>
      <c r="AD93" s="60"/>
      <c r="AE93" s="60"/>
      <c r="AF93" s="60"/>
      <c r="AG93" s="60"/>
      <c r="AH93" s="60"/>
      <c r="AI93" s="60"/>
      <c r="AJ93" s="60"/>
      <c r="AK93" s="60"/>
      <c r="AL93" s="60"/>
      <c r="AM93" s="60"/>
      <c r="AN93" s="60"/>
      <c r="AO93" s="60"/>
      <c r="AP93" s="56"/>
      <c r="AQ93" s="56"/>
      <c r="AR93" s="56"/>
      <c r="AS93" s="56"/>
    </row>
    <row r="94" spans="1:45" ht="15" customHeight="1" x14ac:dyDescent="0.3">
      <c r="A94" s="81"/>
      <c r="B94" s="81"/>
      <c r="C94" s="82"/>
      <c r="D94" s="83"/>
      <c r="E94" s="142" t="s">
        <v>116</v>
      </c>
      <c r="F94" s="142"/>
      <c r="G94" s="142" t="s">
        <v>38</v>
      </c>
      <c r="H94" s="183" t="str">
        <f xml:space="preserve"> Sources!I$18</f>
        <v>XIII</v>
      </c>
      <c r="I94" s="183"/>
      <c r="K94" s="60"/>
      <c r="L94" s="60"/>
      <c r="M94" s="60"/>
      <c r="N94" s="60"/>
      <c r="O94" s="60"/>
      <c r="P94" s="60"/>
      <c r="Q94" s="60"/>
      <c r="R94" s="60"/>
      <c r="S94" s="60"/>
      <c r="T94" s="60"/>
      <c r="U94" s="60"/>
      <c r="V94" s="60"/>
      <c r="W94" s="60"/>
      <c r="X94" s="60"/>
      <c r="Y94" s="60">
        <v>57878.160000000011</v>
      </c>
      <c r="Z94" s="60">
        <v>58374.639999999992</v>
      </c>
      <c r="AA94" s="60">
        <v>72499.959999999992</v>
      </c>
      <c r="AB94" s="60">
        <v>72558.63</v>
      </c>
      <c r="AC94" s="60"/>
      <c r="AD94" s="60"/>
      <c r="AE94" s="60"/>
      <c r="AF94" s="60"/>
      <c r="AG94" s="60"/>
      <c r="AH94" s="60"/>
      <c r="AI94" s="60"/>
      <c r="AJ94" s="60"/>
      <c r="AK94" s="60"/>
      <c r="AL94" s="60"/>
      <c r="AM94" s="60"/>
      <c r="AN94" s="60"/>
      <c r="AO94" s="60"/>
      <c r="AP94" s="56"/>
      <c r="AQ94" s="56"/>
      <c r="AR94" s="56"/>
      <c r="AS94" s="56"/>
    </row>
    <row r="95" spans="1:45" ht="15" customHeight="1" x14ac:dyDescent="0.3">
      <c r="A95" s="81"/>
      <c r="B95" s="81"/>
      <c r="C95" s="82"/>
      <c r="D95" s="83"/>
      <c r="E95" s="142" t="s">
        <v>117</v>
      </c>
      <c r="F95" s="142"/>
      <c r="G95" s="142" t="s">
        <v>38</v>
      </c>
      <c r="H95" s="183" t="str">
        <f xml:space="preserve"> Sources!I$18</f>
        <v>XIII</v>
      </c>
      <c r="I95" s="183"/>
      <c r="K95" s="60"/>
      <c r="L95" s="60"/>
      <c r="M95" s="60"/>
      <c r="N95" s="60"/>
      <c r="O95" s="60"/>
      <c r="P95" s="60"/>
      <c r="Q95" s="60"/>
      <c r="R95" s="60"/>
      <c r="S95" s="60"/>
      <c r="T95" s="60"/>
      <c r="U95" s="60"/>
      <c r="V95" s="60"/>
      <c r="W95" s="60"/>
      <c r="X95" s="60"/>
      <c r="Y95" s="60">
        <v>21206.41</v>
      </c>
      <c r="Z95" s="60">
        <v>29916.13</v>
      </c>
      <c r="AA95" s="60">
        <v>44633.35</v>
      </c>
      <c r="AB95" s="60">
        <v>28150.309999999998</v>
      </c>
      <c r="AC95" s="60"/>
      <c r="AD95" s="60"/>
      <c r="AE95" s="60"/>
      <c r="AF95" s="60"/>
      <c r="AG95" s="60"/>
      <c r="AH95" s="60"/>
      <c r="AI95" s="60"/>
      <c r="AJ95" s="60"/>
      <c r="AK95" s="60"/>
      <c r="AL95" s="60"/>
      <c r="AM95" s="60"/>
      <c r="AN95" s="60"/>
      <c r="AO95" s="60"/>
      <c r="AP95" s="56"/>
      <c r="AQ95" s="56"/>
      <c r="AR95" s="56"/>
      <c r="AS95" s="56"/>
    </row>
    <row r="96" spans="1:45" ht="15" customHeight="1" x14ac:dyDescent="0.3">
      <c r="A96" s="81"/>
      <c r="B96" s="81"/>
      <c r="C96" s="82"/>
      <c r="D96" s="83"/>
      <c r="E96" s="142" t="s">
        <v>118</v>
      </c>
      <c r="F96" s="142"/>
      <c r="G96" s="142" t="s">
        <v>38</v>
      </c>
      <c r="H96" s="183" t="str">
        <f xml:space="preserve"> Sources!I$18</f>
        <v>XIII</v>
      </c>
      <c r="I96" s="183"/>
      <c r="J96" s="61"/>
      <c r="K96" s="60"/>
      <c r="L96" s="60"/>
      <c r="M96" s="60"/>
      <c r="N96" s="60"/>
      <c r="O96" s="60"/>
      <c r="P96" s="60"/>
      <c r="Q96" s="60"/>
      <c r="R96" s="60"/>
      <c r="S96" s="60"/>
      <c r="T96" s="60"/>
      <c r="U96" s="60"/>
      <c r="V96" s="60"/>
      <c r="W96" s="60"/>
      <c r="X96" s="60"/>
      <c r="Y96" s="60">
        <v>33114.32</v>
      </c>
      <c r="Z96" s="60">
        <v>24190.74</v>
      </c>
      <c r="AA96" s="60">
        <v>23122.910000000003</v>
      </c>
      <c r="AB96" s="60">
        <v>40777.94</v>
      </c>
      <c r="AC96" s="60"/>
      <c r="AD96" s="60"/>
      <c r="AE96" s="60"/>
      <c r="AF96" s="60"/>
      <c r="AG96" s="60"/>
      <c r="AH96" s="60"/>
      <c r="AI96" s="60"/>
      <c r="AJ96" s="60"/>
      <c r="AK96" s="60"/>
      <c r="AL96" s="60"/>
      <c r="AM96" s="60"/>
      <c r="AN96" s="60"/>
      <c r="AO96" s="60"/>
      <c r="AP96" s="56"/>
      <c r="AQ96" s="56"/>
      <c r="AR96" s="56"/>
      <c r="AS96" s="56"/>
    </row>
    <row r="97" spans="1:45" ht="15" customHeight="1" x14ac:dyDescent="0.3">
      <c r="A97" s="81"/>
      <c r="B97" s="81"/>
      <c r="C97" s="82"/>
      <c r="D97" s="83"/>
      <c r="E97" s="142" t="s">
        <v>119</v>
      </c>
      <c r="F97" s="142"/>
      <c r="G97" s="142" t="s">
        <v>38</v>
      </c>
      <c r="H97" s="183" t="str">
        <f xml:space="preserve"> Sources!I$18</f>
        <v>XIII</v>
      </c>
      <c r="I97" s="183"/>
      <c r="K97" s="60"/>
      <c r="L97" s="60"/>
      <c r="M97" s="60"/>
      <c r="N97" s="60"/>
      <c r="O97" s="60"/>
      <c r="P97" s="60"/>
      <c r="Q97" s="60"/>
      <c r="R97" s="60"/>
      <c r="S97" s="60"/>
      <c r="T97" s="60"/>
      <c r="U97" s="60"/>
      <c r="V97" s="60"/>
      <c r="W97" s="60"/>
      <c r="X97" s="60"/>
      <c r="Y97" s="60">
        <v>5618.1670000000004</v>
      </c>
      <c r="Z97" s="60">
        <v>2946.44</v>
      </c>
      <c r="AA97" s="60">
        <v>3669.58</v>
      </c>
      <c r="AB97" s="60">
        <v>2440.16</v>
      </c>
      <c r="AC97" s="60"/>
      <c r="AD97" s="60"/>
      <c r="AE97" s="60"/>
      <c r="AF97" s="60"/>
      <c r="AG97" s="60"/>
      <c r="AH97" s="60"/>
      <c r="AI97" s="60"/>
      <c r="AJ97" s="60"/>
      <c r="AK97" s="60"/>
      <c r="AL97" s="60"/>
      <c r="AM97" s="60"/>
      <c r="AN97" s="60"/>
      <c r="AO97" s="60"/>
      <c r="AP97" s="56"/>
      <c r="AQ97" s="56"/>
      <c r="AR97" s="56"/>
      <c r="AS97" s="56"/>
    </row>
    <row r="98" spans="1:45" ht="15" customHeight="1" x14ac:dyDescent="0.3">
      <c r="A98" s="81"/>
      <c r="B98" s="81"/>
      <c r="C98" s="82"/>
      <c r="D98" s="83"/>
      <c r="E98" s="199" t="s">
        <v>120</v>
      </c>
      <c r="F98" s="199"/>
      <c r="G98" s="199" t="s">
        <v>38</v>
      </c>
      <c r="H98" s="183" t="str">
        <f xml:space="preserve"> Sources!I$18</f>
        <v>XIII</v>
      </c>
      <c r="I98" s="183"/>
      <c r="K98" s="60"/>
      <c r="L98" s="60"/>
      <c r="M98" s="60"/>
      <c r="N98" s="60"/>
      <c r="O98" s="60"/>
      <c r="P98" s="60"/>
      <c r="Q98" s="60"/>
      <c r="R98" s="60"/>
      <c r="S98" s="60"/>
      <c r="T98" s="60"/>
      <c r="U98" s="60"/>
      <c r="V98" s="60"/>
      <c r="W98" s="60"/>
      <c r="X98" s="60"/>
      <c r="Y98" s="60">
        <v>5563.8381200000003</v>
      </c>
      <c r="Z98" s="60">
        <v>5366.2400000000007</v>
      </c>
      <c r="AA98" s="60">
        <v>9064.4200000000019</v>
      </c>
      <c r="AB98" s="60">
        <v>7195.2800000000007</v>
      </c>
      <c r="AC98" s="60"/>
      <c r="AD98" s="60"/>
      <c r="AE98" s="60"/>
      <c r="AF98" s="60"/>
      <c r="AG98" s="60"/>
      <c r="AH98" s="60"/>
      <c r="AI98" s="60"/>
      <c r="AJ98" s="60"/>
      <c r="AK98" s="60"/>
      <c r="AL98" s="60"/>
      <c r="AM98" s="60"/>
      <c r="AN98" s="60"/>
      <c r="AO98" s="60"/>
      <c r="AP98" s="56"/>
      <c r="AQ98" s="56"/>
      <c r="AR98" s="56"/>
      <c r="AS98" s="56"/>
    </row>
    <row r="99" spans="1:45" ht="15" customHeight="1" x14ac:dyDescent="0.3">
      <c r="D99" s="20"/>
      <c r="E99" s="142"/>
      <c r="F99" s="142"/>
      <c r="G99" s="142"/>
      <c r="H99" s="36"/>
      <c r="I99" s="36"/>
      <c r="K99" s="45"/>
      <c r="L99" s="45"/>
      <c r="M99" s="45"/>
      <c r="N99" s="45"/>
      <c r="O99" s="45"/>
      <c r="P99" s="45"/>
      <c r="Q99" s="45"/>
      <c r="R99" s="45"/>
      <c r="S99" s="45"/>
      <c r="T99" s="45"/>
      <c r="U99" s="45"/>
      <c r="V99" s="45"/>
      <c r="W99" s="45"/>
      <c r="X99" s="45"/>
      <c r="Y99" s="45"/>
      <c r="Z99" s="45"/>
      <c r="AA99" s="45"/>
      <c r="AB99" s="45"/>
      <c r="AC99" s="45"/>
      <c r="AD99" s="45"/>
      <c r="AE99" s="45"/>
      <c r="AF99" s="45"/>
      <c r="AG99" s="45"/>
      <c r="AH99" s="45"/>
      <c r="AI99" s="45"/>
      <c r="AJ99" s="45"/>
      <c r="AK99" s="45"/>
      <c r="AL99" s="45"/>
      <c r="AM99" s="45"/>
      <c r="AN99" s="45"/>
      <c r="AO99" s="45"/>
      <c r="AP99" s="3"/>
      <c r="AQ99" s="3"/>
      <c r="AR99" s="3"/>
      <c r="AS99" s="3"/>
    </row>
    <row r="100" spans="1:45" ht="15" customHeight="1" x14ac:dyDescent="0.3">
      <c r="A100" s="91"/>
      <c r="B100" s="91"/>
      <c r="C100" s="92"/>
      <c r="D100" s="103"/>
      <c r="E100" s="142" t="s">
        <v>161</v>
      </c>
      <c r="F100" s="142"/>
      <c r="G100" s="142" t="s">
        <v>38</v>
      </c>
      <c r="H100" s="183" t="str">
        <f xml:space="preserve"> Sources!I$13</f>
        <v>IX</v>
      </c>
      <c r="I100" s="183"/>
      <c r="J100" s="61"/>
      <c r="K100" s="60"/>
      <c r="L100" s="60"/>
      <c r="M100" s="60"/>
      <c r="N100" s="60"/>
      <c r="O100" s="60"/>
      <c r="P100" s="60"/>
      <c r="Q100" s="60"/>
      <c r="R100" s="60"/>
      <c r="S100" s="60"/>
      <c r="T100" s="60"/>
      <c r="U100" s="60"/>
      <c r="V100" s="60">
        <v>21940</v>
      </c>
      <c r="W100" s="60">
        <v>53235</v>
      </c>
      <c r="X100" s="60">
        <v>84286</v>
      </c>
      <c r="Y100" s="60">
        <v>114265</v>
      </c>
      <c r="Z100" s="60">
        <v>121072</v>
      </c>
      <c r="AA100" s="60">
        <v>128233</v>
      </c>
      <c r="AB100" s="60">
        <v>127018</v>
      </c>
      <c r="AC100" s="60">
        <v>94584</v>
      </c>
      <c r="AD100" s="60"/>
      <c r="AE100" s="60"/>
      <c r="AF100" s="60"/>
      <c r="AG100" s="60"/>
      <c r="AH100" s="60"/>
      <c r="AI100" s="60"/>
      <c r="AJ100" s="60"/>
      <c r="AK100" s="60"/>
      <c r="AL100" s="60"/>
      <c r="AM100" s="60"/>
      <c r="AN100" s="60"/>
      <c r="AO100" s="60"/>
      <c r="AP100" s="100"/>
      <c r="AQ100" s="100"/>
      <c r="AR100" s="100"/>
      <c r="AS100" s="100"/>
    </row>
    <row r="101" spans="1:45" ht="15" customHeight="1" x14ac:dyDescent="0.3">
      <c r="A101" s="91"/>
      <c r="B101" s="91"/>
      <c r="C101" s="92"/>
      <c r="D101" s="103"/>
      <c r="E101" s="142" t="s">
        <v>86</v>
      </c>
      <c r="F101" s="142"/>
      <c r="G101" s="142" t="s">
        <v>38</v>
      </c>
      <c r="H101" s="183" t="str">
        <f xml:space="preserve"> Sources!I$13</f>
        <v>IX</v>
      </c>
      <c r="I101" s="183"/>
      <c r="K101" s="60"/>
      <c r="L101" s="60"/>
      <c r="M101" s="60"/>
      <c r="N101" s="60"/>
      <c r="O101" s="60"/>
      <c r="P101" s="60"/>
      <c r="Q101" s="60"/>
      <c r="R101" s="60"/>
      <c r="S101" s="60"/>
      <c r="T101" s="60"/>
      <c r="U101" s="60"/>
      <c r="V101" s="60"/>
      <c r="W101" s="60"/>
      <c r="X101" s="60">
        <v>26173</v>
      </c>
      <c r="Y101" s="60">
        <v>57400</v>
      </c>
      <c r="Z101" s="60">
        <v>59928</v>
      </c>
      <c r="AA101" s="60">
        <v>73834</v>
      </c>
      <c r="AB101" s="60">
        <v>72921</v>
      </c>
      <c r="AC101" s="60">
        <v>51914</v>
      </c>
      <c r="AD101" s="60"/>
      <c r="AE101" s="60"/>
      <c r="AF101" s="60"/>
      <c r="AG101" s="60"/>
      <c r="AH101" s="60"/>
      <c r="AI101" s="60"/>
      <c r="AJ101" s="60"/>
      <c r="AK101" s="60"/>
      <c r="AL101" s="60"/>
      <c r="AM101" s="60"/>
      <c r="AN101" s="60"/>
      <c r="AO101" s="60"/>
      <c r="AP101" s="100"/>
      <c r="AQ101" s="100"/>
      <c r="AR101" s="100"/>
      <c r="AS101" s="100"/>
    </row>
    <row r="102" spans="1:45" ht="15" customHeight="1" x14ac:dyDescent="0.3">
      <c r="D102" s="20"/>
      <c r="E102" s="142" t="s">
        <v>87</v>
      </c>
      <c r="F102" s="142"/>
      <c r="G102" s="142" t="s">
        <v>38</v>
      </c>
      <c r="H102" s="183" t="str">
        <f xml:space="preserve"> Sources!I$13</f>
        <v>IX</v>
      </c>
      <c r="I102" s="183"/>
      <c r="K102" s="60"/>
      <c r="L102" s="60"/>
      <c r="M102" s="60"/>
      <c r="N102" s="60"/>
      <c r="O102" s="60"/>
      <c r="P102" s="60"/>
      <c r="Q102" s="60"/>
      <c r="R102" s="60"/>
      <c r="S102" s="60"/>
      <c r="T102" s="60"/>
      <c r="U102" s="60"/>
      <c r="V102" s="60"/>
      <c r="W102" s="60"/>
      <c r="X102" s="60"/>
      <c r="Y102" s="60"/>
      <c r="Z102" s="60">
        <v>1607</v>
      </c>
      <c r="AA102" s="60">
        <v>2506</v>
      </c>
      <c r="AB102" s="60">
        <v>2306</v>
      </c>
      <c r="AC102" s="60">
        <v>830</v>
      </c>
      <c r="AD102" s="60"/>
      <c r="AE102" s="60"/>
      <c r="AF102" s="60"/>
      <c r="AG102" s="60"/>
      <c r="AH102" s="60"/>
      <c r="AI102" s="60"/>
      <c r="AJ102" s="60"/>
      <c r="AK102" s="60"/>
      <c r="AL102" s="60"/>
      <c r="AM102" s="60"/>
      <c r="AN102" s="60"/>
      <c r="AO102" s="60"/>
      <c r="AP102" s="56"/>
      <c r="AQ102" s="56"/>
      <c r="AR102" s="56"/>
      <c r="AS102" s="56"/>
    </row>
    <row r="103" spans="1:45" ht="15" customHeight="1" x14ac:dyDescent="0.3">
      <c r="D103" s="20"/>
      <c r="E103" s="142"/>
      <c r="F103" s="142"/>
      <c r="G103" s="142"/>
      <c r="H103" s="183"/>
      <c r="I103" s="183"/>
      <c r="K103" s="58"/>
      <c r="L103" s="58"/>
      <c r="M103" s="58"/>
      <c r="N103" s="58"/>
      <c r="O103" s="58"/>
      <c r="P103" s="58"/>
      <c r="Q103" s="58"/>
      <c r="R103" s="58"/>
      <c r="S103" s="58"/>
      <c r="T103" s="58"/>
      <c r="U103" s="58"/>
      <c r="V103" s="58"/>
      <c r="W103" s="58"/>
      <c r="X103" s="58"/>
      <c r="Y103" s="58"/>
      <c r="Z103" s="58"/>
      <c r="AA103" s="58"/>
      <c r="AB103" s="58"/>
      <c r="AC103" s="58"/>
      <c r="AD103" s="58"/>
      <c r="AE103" s="58"/>
      <c r="AF103" s="58"/>
      <c r="AG103" s="58"/>
      <c r="AH103" s="58"/>
      <c r="AI103" s="58"/>
      <c r="AJ103" s="58"/>
      <c r="AK103" s="58"/>
      <c r="AL103" s="58"/>
      <c r="AM103" s="58"/>
      <c r="AN103" s="58"/>
      <c r="AO103" s="58"/>
      <c r="AP103" s="77"/>
      <c r="AQ103" s="77"/>
      <c r="AR103" s="77"/>
      <c r="AS103" s="77"/>
    </row>
    <row r="104" spans="1:45" ht="15" customHeight="1" x14ac:dyDescent="0.3">
      <c r="D104" s="20"/>
      <c r="E104" s="142" t="s">
        <v>131</v>
      </c>
      <c r="F104" s="144">
        <f>AVERAGE(Y104:AC104)</f>
        <v>0.53921312386899023</v>
      </c>
      <c r="G104" s="142" t="s">
        <v>34</v>
      </c>
      <c r="H104" s="183"/>
      <c r="I104" s="183"/>
      <c r="J104" s="61"/>
      <c r="K104" s="58"/>
      <c r="L104" s="58"/>
      <c r="M104" s="58"/>
      <c r="N104" s="58"/>
      <c r="O104" s="58"/>
      <c r="P104" s="58"/>
      <c r="Q104" s="58"/>
      <c r="R104" s="58"/>
      <c r="S104" s="58"/>
      <c r="T104" s="58"/>
      <c r="U104" s="58"/>
      <c r="V104" s="58"/>
      <c r="W104" s="58"/>
      <c r="X104" s="58"/>
      <c r="Y104" s="90">
        <f>Y101/Y100</f>
        <v>0.50234104931518841</v>
      </c>
      <c r="Z104" s="90">
        <f>Z101/Z100</f>
        <v>0.49497819479318089</v>
      </c>
      <c r="AA104" s="90">
        <f>AA101/AA100</f>
        <v>0.5757800254224732</v>
      </c>
      <c r="AB104" s="90">
        <f>AB101/AB100</f>
        <v>0.57409973389598323</v>
      </c>
      <c r="AC104" s="90">
        <f>AC101/AC100</f>
        <v>0.54886661591812569</v>
      </c>
      <c r="AD104" s="90"/>
      <c r="AE104" s="58"/>
      <c r="AF104" s="58"/>
      <c r="AG104" s="58"/>
      <c r="AH104" s="58"/>
      <c r="AI104" s="58"/>
      <c r="AJ104" s="58"/>
      <c r="AK104" s="58"/>
      <c r="AL104" s="58"/>
      <c r="AM104" s="58"/>
      <c r="AN104" s="58"/>
      <c r="AO104" s="58"/>
      <c r="AP104" s="77"/>
      <c r="AQ104" s="77"/>
      <c r="AR104" s="77"/>
      <c r="AS104" s="77"/>
    </row>
    <row r="105" spans="1:45" ht="15" customHeight="1" x14ac:dyDescent="0.3">
      <c r="D105" s="20"/>
      <c r="E105" s="142"/>
      <c r="F105" s="142"/>
      <c r="G105" s="142"/>
      <c r="H105" s="36"/>
      <c r="I105" s="36"/>
      <c r="K105" s="45"/>
      <c r="L105" s="45"/>
      <c r="M105" s="45"/>
      <c r="N105" s="45"/>
      <c r="O105" s="45"/>
      <c r="P105" s="45"/>
      <c r="Q105" s="45"/>
      <c r="R105" s="45"/>
      <c r="S105" s="45"/>
      <c r="T105" s="45"/>
      <c r="U105" s="45"/>
      <c r="V105" s="45"/>
      <c r="W105" s="45"/>
      <c r="X105" s="45"/>
      <c r="Y105" s="45"/>
      <c r="Z105" s="45"/>
      <c r="AA105" s="45"/>
      <c r="AB105" s="45"/>
      <c r="AC105" s="45"/>
      <c r="AD105" s="45"/>
      <c r="AE105" s="45"/>
      <c r="AF105" s="45"/>
      <c r="AG105" s="45"/>
      <c r="AH105" s="45"/>
      <c r="AI105" s="45"/>
      <c r="AJ105" s="45"/>
      <c r="AK105" s="45"/>
      <c r="AL105" s="45"/>
      <c r="AM105" s="45"/>
      <c r="AN105" s="45"/>
      <c r="AO105" s="45"/>
      <c r="AP105" s="3"/>
      <c r="AQ105" s="3"/>
      <c r="AR105" s="3"/>
      <c r="AS105" s="3"/>
    </row>
    <row r="106" spans="1:45" ht="15" customHeight="1" x14ac:dyDescent="0.3">
      <c r="D106" s="20"/>
      <c r="E106" s="142" t="s">
        <v>91</v>
      </c>
      <c r="F106" s="142"/>
      <c r="G106" s="142" t="s">
        <v>38</v>
      </c>
      <c r="H106" s="36" t="str">
        <f xml:space="preserve"> Sources!I$9</f>
        <v>V</v>
      </c>
      <c r="I106" s="36"/>
      <c r="K106" s="60"/>
      <c r="L106" s="60"/>
      <c r="M106" s="60"/>
      <c r="N106" s="60"/>
      <c r="O106" s="60"/>
      <c r="P106" s="60"/>
      <c r="Q106" s="60"/>
      <c r="R106" s="60"/>
      <c r="S106" s="60"/>
      <c r="T106" s="60"/>
      <c r="U106" s="60"/>
      <c r="V106" s="60"/>
      <c r="W106" s="60"/>
      <c r="X106" s="60"/>
      <c r="Y106" s="60"/>
      <c r="Z106" s="60">
        <v>121072</v>
      </c>
      <c r="AA106" s="60">
        <v>128230</v>
      </c>
      <c r="AB106" s="60">
        <v>127018</v>
      </c>
      <c r="AC106" s="60">
        <v>94600</v>
      </c>
      <c r="AD106" s="60"/>
      <c r="AE106" s="60"/>
      <c r="AF106" s="60"/>
      <c r="AG106" s="60"/>
      <c r="AH106" s="60"/>
      <c r="AI106" s="60"/>
      <c r="AJ106" s="60"/>
      <c r="AK106" s="60"/>
      <c r="AL106" s="60"/>
      <c r="AM106" s="60"/>
      <c r="AN106" s="60"/>
      <c r="AO106" s="60"/>
      <c r="AP106" s="56"/>
      <c r="AQ106" s="56"/>
      <c r="AR106" s="56"/>
      <c r="AS106" s="56"/>
    </row>
    <row r="107" spans="1:45" ht="15" customHeight="1" x14ac:dyDescent="0.3">
      <c r="D107" s="20"/>
      <c r="E107" s="142" t="s">
        <v>92</v>
      </c>
      <c r="F107" s="142"/>
      <c r="G107" s="142" t="s">
        <v>38</v>
      </c>
      <c r="H107" s="36" t="str">
        <f xml:space="preserve"> Sources!I$9</f>
        <v>V</v>
      </c>
      <c r="I107" s="36"/>
      <c r="K107" s="60"/>
      <c r="L107" s="60"/>
      <c r="M107" s="60"/>
      <c r="N107" s="60"/>
      <c r="O107" s="60"/>
      <c r="P107" s="60"/>
      <c r="Q107" s="60"/>
      <c r="R107" s="60"/>
      <c r="S107" s="60"/>
      <c r="T107" s="60"/>
      <c r="U107" s="60"/>
      <c r="V107" s="60"/>
      <c r="W107" s="60"/>
      <c r="X107" s="60"/>
      <c r="Y107" s="60"/>
      <c r="Z107" s="60"/>
      <c r="AA107" s="60">
        <v>73834</v>
      </c>
      <c r="AB107" s="60">
        <v>72921</v>
      </c>
      <c r="AC107" s="60">
        <v>51914</v>
      </c>
      <c r="AD107" s="60"/>
      <c r="AE107" s="60"/>
      <c r="AF107" s="60"/>
      <c r="AG107" s="60"/>
      <c r="AH107" s="60"/>
      <c r="AI107" s="60"/>
      <c r="AJ107" s="60"/>
      <c r="AK107" s="60"/>
      <c r="AL107" s="60"/>
      <c r="AM107" s="60"/>
      <c r="AN107" s="60"/>
      <c r="AO107" s="60"/>
      <c r="AP107" s="56"/>
      <c r="AQ107" s="56"/>
      <c r="AR107" s="56"/>
      <c r="AS107" s="56"/>
    </row>
    <row r="108" spans="1:45" ht="15" customHeight="1" x14ac:dyDescent="0.3">
      <c r="D108" s="20"/>
      <c r="E108" s="142"/>
      <c r="F108" s="142"/>
      <c r="G108" s="142"/>
      <c r="H108" s="36"/>
      <c r="I108" s="36"/>
      <c r="J108" s="61"/>
      <c r="K108" s="58"/>
      <c r="L108" s="58"/>
      <c r="M108" s="58"/>
      <c r="N108" s="58"/>
      <c r="O108" s="58"/>
      <c r="P108" s="58"/>
      <c r="Q108" s="58"/>
      <c r="R108" s="58"/>
      <c r="S108" s="58"/>
      <c r="T108" s="58"/>
      <c r="U108" s="58"/>
      <c r="V108" s="58"/>
      <c r="W108" s="58"/>
      <c r="X108" s="58"/>
      <c r="Y108" s="58"/>
      <c r="Z108" s="58"/>
      <c r="AA108" s="58"/>
      <c r="AB108" s="58"/>
      <c r="AC108" s="58"/>
      <c r="AD108" s="58"/>
      <c r="AE108" s="58"/>
      <c r="AF108" s="58"/>
      <c r="AG108" s="58"/>
      <c r="AH108" s="58"/>
      <c r="AI108" s="58"/>
      <c r="AJ108" s="58"/>
      <c r="AK108" s="58"/>
      <c r="AL108" s="58"/>
      <c r="AM108" s="58"/>
      <c r="AN108" s="58"/>
      <c r="AO108" s="58"/>
      <c r="AP108" s="77"/>
      <c r="AQ108" s="77"/>
      <c r="AR108" s="77"/>
      <c r="AS108" s="77"/>
    </row>
    <row r="109" spans="1:45" ht="15" customHeight="1" x14ac:dyDescent="0.3">
      <c r="A109" s="91"/>
      <c r="B109" s="91"/>
      <c r="C109" s="92"/>
      <c r="D109" s="103"/>
      <c r="E109" s="142" t="s">
        <v>171</v>
      </c>
      <c r="F109" s="142"/>
      <c r="G109" s="142" t="s">
        <v>38</v>
      </c>
      <c r="H109" s="183" t="str">
        <f xml:space="preserve"> Sources!I$13 &amp; ", " &amp; Sources!I19</f>
        <v>IX, XIV</v>
      </c>
      <c r="I109" s="183"/>
      <c r="K109" s="60"/>
      <c r="L109" s="60"/>
      <c r="M109" s="60"/>
      <c r="N109" s="60"/>
      <c r="O109" s="60"/>
      <c r="P109" s="60"/>
      <c r="Q109" s="60"/>
      <c r="R109" s="60"/>
      <c r="S109" s="60"/>
      <c r="T109" s="60"/>
      <c r="U109" s="60"/>
      <c r="V109" s="60"/>
      <c r="W109" s="60"/>
      <c r="X109" s="60">
        <v>404.70775199999997</v>
      </c>
      <c r="Y109" s="60">
        <v>1583</v>
      </c>
      <c r="Z109" s="60">
        <v>1607</v>
      </c>
      <c r="AA109" s="60">
        <v>2506</v>
      </c>
      <c r="AB109" s="60">
        <v>2306</v>
      </c>
      <c r="AC109" s="60">
        <v>778.15</v>
      </c>
      <c r="AD109" s="60"/>
      <c r="AE109" s="60"/>
      <c r="AF109" s="60"/>
      <c r="AG109" s="60"/>
      <c r="AH109" s="60"/>
      <c r="AI109" s="60"/>
      <c r="AJ109" s="60"/>
      <c r="AK109" s="60"/>
      <c r="AL109" s="60"/>
      <c r="AM109" s="60"/>
      <c r="AN109" s="60"/>
      <c r="AO109" s="60"/>
      <c r="AP109" s="100"/>
      <c r="AQ109" s="100"/>
      <c r="AR109" s="100"/>
      <c r="AS109" s="100"/>
    </row>
    <row r="110" spans="1:45" s="89" customFormat="1" ht="15" customHeight="1" x14ac:dyDescent="0.3">
      <c r="A110" s="97"/>
      <c r="B110" s="97"/>
      <c r="C110" s="359"/>
      <c r="D110" s="360"/>
      <c r="E110" s="184"/>
      <c r="F110" s="184"/>
      <c r="G110" s="184"/>
      <c r="H110" s="183"/>
      <c r="I110" s="183"/>
      <c r="J110" s="246"/>
      <c r="K110" s="58"/>
      <c r="L110" s="58"/>
      <c r="M110" s="58"/>
      <c r="N110" s="58"/>
      <c r="O110" s="58"/>
      <c r="P110" s="58"/>
      <c r="Q110" s="58"/>
      <c r="R110" s="58"/>
      <c r="S110" s="58"/>
      <c r="T110" s="58"/>
      <c r="U110" s="58"/>
      <c r="V110" s="58"/>
      <c r="W110" s="58"/>
      <c r="X110" s="58"/>
      <c r="Y110" s="58"/>
      <c r="Z110" s="58"/>
      <c r="AA110" s="58"/>
      <c r="AB110" s="58"/>
      <c r="AC110" s="58"/>
      <c r="AD110" s="58"/>
      <c r="AE110" s="58"/>
      <c r="AF110" s="58"/>
      <c r="AG110" s="58"/>
      <c r="AH110" s="58"/>
      <c r="AI110" s="58"/>
      <c r="AJ110" s="58"/>
      <c r="AK110" s="58"/>
      <c r="AL110" s="58"/>
      <c r="AM110" s="58"/>
      <c r="AN110" s="58"/>
      <c r="AO110" s="58"/>
      <c r="AP110" s="102"/>
      <c r="AQ110" s="102"/>
      <c r="AR110" s="102"/>
      <c r="AS110" s="102"/>
    </row>
    <row r="111" spans="1:45" ht="15" customHeight="1" x14ac:dyDescent="0.3">
      <c r="A111" s="91"/>
      <c r="B111" s="398" t="s">
        <v>1022</v>
      </c>
      <c r="C111" s="140"/>
      <c r="D111" s="103"/>
      <c r="E111" s="142"/>
      <c r="F111" s="144"/>
      <c r="G111" s="142"/>
      <c r="H111" s="142"/>
      <c r="I111" s="142"/>
      <c r="J111" s="61"/>
      <c r="K111" s="218"/>
      <c r="L111" s="218"/>
      <c r="M111" s="218"/>
      <c r="N111" s="218"/>
      <c r="O111" s="218"/>
      <c r="P111" s="218"/>
      <c r="Q111" s="218"/>
      <c r="R111" s="218"/>
      <c r="S111" s="218"/>
      <c r="T111" s="218"/>
      <c r="U111" s="218"/>
      <c r="V111" s="218"/>
      <c r="W111" s="218"/>
      <c r="X111" s="218"/>
      <c r="Y111" s="218"/>
      <c r="Z111" s="218"/>
      <c r="AA111" s="218"/>
      <c r="AB111" s="218"/>
      <c r="AC111" s="218"/>
      <c r="AD111" s="218"/>
      <c r="AE111" s="218"/>
      <c r="AF111" s="218"/>
      <c r="AG111" s="218"/>
      <c r="AH111" s="218"/>
      <c r="AI111" s="218"/>
      <c r="AJ111" s="218"/>
      <c r="AK111" s="218"/>
      <c r="AL111" s="218"/>
      <c r="AM111" s="218"/>
      <c r="AN111" s="218"/>
      <c r="AO111" s="218"/>
      <c r="AP111" s="135"/>
      <c r="AQ111" s="135"/>
      <c r="AR111" s="135"/>
      <c r="AS111" s="135"/>
    </row>
    <row r="112" spans="1:45" ht="15" customHeight="1" x14ac:dyDescent="0.3">
      <c r="A112" s="91"/>
      <c r="B112" s="91"/>
      <c r="C112" s="92"/>
      <c r="D112" s="103"/>
      <c r="E112" s="142" t="s">
        <v>286</v>
      </c>
      <c r="F112" s="240">
        <v>317</v>
      </c>
      <c r="G112" s="142" t="s">
        <v>287</v>
      </c>
      <c r="H112" s="36" t="str">
        <f xml:space="preserve"> Sources!I$33</f>
        <v>XXVII</v>
      </c>
      <c r="I112" s="36"/>
      <c r="J112" s="61"/>
      <c r="K112" s="102"/>
      <c r="L112" s="102"/>
      <c r="M112" s="102"/>
      <c r="N112" s="102"/>
      <c r="O112" s="102"/>
      <c r="P112" s="102"/>
      <c r="Q112" s="102"/>
      <c r="R112" s="102"/>
      <c r="S112" s="102"/>
      <c r="T112" s="102"/>
      <c r="U112" s="102"/>
      <c r="V112" s="102"/>
      <c r="W112" s="102"/>
      <c r="X112" s="102"/>
      <c r="Y112" s="102"/>
      <c r="Z112" s="102"/>
      <c r="AA112" s="102"/>
      <c r="AB112" s="102"/>
      <c r="AC112" s="102"/>
      <c r="AD112" s="102"/>
      <c r="AE112" s="102"/>
      <c r="AF112" s="102"/>
      <c r="AG112" s="102"/>
      <c r="AH112" s="102"/>
      <c r="AI112" s="102"/>
      <c r="AJ112" s="102"/>
      <c r="AK112" s="102"/>
      <c r="AL112" s="102"/>
      <c r="AM112" s="102"/>
      <c r="AN112" s="102"/>
      <c r="AO112" s="102"/>
      <c r="AP112" s="102"/>
      <c r="AQ112" s="102"/>
      <c r="AR112" s="102"/>
      <c r="AS112" s="102"/>
    </row>
    <row r="113" spans="1:45" ht="15" customHeight="1" x14ac:dyDescent="0.3">
      <c r="A113" s="38"/>
      <c r="B113" s="38"/>
      <c r="C113" s="38"/>
      <c r="D113" s="38"/>
      <c r="E113" s="1037" t="str">
        <f xml:space="preserve"> Scenarios!B$17</f>
        <v>Third Party Marketing Charge: Cu &amp; Co</v>
      </c>
      <c r="F113" s="1013">
        <f xml:space="preserve"> Scenarios!C$17</f>
        <v>8.0000000000000002E-3</v>
      </c>
      <c r="G113" s="1038" t="str">
        <f xml:space="preserve"> Scenarios!D$17</f>
        <v>%</v>
      </c>
      <c r="H113" s="36" t="str">
        <f xml:space="preserve"> Sources!I$33</f>
        <v>XXVII</v>
      </c>
      <c r="I113" s="36"/>
      <c r="K113" s="38"/>
      <c r="L113" s="38"/>
      <c r="M113" s="38"/>
      <c r="N113" s="38"/>
      <c r="O113" s="38"/>
      <c r="P113" s="38"/>
      <c r="Q113" s="38"/>
      <c r="R113" s="38"/>
      <c r="S113" s="38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  <c r="AF113" s="38"/>
      <c r="AG113" s="38"/>
      <c r="AH113" s="38"/>
      <c r="AI113" s="38"/>
      <c r="AJ113" s="38"/>
      <c r="AK113" s="38"/>
      <c r="AL113" s="38"/>
      <c r="AM113" s="38"/>
      <c r="AN113" s="38"/>
      <c r="AO113" s="38"/>
      <c r="AP113" s="38"/>
      <c r="AQ113" s="38"/>
      <c r="AR113" s="38"/>
      <c r="AS113" s="38"/>
    </row>
    <row r="114" spans="1:45" s="70" customFormat="1" ht="15" customHeight="1" x14ac:dyDescent="0.3">
      <c r="A114" s="91"/>
      <c r="B114" s="91"/>
      <c r="C114" s="92"/>
      <c r="D114" s="103"/>
      <c r="E114" s="1041" t="str">
        <f xml:space="preserve"> Scenarios!B$21</f>
        <v>Som contract: placeholder assumption of third party sales: Cu</v>
      </c>
      <c r="F114" s="1013">
        <f xml:space="preserve"> Scenarios!C$21</f>
        <v>0.5</v>
      </c>
      <c r="G114" s="1042" t="str">
        <f xml:space="preserve"> Scenarios!D$21</f>
        <v>%</v>
      </c>
      <c r="H114" s="1093" t="str">
        <f xml:space="preserve"> Sources!I$33</f>
        <v>XXVII</v>
      </c>
      <c r="I114" s="34"/>
      <c r="J114" s="34"/>
      <c r="K114" s="102"/>
      <c r="L114" s="102"/>
      <c r="M114" s="102"/>
      <c r="N114" s="102"/>
      <c r="O114" s="102"/>
      <c r="P114" s="102"/>
      <c r="Q114" s="102"/>
      <c r="R114" s="102"/>
      <c r="S114" s="102"/>
      <c r="T114" s="102"/>
      <c r="U114" s="102"/>
      <c r="V114" s="102"/>
      <c r="W114" s="102"/>
      <c r="X114" s="102"/>
      <c r="Y114" s="102"/>
      <c r="Z114" s="102"/>
      <c r="AA114" s="102"/>
      <c r="AB114" s="102"/>
      <c r="AC114" s="102"/>
      <c r="AD114" s="102"/>
      <c r="AE114" s="102"/>
      <c r="AF114" s="102"/>
      <c r="AG114" s="102"/>
      <c r="AH114" s="102"/>
      <c r="AI114" s="102"/>
      <c r="AJ114" s="102"/>
      <c r="AK114" s="102"/>
      <c r="AL114" s="102"/>
      <c r="AM114" s="102"/>
      <c r="AN114" s="102"/>
      <c r="AO114" s="102"/>
      <c r="AP114" s="102"/>
      <c r="AQ114" s="102"/>
      <c r="AR114" s="102"/>
      <c r="AS114" s="102"/>
    </row>
    <row r="115" spans="1:45" s="89" customFormat="1" ht="15" customHeight="1" x14ac:dyDescent="0.3">
      <c r="A115" s="97"/>
      <c r="B115" s="97"/>
      <c r="C115" s="359"/>
      <c r="D115" s="360"/>
      <c r="E115" s="184"/>
      <c r="F115" s="184"/>
      <c r="G115" s="184"/>
      <c r="H115" s="183"/>
      <c r="I115" s="183"/>
      <c r="J115" s="246"/>
      <c r="K115" s="58"/>
      <c r="L115" s="58"/>
      <c r="M115" s="58"/>
      <c r="N115" s="58"/>
      <c r="O115" s="58"/>
      <c r="P115" s="58"/>
      <c r="Q115" s="58"/>
      <c r="R115" s="58"/>
      <c r="S115" s="58"/>
      <c r="T115" s="58"/>
      <c r="U115" s="58"/>
      <c r="V115" s="58"/>
      <c r="W115" s="58"/>
      <c r="X115" s="58"/>
      <c r="Y115" s="58"/>
      <c r="Z115" s="58"/>
      <c r="AA115" s="58"/>
      <c r="AB115" s="58"/>
      <c r="AC115" s="58"/>
      <c r="AD115" s="58"/>
      <c r="AE115" s="58"/>
      <c r="AF115" s="58"/>
      <c r="AG115" s="58"/>
      <c r="AH115" s="58"/>
      <c r="AI115" s="58"/>
      <c r="AJ115" s="58"/>
      <c r="AK115" s="58"/>
      <c r="AL115" s="58"/>
      <c r="AM115" s="58"/>
      <c r="AN115" s="58"/>
      <c r="AO115" s="58"/>
      <c r="AP115" s="102"/>
      <c r="AQ115" s="102"/>
      <c r="AR115" s="102"/>
      <c r="AS115" s="102"/>
    </row>
    <row r="116" spans="1:45" s="89" customFormat="1" ht="15" customHeight="1" x14ac:dyDescent="0.3">
      <c r="A116" s="97"/>
      <c r="B116" s="398" t="s">
        <v>1024</v>
      </c>
      <c r="C116" s="359"/>
      <c r="D116" s="360"/>
      <c r="E116" s="184"/>
      <c r="F116" s="184"/>
      <c r="G116" s="184"/>
      <c r="H116" s="183"/>
      <c r="I116" s="183"/>
      <c r="J116" s="246"/>
      <c r="K116" s="58"/>
      <c r="L116" s="58"/>
      <c r="M116" s="58"/>
      <c r="N116" s="58"/>
      <c r="O116" s="58"/>
      <c r="P116" s="58"/>
      <c r="Q116" s="58"/>
      <c r="R116" s="58"/>
      <c r="S116" s="58"/>
      <c r="T116" s="58"/>
      <c r="U116" s="58"/>
      <c r="V116" s="58"/>
      <c r="W116" s="58"/>
      <c r="X116" s="58"/>
      <c r="Y116" s="58"/>
      <c r="Z116" s="58"/>
      <c r="AA116" s="58"/>
      <c r="AB116" s="58"/>
      <c r="AC116" s="58"/>
      <c r="AD116" s="58"/>
      <c r="AE116" s="58"/>
      <c r="AF116" s="58"/>
      <c r="AG116" s="58"/>
      <c r="AH116" s="58"/>
      <c r="AI116" s="58"/>
      <c r="AJ116" s="58"/>
      <c r="AK116" s="58"/>
      <c r="AL116" s="58"/>
      <c r="AM116" s="58"/>
      <c r="AN116" s="58"/>
      <c r="AO116" s="58"/>
      <c r="AP116" s="102"/>
      <c r="AQ116" s="102"/>
      <c r="AR116" s="102"/>
      <c r="AS116" s="102"/>
    </row>
    <row r="117" spans="1:45" s="89" customFormat="1" ht="15" customHeight="1" x14ac:dyDescent="0.3">
      <c r="A117" s="97"/>
      <c r="B117" s="97"/>
      <c r="C117" s="359"/>
      <c r="D117" s="360"/>
      <c r="E117" s="142" t="s">
        <v>1025</v>
      </c>
      <c r="F117" s="248">
        <v>520</v>
      </c>
      <c r="G117" s="142" t="s">
        <v>321</v>
      </c>
      <c r="H117" s="183" t="str">
        <f xml:space="preserve"> Sources!I$32</f>
        <v>XXVI</v>
      </c>
      <c r="I117" s="183"/>
      <c r="J117" s="246"/>
      <c r="K117" s="58"/>
      <c r="L117" s="58"/>
      <c r="M117" s="58"/>
      <c r="N117" s="58"/>
      <c r="O117" s="58"/>
      <c r="P117" s="58"/>
      <c r="Q117" s="58"/>
      <c r="R117" s="58"/>
      <c r="S117" s="58"/>
      <c r="T117" s="58"/>
      <c r="U117" s="58"/>
      <c r="V117" s="58"/>
      <c r="W117" s="58"/>
      <c r="X117" s="58"/>
      <c r="Y117" s="58"/>
      <c r="Z117" s="58"/>
      <c r="AA117" s="58"/>
      <c r="AB117" s="58"/>
      <c r="AC117" s="58"/>
      <c r="AD117" s="58"/>
      <c r="AE117" s="58"/>
      <c r="AF117" s="58"/>
      <c r="AG117" s="58"/>
      <c r="AH117" s="58"/>
      <c r="AI117" s="58"/>
      <c r="AJ117" s="58"/>
      <c r="AK117" s="58"/>
      <c r="AL117" s="58"/>
      <c r="AM117" s="58"/>
      <c r="AN117" s="58"/>
      <c r="AO117" s="58"/>
      <c r="AP117" s="102"/>
      <c r="AQ117" s="102"/>
      <c r="AR117" s="102"/>
      <c r="AS117" s="102"/>
    </row>
    <row r="118" spans="1:45" s="89" customFormat="1" ht="15" customHeight="1" x14ac:dyDescent="0.3">
      <c r="A118" s="97"/>
      <c r="B118" s="97"/>
      <c r="C118" s="359"/>
      <c r="D118" s="360"/>
      <c r="E118" s="142" t="s">
        <v>1026</v>
      </c>
      <c r="F118" s="188">
        <v>0.95</v>
      </c>
      <c r="G118" s="142" t="s">
        <v>34</v>
      </c>
      <c r="H118" s="183" t="str">
        <f xml:space="preserve"> Sources!I$32</f>
        <v>XXVI</v>
      </c>
      <c r="I118" s="183" t="s">
        <v>1029</v>
      </c>
      <c r="J118" s="246"/>
      <c r="K118" s="58"/>
      <c r="L118" s="58"/>
      <c r="M118" s="58"/>
      <c r="N118" s="58"/>
      <c r="O118" s="58"/>
      <c r="P118" s="58"/>
      <c r="Q118" s="58"/>
      <c r="R118" s="58"/>
      <c r="S118" s="58"/>
      <c r="T118" s="58"/>
      <c r="U118" s="58"/>
      <c r="V118" s="58"/>
      <c r="W118" s="58"/>
      <c r="X118" s="58"/>
      <c r="Y118" s="58"/>
      <c r="Z118" s="58"/>
      <c r="AA118" s="58"/>
      <c r="AB118" s="58"/>
      <c r="AC118" s="58"/>
      <c r="AD118" s="58"/>
      <c r="AE118" s="58"/>
      <c r="AF118" s="58"/>
      <c r="AG118" s="58"/>
      <c r="AH118" s="58"/>
      <c r="AI118" s="58"/>
      <c r="AJ118" s="58"/>
      <c r="AK118" s="58"/>
      <c r="AL118" s="58"/>
      <c r="AM118" s="58"/>
      <c r="AN118" s="58"/>
      <c r="AO118" s="58"/>
      <c r="AP118" s="102"/>
      <c r="AQ118" s="102"/>
      <c r="AR118" s="102"/>
      <c r="AS118" s="102"/>
    </row>
    <row r="119" spans="1:45" ht="15" customHeight="1" x14ac:dyDescent="0.3">
      <c r="E119" s="1037" t="str">
        <f xml:space="preserve"> Scenarios!B$17</f>
        <v>Third Party Marketing Charge: Cu &amp; Co</v>
      </c>
      <c r="F119" s="1013">
        <f xml:space="preserve"> Scenarios!C$17</f>
        <v>8.0000000000000002E-3</v>
      </c>
      <c r="G119" s="1038" t="str">
        <f xml:space="preserve"> Scenarios!D$17</f>
        <v>%</v>
      </c>
      <c r="H119" s="183" t="str">
        <f xml:space="preserve"> Sources!I$32</f>
        <v>XXVI</v>
      </c>
    </row>
    <row r="120" spans="1:45" ht="15" customHeight="1" x14ac:dyDescent="0.3">
      <c r="E120" s="1037"/>
      <c r="F120" s="1013"/>
      <c r="G120" s="1038"/>
      <c r="H120" s="183"/>
    </row>
    <row r="121" spans="1:45" s="89" customFormat="1" ht="15" customHeight="1" x14ac:dyDescent="0.3">
      <c r="A121" s="97"/>
      <c r="B121" s="97"/>
      <c r="C121" s="359"/>
      <c r="D121" s="360"/>
      <c r="E121" s="1041" t="str">
        <f xml:space="preserve"> Scenarios!B$22</f>
        <v>Som contract: placeholder assumption of third party sales: Co</v>
      </c>
      <c r="F121" s="1013">
        <f xml:space="preserve"> Scenarios!C$22</f>
        <v>0.9</v>
      </c>
      <c r="G121" s="1043" t="str">
        <f xml:space="preserve"> Scenarios!D$22</f>
        <v>%</v>
      </c>
      <c r="H121" s="183" t="str">
        <f xml:space="preserve"> Sources!I$32</f>
        <v>XXVI</v>
      </c>
      <c r="I121" s="183"/>
      <c r="J121" s="246"/>
      <c r="K121" s="58"/>
      <c r="L121" s="58"/>
      <c r="M121" s="58"/>
      <c r="N121" s="58"/>
      <c r="O121" s="58"/>
      <c r="P121" s="58"/>
      <c r="Q121" s="58"/>
      <c r="R121" s="58"/>
      <c r="S121" s="58"/>
      <c r="T121" s="58"/>
      <c r="U121" s="58"/>
      <c r="V121" s="58"/>
      <c r="W121" s="58"/>
      <c r="X121" s="58"/>
      <c r="Y121" s="58"/>
      <c r="Z121" s="58"/>
      <c r="AA121" s="58"/>
      <c r="AB121" s="58"/>
      <c r="AC121" s="58"/>
      <c r="AD121" s="58"/>
      <c r="AE121" s="58"/>
      <c r="AF121" s="58"/>
      <c r="AG121" s="58"/>
      <c r="AH121" s="58"/>
      <c r="AI121" s="58"/>
      <c r="AJ121" s="58"/>
      <c r="AK121" s="58"/>
      <c r="AL121" s="58"/>
      <c r="AM121" s="58"/>
      <c r="AN121" s="58"/>
      <c r="AO121" s="58"/>
      <c r="AP121" s="102"/>
      <c r="AQ121" s="102"/>
      <c r="AR121" s="102"/>
      <c r="AS121" s="102"/>
    </row>
    <row r="122" spans="1:45" s="361" customFormat="1" ht="15" customHeight="1" x14ac:dyDescent="0.3">
      <c r="A122" s="97"/>
      <c r="B122" s="97"/>
      <c r="C122" s="359"/>
      <c r="D122" s="360"/>
      <c r="E122" s="1039" t="str">
        <f xml:space="preserve"> Scenarios!B$20</f>
        <v>Cobalt Payable Rate applied in model</v>
      </c>
      <c r="F122" s="1013">
        <f xml:space="preserve"> Scenarios!C$20</f>
        <v>0.7</v>
      </c>
      <c r="G122" s="1040" t="str">
        <f xml:space="preserve"> Scenarios!D$20</f>
        <v>%</v>
      </c>
      <c r="H122" s="230"/>
      <c r="I122" s="230"/>
      <c r="J122" s="386"/>
      <c r="K122" s="102"/>
      <c r="L122" s="102"/>
      <c r="M122" s="102"/>
      <c r="N122" s="102"/>
      <c r="O122" s="102"/>
      <c r="P122" s="102"/>
      <c r="Q122" s="102"/>
      <c r="R122" s="102"/>
      <c r="S122" s="102"/>
      <c r="T122" s="102"/>
      <c r="U122" s="102"/>
      <c r="V122" s="102"/>
      <c r="W122" s="102"/>
      <c r="X122" s="102"/>
      <c r="Y122" s="102"/>
      <c r="Z122" s="102"/>
      <c r="AA122" s="102"/>
      <c r="AB122" s="102"/>
      <c r="AC122" s="102"/>
      <c r="AD122" s="102"/>
      <c r="AE122" s="102"/>
      <c r="AF122" s="102"/>
      <c r="AG122" s="102"/>
      <c r="AH122" s="102"/>
      <c r="AI122" s="102"/>
      <c r="AJ122" s="102"/>
      <c r="AK122" s="102"/>
      <c r="AL122" s="102"/>
      <c r="AM122" s="102"/>
      <c r="AN122" s="102"/>
      <c r="AO122" s="102"/>
      <c r="AP122" s="102"/>
      <c r="AQ122" s="102"/>
      <c r="AR122" s="102"/>
      <c r="AS122" s="102"/>
    </row>
    <row r="123" spans="1:45" s="361" customFormat="1" ht="15" customHeight="1" x14ac:dyDescent="0.3">
      <c r="A123" s="97"/>
      <c r="B123" s="97"/>
      <c r="C123" s="359"/>
      <c r="D123" s="360"/>
      <c r="E123" s="1039"/>
      <c r="F123" s="1013"/>
      <c r="G123" s="1040"/>
      <c r="H123" s="230"/>
      <c r="I123" s="230"/>
      <c r="J123" s="386"/>
      <c r="K123" s="102"/>
      <c r="L123" s="102"/>
      <c r="M123" s="102"/>
      <c r="N123" s="102"/>
      <c r="O123" s="102"/>
      <c r="P123" s="102"/>
      <c r="Q123" s="102"/>
      <c r="R123" s="102"/>
      <c r="S123" s="102"/>
      <c r="T123" s="102"/>
      <c r="U123" s="102"/>
      <c r="V123" s="102"/>
      <c r="W123" s="102"/>
      <c r="X123" s="102"/>
      <c r="Y123" s="102"/>
      <c r="Z123" s="102"/>
      <c r="AA123" s="102"/>
      <c r="AB123" s="102"/>
      <c r="AC123" s="102"/>
      <c r="AD123" s="102"/>
      <c r="AE123" s="102"/>
      <c r="AF123" s="102"/>
      <c r="AG123" s="102"/>
      <c r="AH123" s="102"/>
      <c r="AI123" s="102"/>
      <c r="AJ123" s="102"/>
      <c r="AK123" s="102"/>
      <c r="AL123" s="102"/>
      <c r="AM123" s="102"/>
      <c r="AN123" s="102"/>
      <c r="AO123" s="102"/>
      <c r="AP123" s="102"/>
      <c r="AQ123" s="102"/>
      <c r="AR123" s="102"/>
      <c r="AS123" s="102"/>
    </row>
    <row r="124" spans="1:45" ht="15" customHeight="1" x14ac:dyDescent="0.3">
      <c r="A124" s="91"/>
      <c r="B124" s="91"/>
      <c r="C124" s="92"/>
      <c r="D124" s="103"/>
      <c r="E124" s="142" t="s">
        <v>326</v>
      </c>
      <c r="F124" s="188">
        <f>AVERAGE(S125:AQ125)</f>
        <v>0.27762162238664501</v>
      </c>
      <c r="G124" s="142" t="s">
        <v>34</v>
      </c>
      <c r="H124" s="183" t="str">
        <f xml:space="preserve"> Sources!I$19</f>
        <v>XIV</v>
      </c>
      <c r="I124" s="183"/>
      <c r="J124" s="61"/>
      <c r="S124" s="102"/>
      <c r="T124" s="102"/>
      <c r="U124" s="102"/>
      <c r="V124" s="102"/>
      <c r="W124" s="102"/>
      <c r="X124" s="102"/>
      <c r="Y124" s="102"/>
      <c r="Z124" s="102"/>
      <c r="AA124" s="102"/>
      <c r="AB124" s="102"/>
      <c r="AC124" s="102"/>
      <c r="AD124" s="102"/>
      <c r="AE124" s="102"/>
      <c r="AF124" s="102"/>
      <c r="AG124" s="102"/>
      <c r="AH124" s="102"/>
      <c r="AI124" s="102"/>
      <c r="AJ124" s="102"/>
      <c r="AK124" s="102"/>
      <c r="AL124" s="102"/>
      <c r="AM124" s="102"/>
      <c r="AN124" s="102"/>
      <c r="AO124" s="102"/>
      <c r="AP124" s="102"/>
      <c r="AQ124" s="102"/>
      <c r="AR124" s="102"/>
      <c r="AS124" s="102"/>
    </row>
    <row r="125" spans="1:45" ht="15" customHeight="1" x14ac:dyDescent="0.3">
      <c r="A125" s="91"/>
      <c r="B125" s="91"/>
      <c r="C125" s="92"/>
      <c r="D125" s="103"/>
      <c r="E125" s="142" t="s">
        <v>277</v>
      </c>
      <c r="F125" s="142"/>
      <c r="G125" s="142" t="s">
        <v>34</v>
      </c>
      <c r="H125" s="57" t="str">
        <f xml:space="preserve"> Sources!I$19</f>
        <v>XIV</v>
      </c>
      <c r="I125" s="57"/>
      <c r="S125" s="58"/>
      <c r="T125" s="58"/>
      <c r="U125" s="58"/>
      <c r="V125" s="58"/>
      <c r="W125" s="58"/>
      <c r="X125" s="218">
        <v>0.26230485342420623</v>
      </c>
      <c r="Y125" s="218">
        <v>0.29293839134908378</v>
      </c>
      <c r="Z125" s="70"/>
      <c r="AA125" s="58"/>
      <c r="AB125" s="58"/>
      <c r="AC125" s="58"/>
      <c r="AD125" s="58"/>
      <c r="AE125" s="58"/>
      <c r="AF125" s="58"/>
      <c r="AG125" s="58"/>
      <c r="AH125" s="58"/>
      <c r="AI125" s="58"/>
      <c r="AJ125" s="58"/>
      <c r="AK125" s="58"/>
      <c r="AL125" s="58"/>
      <c r="AM125" s="58"/>
      <c r="AN125" s="58"/>
      <c r="AO125" s="58"/>
      <c r="AP125" s="58"/>
      <c r="AQ125" s="58"/>
      <c r="AR125" s="58"/>
      <c r="AS125" s="58"/>
    </row>
    <row r="126" spans="1:45" s="89" customFormat="1" ht="15" customHeight="1" x14ac:dyDescent="0.3">
      <c r="A126" s="97"/>
      <c r="B126" s="97"/>
      <c r="C126" s="359"/>
      <c r="D126" s="360"/>
      <c r="E126" s="184"/>
      <c r="F126" s="184"/>
      <c r="G126" s="184"/>
      <c r="H126" s="183"/>
      <c r="I126" s="183"/>
      <c r="J126" s="246"/>
      <c r="K126" s="58"/>
      <c r="L126" s="58"/>
      <c r="M126" s="58"/>
      <c r="N126" s="58"/>
      <c r="O126" s="58"/>
      <c r="P126" s="58"/>
      <c r="Q126" s="58"/>
      <c r="R126" s="58"/>
      <c r="S126" s="58"/>
      <c r="T126" s="58"/>
      <c r="U126" s="58"/>
      <c r="V126" s="58"/>
      <c r="W126" s="58"/>
      <c r="X126" s="58"/>
      <c r="Y126" s="58"/>
      <c r="Z126" s="58"/>
      <c r="AA126" s="58"/>
      <c r="AB126" s="58"/>
      <c r="AC126" s="58"/>
      <c r="AD126" s="58"/>
      <c r="AE126" s="58"/>
      <c r="AF126" s="58"/>
      <c r="AG126" s="58"/>
      <c r="AH126" s="58"/>
      <c r="AI126" s="58"/>
      <c r="AJ126" s="58"/>
      <c r="AK126" s="58"/>
      <c r="AL126" s="58"/>
      <c r="AM126" s="58"/>
      <c r="AN126" s="58"/>
      <c r="AO126" s="58"/>
      <c r="AP126" s="102"/>
      <c r="AQ126" s="102"/>
      <c r="AR126" s="102"/>
      <c r="AS126" s="102"/>
    </row>
    <row r="127" spans="1:45" ht="15" customHeight="1" collapsed="1" x14ac:dyDescent="0.3">
      <c r="A127" s="15" t="s">
        <v>39</v>
      </c>
      <c r="B127" s="16"/>
      <c r="C127" s="17"/>
      <c r="D127" s="18"/>
      <c r="E127" s="196"/>
      <c r="F127" s="196"/>
      <c r="G127" s="196"/>
      <c r="H127" s="196"/>
      <c r="I127" s="196"/>
      <c r="J127" s="16"/>
      <c r="K127" s="16"/>
      <c r="L127" s="16"/>
      <c r="M127" s="16"/>
      <c r="N127" s="16"/>
      <c r="O127" s="16"/>
      <c r="P127" s="16"/>
      <c r="Q127" s="16"/>
      <c r="R127" s="16"/>
      <c r="S127" s="16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  <c r="AK127" s="16"/>
      <c r="AL127" s="16"/>
      <c r="AM127" s="16"/>
      <c r="AN127" s="16"/>
      <c r="AO127" s="16"/>
      <c r="AP127" s="16"/>
      <c r="AQ127" s="16"/>
      <c r="AR127" s="16"/>
      <c r="AS127" s="16"/>
    </row>
    <row r="128" spans="1:45" ht="15" customHeight="1" x14ac:dyDescent="0.3">
      <c r="A128" s="52"/>
      <c r="B128" s="53"/>
      <c r="C128" s="54"/>
      <c r="D128" s="55"/>
      <c r="E128" s="197"/>
      <c r="F128" s="197"/>
      <c r="G128" s="197"/>
      <c r="H128" s="197"/>
      <c r="I128" s="197"/>
      <c r="J128" s="53"/>
      <c r="S128" s="53"/>
      <c r="T128" s="53"/>
      <c r="U128" s="53"/>
      <c r="V128" s="53"/>
      <c r="W128" s="53"/>
      <c r="X128" s="53"/>
      <c r="Y128" s="53"/>
      <c r="Z128" s="53"/>
      <c r="AA128" s="53"/>
      <c r="AB128" s="53"/>
      <c r="AC128" s="53"/>
      <c r="AD128" s="53"/>
      <c r="AE128" s="53"/>
      <c r="AF128" s="53"/>
      <c r="AG128" s="53"/>
      <c r="AH128" s="53"/>
      <c r="AI128" s="53"/>
      <c r="AJ128" s="53"/>
      <c r="AK128" s="53"/>
      <c r="AL128" s="53"/>
      <c r="AM128" s="53"/>
      <c r="AN128" s="53"/>
      <c r="AO128" s="53"/>
      <c r="AP128" s="53"/>
      <c r="AQ128" s="53"/>
      <c r="AR128" s="53"/>
      <c r="AS128" s="53"/>
    </row>
    <row r="129" spans="1:45" ht="15" customHeight="1" x14ac:dyDescent="0.3">
      <c r="A129" s="52"/>
      <c r="B129" s="53" t="s">
        <v>599</v>
      </c>
      <c r="C129" s="54"/>
      <c r="D129" s="55"/>
      <c r="E129" s="197"/>
      <c r="F129" s="197"/>
      <c r="G129" s="197"/>
      <c r="H129" s="197"/>
      <c r="I129" s="197"/>
      <c r="J129" s="61"/>
      <c r="S129" s="89"/>
      <c r="T129" s="89"/>
      <c r="U129" s="53"/>
      <c r="V129" s="53"/>
      <c r="W129" s="53"/>
      <c r="X129" s="53"/>
      <c r="Y129" s="53"/>
      <c r="Z129" s="53"/>
      <c r="AA129" s="53"/>
      <c r="AB129" s="53"/>
      <c r="AC129" s="53"/>
      <c r="AD129" s="53"/>
      <c r="AE129" s="53"/>
      <c r="AF129" s="53"/>
      <c r="AG129" s="53"/>
      <c r="AH129" s="53"/>
      <c r="AI129" s="53"/>
      <c r="AJ129" s="53"/>
      <c r="AK129" s="53"/>
      <c r="AL129" s="53"/>
      <c r="AM129" s="53"/>
      <c r="AN129" s="53"/>
      <c r="AO129" s="53"/>
      <c r="AP129" s="53"/>
      <c r="AQ129" s="53"/>
      <c r="AR129" s="53"/>
      <c r="AS129" s="53"/>
    </row>
    <row r="130" spans="1:45" ht="15" customHeight="1" x14ac:dyDescent="0.3">
      <c r="A130" s="197"/>
      <c r="B130" s="197"/>
      <c r="C130" s="421" t="s">
        <v>621</v>
      </c>
      <c r="D130" s="214"/>
      <c r="E130" s="184"/>
      <c r="F130" s="184"/>
      <c r="G130" s="184"/>
      <c r="H130" s="243"/>
      <c r="I130" s="243"/>
      <c r="S130" s="198"/>
      <c r="T130" s="198"/>
      <c r="U130" s="198"/>
      <c r="V130" s="198"/>
      <c r="W130" s="198"/>
      <c r="X130" s="254"/>
      <c r="Y130" s="254"/>
      <c r="Z130" s="254"/>
      <c r="AA130" s="254"/>
      <c r="AB130" s="254"/>
      <c r="AC130" s="254"/>
      <c r="AD130" s="198"/>
      <c r="AE130" s="198"/>
      <c r="AF130" s="198"/>
      <c r="AG130" s="198"/>
      <c r="AH130" s="198"/>
      <c r="AI130" s="198"/>
      <c r="AJ130" s="198"/>
      <c r="AK130" s="198"/>
      <c r="AL130" s="198"/>
      <c r="AM130" s="198"/>
      <c r="AN130" s="198"/>
      <c r="AO130" s="198"/>
      <c r="AP130" s="198"/>
      <c r="AQ130" s="198"/>
      <c r="AR130" s="198"/>
      <c r="AS130" s="198"/>
    </row>
    <row r="131" spans="1:45" ht="15" customHeight="1" x14ac:dyDescent="0.3">
      <c r="D131" s="20"/>
      <c r="E131" s="142" t="s">
        <v>111</v>
      </c>
      <c r="F131" s="142"/>
      <c r="G131" s="142" t="s">
        <v>346</v>
      </c>
      <c r="H131" s="183" t="str">
        <f xml:space="preserve"> Sources!I$19</f>
        <v>XIV</v>
      </c>
      <c r="I131" s="183"/>
      <c r="K131" s="60"/>
      <c r="L131" s="60"/>
      <c r="M131" s="60"/>
      <c r="N131" s="60"/>
      <c r="O131" s="60"/>
      <c r="P131" s="60"/>
      <c r="Q131" s="60"/>
      <c r="R131" s="60"/>
      <c r="S131" s="60"/>
      <c r="T131" s="60"/>
      <c r="U131" s="60"/>
      <c r="V131" s="60"/>
      <c r="W131" s="219">
        <v>277.01950303379999</v>
      </c>
      <c r="X131" s="220">
        <v>423.14584524430001</v>
      </c>
      <c r="Y131" s="219">
        <v>609.58171884882995</v>
      </c>
      <c r="Z131" s="221"/>
      <c r="AA131" s="221"/>
      <c r="AB131" s="221"/>
      <c r="AC131" s="221"/>
      <c r="AD131" s="60"/>
      <c r="AE131" s="60"/>
      <c r="AF131" s="60"/>
      <c r="AG131" s="60"/>
      <c r="AH131" s="60"/>
      <c r="AI131" s="60"/>
      <c r="AJ131" s="60"/>
      <c r="AK131" s="60"/>
      <c r="AL131" s="60"/>
      <c r="AM131" s="60"/>
      <c r="AN131" s="60"/>
      <c r="AO131" s="60"/>
      <c r="AP131" s="56"/>
      <c r="AQ131" s="56"/>
      <c r="AR131" s="56"/>
      <c r="AS131" s="56"/>
    </row>
    <row r="132" spans="1:45" ht="15" customHeight="1" x14ac:dyDescent="0.3">
      <c r="A132" s="139"/>
      <c r="B132" s="139"/>
      <c r="C132" s="140"/>
      <c r="D132" s="141"/>
      <c r="E132" s="142" t="s">
        <v>301</v>
      </c>
      <c r="F132" s="142"/>
      <c r="G132" s="142" t="s">
        <v>321</v>
      </c>
      <c r="H132" s="183" t="str">
        <f xml:space="preserve"> Sources!I$19</f>
        <v>XIV</v>
      </c>
      <c r="I132" s="183"/>
      <c r="J132" s="36"/>
      <c r="K132" s="212"/>
      <c r="L132" s="212"/>
      <c r="M132" s="212"/>
      <c r="N132" s="212"/>
      <c r="O132" s="212"/>
      <c r="P132" s="212"/>
      <c r="Q132" s="212"/>
      <c r="R132" s="212"/>
      <c r="S132" s="212"/>
      <c r="T132" s="212"/>
      <c r="U132" s="212"/>
      <c r="V132" s="212"/>
      <c r="W132" s="213">
        <f>(W131*10^6)/W85</f>
        <v>5667.8772618398934</v>
      </c>
      <c r="X132" s="780">
        <f>(X131*10^6)/X85</f>
        <v>5484.2765439926088</v>
      </c>
      <c r="Y132" s="780">
        <f>(Y131*10^6)/Y85</f>
        <v>6045.5137948502415</v>
      </c>
      <c r="Z132" s="781"/>
      <c r="AA132" s="781"/>
      <c r="AB132" s="781"/>
      <c r="AC132" s="781"/>
      <c r="AD132" s="212"/>
      <c r="AE132" s="212"/>
      <c r="AF132" s="212"/>
      <c r="AG132" s="212"/>
      <c r="AH132" s="212"/>
      <c r="AI132" s="212"/>
      <c r="AJ132" s="212"/>
      <c r="AK132" s="212"/>
      <c r="AL132" s="212"/>
      <c r="AM132" s="212"/>
      <c r="AN132" s="212"/>
      <c r="AO132" s="212"/>
      <c r="AP132" s="212"/>
      <c r="AQ132" s="212"/>
      <c r="AR132" s="212"/>
      <c r="AS132" s="212"/>
    </row>
    <row r="133" spans="1:45" ht="15" customHeight="1" x14ac:dyDescent="0.3">
      <c r="D133" s="20"/>
      <c r="E133" s="142"/>
      <c r="F133" s="142"/>
      <c r="G133" s="142"/>
      <c r="H133" s="183"/>
      <c r="I133" s="183"/>
      <c r="J133" s="61"/>
      <c r="K133" s="58"/>
      <c r="L133" s="58"/>
      <c r="M133" s="58"/>
      <c r="N133" s="58"/>
      <c r="O133" s="58"/>
      <c r="P133" s="58"/>
      <c r="Q133" s="58"/>
      <c r="R133" s="58"/>
      <c r="S133" s="58"/>
      <c r="T133" s="58"/>
      <c r="U133" s="58"/>
      <c r="V133" s="58"/>
      <c r="W133" s="222"/>
      <c r="X133" s="223"/>
      <c r="Y133" s="222"/>
      <c r="Z133" s="218"/>
      <c r="AA133" s="218"/>
      <c r="AB133" s="218"/>
      <c r="AC133" s="218"/>
      <c r="AD133" s="58"/>
      <c r="AE133" s="58"/>
      <c r="AF133" s="58"/>
      <c r="AG133" s="58"/>
      <c r="AH133" s="58"/>
      <c r="AI133" s="58"/>
      <c r="AJ133" s="58"/>
      <c r="AK133" s="58"/>
      <c r="AL133" s="58"/>
      <c r="AM133" s="58"/>
      <c r="AN133" s="58"/>
      <c r="AO133" s="58"/>
      <c r="AP133" s="77"/>
      <c r="AQ133" s="77"/>
      <c r="AR133" s="77"/>
      <c r="AS133" s="77"/>
    </row>
    <row r="134" spans="1:45" ht="15" customHeight="1" x14ac:dyDescent="0.3">
      <c r="D134" s="20"/>
      <c r="E134" s="142" t="s">
        <v>306</v>
      </c>
      <c r="F134" s="142"/>
      <c r="G134" s="142" t="s">
        <v>346</v>
      </c>
      <c r="H134" s="183" t="str">
        <f xml:space="preserve"> Sources!I$19</f>
        <v>XIV</v>
      </c>
      <c r="I134" s="183"/>
      <c r="K134" s="60"/>
      <c r="L134" s="60"/>
      <c r="M134" s="60"/>
      <c r="N134" s="60"/>
      <c r="O134" s="60"/>
      <c r="P134" s="60"/>
      <c r="Q134" s="60"/>
      <c r="R134" s="60"/>
      <c r="S134" s="60"/>
      <c r="T134" s="60"/>
      <c r="U134" s="60"/>
      <c r="V134" s="60"/>
      <c r="W134" s="219"/>
      <c r="X134" s="220">
        <v>149.59862489529999</v>
      </c>
      <c r="Y134" s="219">
        <v>313.50713027368403</v>
      </c>
      <c r="Z134" s="221"/>
      <c r="AA134" s="221"/>
      <c r="AB134" s="221"/>
      <c r="AC134" s="221"/>
      <c r="AD134" s="60"/>
      <c r="AE134" s="60"/>
      <c r="AF134" s="60"/>
      <c r="AG134" s="60"/>
      <c r="AH134" s="60"/>
      <c r="AI134" s="60"/>
      <c r="AJ134" s="60"/>
      <c r="AK134" s="60"/>
      <c r="AL134" s="60"/>
      <c r="AM134" s="60"/>
      <c r="AN134" s="60"/>
      <c r="AO134" s="60"/>
      <c r="AP134" s="56"/>
      <c r="AQ134" s="56"/>
      <c r="AR134" s="56"/>
      <c r="AS134" s="56"/>
    </row>
    <row r="135" spans="1:45" ht="15" customHeight="1" x14ac:dyDescent="0.3">
      <c r="D135" s="20"/>
      <c r="E135" s="142" t="s">
        <v>307</v>
      </c>
      <c r="F135" s="142"/>
      <c r="G135" s="142" t="s">
        <v>321</v>
      </c>
      <c r="H135" s="183" t="str">
        <f xml:space="preserve"> Sources!I$19</f>
        <v>XIV</v>
      </c>
      <c r="I135" s="183"/>
      <c r="K135" s="60"/>
      <c r="L135" s="60"/>
      <c r="M135" s="60"/>
      <c r="N135" s="60"/>
      <c r="O135" s="60"/>
      <c r="P135" s="60"/>
      <c r="Q135" s="60"/>
      <c r="R135" s="60"/>
      <c r="S135" s="60"/>
      <c r="T135" s="60"/>
      <c r="U135" s="60"/>
      <c r="V135" s="60"/>
      <c r="W135" s="219"/>
      <c r="X135" s="220">
        <f>(X134*10^6)/X86</f>
        <v>5872.1138445286879</v>
      </c>
      <c r="Y135" s="220">
        <f>(Y134*10^6)/Y86</f>
        <v>5679.8362270723128</v>
      </c>
      <c r="Z135" s="221"/>
      <c r="AA135" s="221"/>
      <c r="AB135" s="221"/>
      <c r="AC135" s="221"/>
      <c r="AD135" s="60"/>
      <c r="AE135" s="60"/>
      <c r="AF135" s="60"/>
      <c r="AG135" s="60"/>
      <c r="AH135" s="60"/>
      <c r="AI135" s="60"/>
      <c r="AJ135" s="60"/>
      <c r="AK135" s="60"/>
      <c r="AL135" s="60"/>
      <c r="AM135" s="60"/>
      <c r="AN135" s="60"/>
      <c r="AO135" s="60"/>
      <c r="AP135" s="56"/>
      <c r="AQ135" s="56"/>
      <c r="AR135" s="56"/>
      <c r="AS135" s="56"/>
    </row>
    <row r="136" spans="1:45" ht="15" customHeight="1" x14ac:dyDescent="0.3">
      <c r="D136" s="20"/>
      <c r="E136" s="142"/>
      <c r="F136" s="142"/>
      <c r="G136" s="142"/>
      <c r="H136" s="183"/>
      <c r="I136" s="183"/>
      <c r="K136" s="58"/>
      <c r="L136" s="58"/>
      <c r="M136" s="58"/>
      <c r="N136" s="58"/>
      <c r="O136" s="58"/>
      <c r="P136" s="58"/>
      <c r="Q136" s="58"/>
      <c r="R136" s="58"/>
      <c r="S136" s="58"/>
      <c r="T136" s="58"/>
      <c r="U136" s="58"/>
      <c r="V136" s="58"/>
      <c r="W136" s="222"/>
      <c r="X136" s="223"/>
      <c r="Y136" s="222"/>
      <c r="Z136" s="218"/>
      <c r="AA136" s="218"/>
      <c r="AB136" s="218"/>
      <c r="AC136" s="218"/>
      <c r="AD136" s="58"/>
      <c r="AE136" s="58"/>
      <c r="AF136" s="58"/>
      <c r="AG136" s="58"/>
      <c r="AH136" s="58"/>
      <c r="AI136" s="58"/>
      <c r="AJ136" s="58"/>
      <c r="AK136" s="58"/>
      <c r="AL136" s="58"/>
      <c r="AM136" s="58"/>
      <c r="AN136" s="58"/>
      <c r="AO136" s="58"/>
      <c r="AP136" s="77"/>
      <c r="AQ136" s="77"/>
      <c r="AR136" s="77"/>
      <c r="AS136" s="77"/>
    </row>
    <row r="137" spans="1:45" ht="15" customHeight="1" x14ac:dyDescent="0.3">
      <c r="D137" s="20"/>
      <c r="E137" s="142" t="s">
        <v>308</v>
      </c>
      <c r="F137" s="142"/>
      <c r="G137" s="142" t="s">
        <v>346</v>
      </c>
      <c r="H137" s="183" t="str">
        <f xml:space="preserve"> Sources!I$19</f>
        <v>XIV</v>
      </c>
      <c r="I137" s="183"/>
      <c r="J137" s="61"/>
      <c r="K137" s="60"/>
      <c r="L137" s="60"/>
      <c r="M137" s="60"/>
      <c r="N137" s="60"/>
      <c r="O137" s="60"/>
      <c r="P137" s="60"/>
      <c r="Q137" s="60"/>
      <c r="R137" s="60"/>
      <c r="S137" s="60"/>
      <c r="T137" s="60"/>
      <c r="U137" s="60"/>
      <c r="V137" s="60"/>
      <c r="W137" s="219">
        <v>60.373971142999999</v>
      </c>
      <c r="X137" s="220">
        <v>64.088252056000002</v>
      </c>
      <c r="Y137" s="219">
        <v>64.613674315834601</v>
      </c>
      <c r="Z137" s="221"/>
      <c r="AA137" s="221"/>
      <c r="AB137" s="221"/>
      <c r="AC137" s="221"/>
      <c r="AD137" s="60"/>
      <c r="AE137" s="60"/>
      <c r="AF137" s="60"/>
      <c r="AG137" s="60"/>
      <c r="AH137" s="60"/>
      <c r="AI137" s="60"/>
      <c r="AJ137" s="60"/>
      <c r="AK137" s="60"/>
      <c r="AL137" s="60"/>
      <c r="AM137" s="60"/>
      <c r="AN137" s="60"/>
      <c r="AO137" s="60"/>
      <c r="AP137" s="56"/>
      <c r="AQ137" s="56"/>
      <c r="AR137" s="56"/>
      <c r="AS137" s="56"/>
    </row>
    <row r="138" spans="1:45" ht="15" customHeight="1" x14ac:dyDescent="0.3">
      <c r="D138" s="20"/>
      <c r="E138" s="142" t="s">
        <v>309</v>
      </c>
      <c r="F138" s="142"/>
      <c r="G138" s="142" t="s">
        <v>321</v>
      </c>
      <c r="H138" s="183" t="str">
        <f xml:space="preserve"> Sources!I$19</f>
        <v>XIV</v>
      </c>
      <c r="I138" s="183"/>
      <c r="K138" s="60"/>
      <c r="L138" s="60"/>
      <c r="M138" s="60"/>
      <c r="N138" s="60"/>
      <c r="O138" s="60"/>
      <c r="P138" s="60"/>
      <c r="Q138" s="60"/>
      <c r="R138" s="60"/>
      <c r="S138" s="60"/>
      <c r="T138" s="60"/>
      <c r="U138" s="60"/>
      <c r="V138" s="60"/>
      <c r="W138" s="219">
        <f>(W137*10^6)/W87</f>
        <v>4338.9952061413669</v>
      </c>
      <c r="X138" s="219">
        <f>(X137*10^6)/X87</f>
        <v>4047.5303941658926</v>
      </c>
      <c r="Y138" s="219">
        <f>(Y137*10^6)/Y87</f>
        <v>5414.1085979810878</v>
      </c>
      <c r="Z138" s="221"/>
      <c r="AA138" s="221"/>
      <c r="AB138" s="221"/>
      <c r="AC138" s="221"/>
      <c r="AD138" s="60"/>
      <c r="AE138" s="60"/>
      <c r="AF138" s="60"/>
      <c r="AG138" s="60"/>
      <c r="AH138" s="60"/>
      <c r="AI138" s="60"/>
      <c r="AJ138" s="60"/>
      <c r="AK138" s="60"/>
      <c r="AL138" s="60"/>
      <c r="AM138" s="60"/>
      <c r="AN138" s="60"/>
      <c r="AO138" s="60"/>
      <c r="AP138" s="56"/>
      <c r="AQ138" s="56"/>
      <c r="AR138" s="56"/>
      <c r="AS138" s="56"/>
    </row>
    <row r="139" spans="1:45" ht="15" customHeight="1" x14ac:dyDescent="0.3">
      <c r="D139" s="20"/>
      <c r="E139" s="142"/>
      <c r="F139" s="142"/>
      <c r="G139" s="142"/>
      <c r="H139" s="183"/>
      <c r="I139" s="183"/>
      <c r="K139" s="58"/>
      <c r="L139" s="58"/>
      <c r="M139" s="58"/>
      <c r="N139" s="58"/>
      <c r="O139" s="58"/>
      <c r="P139" s="58"/>
      <c r="Q139" s="58"/>
      <c r="R139" s="58"/>
      <c r="S139" s="58"/>
      <c r="T139" s="58"/>
      <c r="U139" s="58"/>
      <c r="V139" s="58"/>
      <c r="W139" s="222"/>
      <c r="X139" s="223"/>
      <c r="Y139" s="222"/>
      <c r="Z139" s="218"/>
      <c r="AA139" s="218"/>
      <c r="AB139" s="218"/>
      <c r="AC139" s="218"/>
      <c r="AD139" s="58"/>
      <c r="AE139" s="58"/>
      <c r="AF139" s="58"/>
      <c r="AG139" s="58"/>
      <c r="AH139" s="58"/>
      <c r="AI139" s="58"/>
      <c r="AJ139" s="58"/>
      <c r="AK139" s="58"/>
      <c r="AL139" s="58"/>
      <c r="AM139" s="58"/>
      <c r="AN139" s="58"/>
      <c r="AO139" s="58"/>
      <c r="AP139" s="77"/>
      <c r="AQ139" s="77"/>
      <c r="AR139" s="77"/>
      <c r="AS139" s="77"/>
    </row>
    <row r="140" spans="1:45" ht="15" customHeight="1" x14ac:dyDescent="0.3">
      <c r="D140" s="20"/>
      <c r="E140" s="142" t="s">
        <v>310</v>
      </c>
      <c r="F140" s="142"/>
      <c r="G140" s="142" t="s">
        <v>346</v>
      </c>
      <c r="H140" s="183" t="str">
        <f xml:space="preserve"> Sources!I$19</f>
        <v>XIV</v>
      </c>
      <c r="I140" s="183"/>
      <c r="K140" s="60"/>
      <c r="L140" s="60"/>
      <c r="M140" s="60"/>
      <c r="N140" s="60"/>
      <c r="O140" s="60"/>
      <c r="P140" s="60"/>
      <c r="Q140" s="60"/>
      <c r="R140" s="60"/>
      <c r="S140" s="60"/>
      <c r="T140" s="60"/>
      <c r="U140" s="60"/>
      <c r="V140" s="60"/>
      <c r="W140" s="219">
        <v>197.39799363980001</v>
      </c>
      <c r="X140" s="220">
        <v>193.87321313499999</v>
      </c>
      <c r="Y140" s="219">
        <v>210.267172939826</v>
      </c>
      <c r="Z140" s="221"/>
      <c r="AA140" s="221"/>
      <c r="AB140" s="221"/>
      <c r="AC140" s="221"/>
      <c r="AD140" s="60"/>
      <c r="AE140" s="60"/>
      <c r="AF140" s="60"/>
      <c r="AG140" s="60"/>
      <c r="AH140" s="60"/>
      <c r="AI140" s="60"/>
      <c r="AJ140" s="60"/>
      <c r="AK140" s="60"/>
      <c r="AL140" s="60"/>
      <c r="AM140" s="60"/>
      <c r="AN140" s="60"/>
      <c r="AO140" s="60"/>
      <c r="AP140" s="56"/>
      <c r="AQ140" s="56"/>
      <c r="AR140" s="56"/>
      <c r="AS140" s="56"/>
    </row>
    <row r="141" spans="1:45" ht="15" customHeight="1" x14ac:dyDescent="0.3">
      <c r="D141" s="20"/>
      <c r="E141" s="142" t="s">
        <v>311</v>
      </c>
      <c r="F141" s="142"/>
      <c r="G141" s="142" t="s">
        <v>321</v>
      </c>
      <c r="H141" s="183" t="str">
        <f xml:space="preserve"> Sources!I$19</f>
        <v>XIV</v>
      </c>
      <c r="I141" s="183"/>
      <c r="J141" s="61"/>
      <c r="K141" s="60"/>
      <c r="L141" s="60"/>
      <c r="M141" s="60"/>
      <c r="N141" s="60"/>
      <c r="O141" s="60"/>
      <c r="P141" s="60"/>
      <c r="Q141" s="60"/>
      <c r="R141" s="60"/>
      <c r="S141" s="60"/>
      <c r="T141" s="60"/>
      <c r="U141" s="60"/>
      <c r="V141" s="60"/>
      <c r="W141" s="219">
        <f>(W140*10^6)/W88</f>
        <v>6273.6043553834043</v>
      </c>
      <c r="X141" s="219">
        <f>(X140*10^6)/X88</f>
        <v>5912.0257718664761</v>
      </c>
      <c r="Y141" s="219">
        <f>(Y140*10^6)/Y88</f>
        <v>6861.1070471688354</v>
      </c>
      <c r="Z141" s="221"/>
      <c r="AA141" s="221"/>
      <c r="AB141" s="221"/>
      <c r="AC141" s="221"/>
      <c r="AD141" s="60"/>
      <c r="AE141" s="60"/>
      <c r="AF141" s="60"/>
      <c r="AG141" s="60"/>
      <c r="AH141" s="60"/>
      <c r="AI141" s="60"/>
      <c r="AJ141" s="60"/>
      <c r="AK141" s="60"/>
      <c r="AL141" s="60"/>
      <c r="AM141" s="60"/>
      <c r="AN141" s="60"/>
      <c r="AO141" s="60"/>
      <c r="AP141" s="56"/>
      <c r="AQ141" s="56"/>
      <c r="AR141" s="56"/>
      <c r="AS141" s="56"/>
    </row>
    <row r="142" spans="1:45" ht="15" customHeight="1" x14ac:dyDescent="0.3">
      <c r="D142" s="20"/>
      <c r="E142" s="142"/>
      <c r="F142" s="142"/>
      <c r="G142" s="142"/>
      <c r="H142" s="183"/>
      <c r="I142" s="183"/>
      <c r="K142" s="45"/>
      <c r="L142" s="45"/>
      <c r="M142" s="45"/>
      <c r="N142" s="45"/>
      <c r="O142" s="45"/>
      <c r="P142" s="45"/>
      <c r="Q142" s="45"/>
      <c r="R142" s="45"/>
      <c r="S142" s="45"/>
      <c r="T142" s="45"/>
      <c r="U142" s="45"/>
      <c r="V142" s="45"/>
      <c r="W142" s="45"/>
      <c r="X142" s="90"/>
      <c r="Y142" s="45"/>
      <c r="Z142" s="90"/>
      <c r="AA142" s="90"/>
      <c r="AB142" s="90"/>
      <c r="AC142" s="90"/>
      <c r="AD142" s="45"/>
      <c r="AE142" s="45"/>
      <c r="AF142" s="45"/>
      <c r="AG142" s="45"/>
      <c r="AH142" s="45"/>
      <c r="AI142" s="45"/>
      <c r="AJ142" s="45"/>
      <c r="AK142" s="45"/>
      <c r="AL142" s="45"/>
      <c r="AM142" s="45"/>
      <c r="AN142" s="45"/>
      <c r="AO142" s="45"/>
      <c r="AP142" s="3"/>
      <c r="AQ142" s="3"/>
      <c r="AR142" s="3"/>
      <c r="AS142" s="3"/>
    </row>
    <row r="143" spans="1:45" ht="15" customHeight="1" x14ac:dyDescent="0.3">
      <c r="D143" s="20"/>
      <c r="E143" s="142" t="s">
        <v>312</v>
      </c>
      <c r="F143" s="142"/>
      <c r="G143" s="142" t="s">
        <v>346</v>
      </c>
      <c r="H143" s="183" t="str">
        <f xml:space="preserve"> Sources!I$19</f>
        <v>XIV</v>
      </c>
      <c r="I143" s="183"/>
      <c r="K143" s="60"/>
      <c r="L143" s="60"/>
      <c r="M143" s="60"/>
      <c r="N143" s="60"/>
      <c r="O143" s="60"/>
      <c r="P143" s="60"/>
      <c r="Q143" s="60"/>
      <c r="R143" s="60"/>
      <c r="S143" s="60"/>
      <c r="T143" s="60"/>
      <c r="U143" s="60"/>
      <c r="V143" s="60"/>
      <c r="W143" s="219">
        <v>19.247538251000002</v>
      </c>
      <c r="X143" s="220">
        <v>15.585755158</v>
      </c>
      <c r="Y143" s="219">
        <v>21.193741319486001</v>
      </c>
      <c r="Z143" s="221"/>
      <c r="AA143" s="221"/>
      <c r="AB143" s="221"/>
      <c r="AC143" s="221"/>
      <c r="AD143" s="60"/>
      <c r="AE143" s="60"/>
      <c r="AF143" s="60"/>
      <c r="AG143" s="60"/>
      <c r="AH143" s="60"/>
      <c r="AI143" s="60"/>
      <c r="AJ143" s="60"/>
      <c r="AK143" s="60"/>
      <c r="AL143" s="60"/>
      <c r="AM143" s="60"/>
      <c r="AN143" s="60"/>
      <c r="AO143" s="60"/>
      <c r="AP143" s="56"/>
      <c r="AQ143" s="56"/>
      <c r="AR143" s="56"/>
      <c r="AS143" s="56"/>
    </row>
    <row r="144" spans="1:45" ht="15" customHeight="1" x14ac:dyDescent="0.3">
      <c r="D144" s="20"/>
      <c r="E144" s="142" t="s">
        <v>313</v>
      </c>
      <c r="F144" s="142"/>
      <c r="G144" s="142" t="s">
        <v>321</v>
      </c>
      <c r="H144" s="183" t="str">
        <f xml:space="preserve"> Sources!I$19</f>
        <v>XIV</v>
      </c>
      <c r="I144" s="183"/>
      <c r="K144" s="60"/>
      <c r="L144" s="60"/>
      <c r="M144" s="60"/>
      <c r="N144" s="60"/>
      <c r="O144" s="60"/>
      <c r="P144" s="60"/>
      <c r="Q144" s="60"/>
      <c r="R144" s="60"/>
      <c r="S144" s="60"/>
      <c r="T144" s="60"/>
      <c r="U144" s="60"/>
      <c r="V144" s="60"/>
      <c r="W144" s="219">
        <f>(W143*10^6)/W89</f>
        <v>5505.2222850975832</v>
      </c>
      <c r="X144" s="219">
        <f>(X143*10^6)/X89</f>
        <v>5104.8427340764138</v>
      </c>
      <c r="Y144" s="219">
        <f>(Y143*10^6)/Y89</f>
        <v>6937.3743146946927</v>
      </c>
      <c r="Z144" s="221"/>
      <c r="AA144" s="221"/>
      <c r="AB144" s="221"/>
      <c r="AC144" s="221"/>
      <c r="AD144" s="60"/>
      <c r="AE144" s="60"/>
      <c r="AF144" s="60"/>
      <c r="AG144" s="60"/>
      <c r="AH144" s="60"/>
      <c r="AI144" s="60"/>
      <c r="AJ144" s="60"/>
      <c r="AK144" s="60"/>
      <c r="AL144" s="60"/>
      <c r="AM144" s="60"/>
      <c r="AN144" s="60"/>
      <c r="AO144" s="60"/>
      <c r="AP144" s="56"/>
      <c r="AQ144" s="56"/>
      <c r="AR144" s="56"/>
      <c r="AS144" s="56"/>
    </row>
    <row r="145" spans="1:45" ht="15" customHeight="1" x14ac:dyDescent="0.3">
      <c r="D145" s="20"/>
      <c r="E145" s="142"/>
      <c r="F145" s="142"/>
      <c r="G145" s="142"/>
      <c r="H145" s="183"/>
      <c r="I145" s="183"/>
      <c r="J145" s="61"/>
      <c r="K145" s="58"/>
      <c r="L145" s="58"/>
      <c r="M145" s="58"/>
      <c r="N145" s="58"/>
      <c r="O145" s="58"/>
      <c r="P145" s="58"/>
      <c r="Q145" s="58"/>
      <c r="R145" s="58"/>
      <c r="S145" s="58"/>
      <c r="T145" s="58"/>
      <c r="U145" s="58"/>
      <c r="V145" s="58"/>
      <c r="W145" s="222"/>
      <c r="X145" s="223"/>
      <c r="Y145" s="222"/>
      <c r="Z145" s="218"/>
      <c r="AA145" s="218"/>
      <c r="AB145" s="218"/>
      <c r="AC145" s="218"/>
      <c r="AD145" s="58"/>
      <c r="AE145" s="58"/>
      <c r="AF145" s="58"/>
      <c r="AG145" s="58"/>
      <c r="AH145" s="58"/>
      <c r="AI145" s="58"/>
      <c r="AJ145" s="58"/>
      <c r="AK145" s="58"/>
      <c r="AL145" s="58"/>
      <c r="AM145" s="58"/>
      <c r="AN145" s="58"/>
      <c r="AO145" s="58"/>
      <c r="AP145" s="77"/>
      <c r="AQ145" s="77"/>
      <c r="AR145" s="77"/>
      <c r="AS145" s="77"/>
    </row>
    <row r="146" spans="1:45" ht="15" customHeight="1" x14ac:dyDescent="0.3">
      <c r="D146" s="20"/>
      <c r="E146" s="142" t="s">
        <v>314</v>
      </c>
      <c r="F146" s="142"/>
      <c r="G146" s="142" t="s">
        <v>346</v>
      </c>
      <c r="H146" s="183"/>
      <c r="I146" s="183"/>
      <c r="K146" s="58"/>
      <c r="L146" s="58"/>
      <c r="M146" s="58"/>
      <c r="N146" s="58"/>
      <c r="O146" s="58"/>
      <c r="P146" s="58"/>
      <c r="Q146" s="58"/>
      <c r="R146" s="58"/>
      <c r="S146" s="58">
        <f t="shared" ref="S146:AN146" si="30">S137 + S140 + S143</f>
        <v>0</v>
      </c>
      <c r="T146" s="58">
        <f t="shared" si="30"/>
        <v>0</v>
      </c>
      <c r="U146" s="58">
        <f t="shared" si="30"/>
        <v>0</v>
      </c>
      <c r="V146" s="58">
        <f t="shared" si="30"/>
        <v>0</v>
      </c>
      <c r="W146" s="58">
        <f t="shared" si="30"/>
        <v>277.01950303379999</v>
      </c>
      <c r="X146" s="58">
        <f t="shared" si="30"/>
        <v>273.54722034899999</v>
      </c>
      <c r="Y146" s="58">
        <f t="shared" si="30"/>
        <v>296.07458857514655</v>
      </c>
      <c r="Z146" s="58">
        <f t="shared" si="30"/>
        <v>0</v>
      </c>
      <c r="AA146" s="58">
        <f t="shared" si="30"/>
        <v>0</v>
      </c>
      <c r="AB146" s="58">
        <f t="shared" si="30"/>
        <v>0</v>
      </c>
      <c r="AC146" s="58">
        <f t="shared" si="30"/>
        <v>0</v>
      </c>
      <c r="AD146" s="58">
        <f t="shared" si="30"/>
        <v>0</v>
      </c>
      <c r="AE146" s="58">
        <f t="shared" si="30"/>
        <v>0</v>
      </c>
      <c r="AF146" s="58">
        <f t="shared" si="30"/>
        <v>0</v>
      </c>
      <c r="AG146" s="58">
        <f t="shared" si="30"/>
        <v>0</v>
      </c>
      <c r="AH146" s="58">
        <f t="shared" si="30"/>
        <v>0</v>
      </c>
      <c r="AI146" s="58">
        <f t="shared" si="30"/>
        <v>0</v>
      </c>
      <c r="AJ146" s="58">
        <f t="shared" si="30"/>
        <v>0</v>
      </c>
      <c r="AK146" s="58">
        <f t="shared" si="30"/>
        <v>0</v>
      </c>
      <c r="AL146" s="58">
        <f t="shared" si="30"/>
        <v>0</v>
      </c>
      <c r="AM146" s="58">
        <f t="shared" si="30"/>
        <v>0</v>
      </c>
      <c r="AN146" s="58">
        <f t="shared" si="30"/>
        <v>0</v>
      </c>
      <c r="AO146" s="58">
        <f t="shared" ref="AO146:AP146" si="31">AO137 + AO140 + AO143</f>
        <v>0</v>
      </c>
      <c r="AP146" s="77">
        <f t="shared" si="31"/>
        <v>0</v>
      </c>
      <c r="AQ146" s="77">
        <f t="shared" ref="AQ146:AS146" si="32">AQ137 + AQ140 + AQ143</f>
        <v>0</v>
      </c>
      <c r="AR146" s="77">
        <f t="shared" si="32"/>
        <v>0</v>
      </c>
      <c r="AS146" s="77">
        <f t="shared" si="32"/>
        <v>0</v>
      </c>
    </row>
    <row r="147" spans="1:45" ht="15" customHeight="1" x14ac:dyDescent="0.3">
      <c r="D147" s="20"/>
      <c r="E147" s="142" t="str">
        <f xml:space="preserve"> E$90</f>
        <v>Other copper</v>
      </c>
      <c r="F147" s="142"/>
      <c r="G147" s="142" t="str">
        <f xml:space="preserve"> G$90</f>
        <v>tonnes</v>
      </c>
      <c r="H147" s="142"/>
      <c r="I147" s="142">
        <f xml:space="preserve"> I$90</f>
        <v>0</v>
      </c>
      <c r="K147" s="45"/>
      <c r="L147" s="45"/>
      <c r="M147" s="45"/>
      <c r="N147" s="45"/>
      <c r="O147" s="45"/>
      <c r="P147" s="45"/>
      <c r="Q147" s="45"/>
      <c r="R147" s="45"/>
      <c r="S147" s="45">
        <f t="shared" ref="S147:AD147" si="33" xml:space="preserve"> S$90</f>
        <v>0</v>
      </c>
      <c r="T147" s="45">
        <f t="shared" si="33"/>
        <v>0</v>
      </c>
      <c r="U147" s="45">
        <f t="shared" si="33"/>
        <v>0</v>
      </c>
      <c r="V147" s="45">
        <f t="shared" si="33"/>
        <v>0</v>
      </c>
      <c r="W147" s="45">
        <f t="shared" si="33"/>
        <v>48875.353194199997</v>
      </c>
      <c r="X147" s="45">
        <f t="shared" si="33"/>
        <v>51680.071974100014</v>
      </c>
      <c r="Y147" s="45">
        <f t="shared" si="33"/>
        <v>45635.569258546981</v>
      </c>
      <c r="Z147" s="45">
        <f t="shared" si="33"/>
        <v>0</v>
      </c>
      <c r="AA147" s="45">
        <f t="shared" si="33"/>
        <v>0</v>
      </c>
      <c r="AB147" s="45">
        <f t="shared" si="33"/>
        <v>0</v>
      </c>
      <c r="AC147" s="45">
        <f t="shared" si="33"/>
        <v>0</v>
      </c>
      <c r="AD147" s="45">
        <f t="shared" si="33"/>
        <v>0</v>
      </c>
      <c r="AE147" s="45"/>
      <c r="AF147" s="45"/>
      <c r="AG147" s="45"/>
      <c r="AH147" s="45">
        <f t="shared" ref="AH147:AN147" si="34" xml:space="preserve"> AE$90</f>
        <v>0</v>
      </c>
      <c r="AI147" s="45">
        <f t="shared" si="34"/>
        <v>0</v>
      </c>
      <c r="AJ147" s="45">
        <f t="shared" si="34"/>
        <v>0</v>
      </c>
      <c r="AK147" s="45">
        <f t="shared" si="34"/>
        <v>0</v>
      </c>
      <c r="AL147" s="45">
        <f t="shared" si="34"/>
        <v>0</v>
      </c>
      <c r="AM147" s="45">
        <f t="shared" si="34"/>
        <v>0</v>
      </c>
      <c r="AN147" s="45">
        <f t="shared" si="34"/>
        <v>0</v>
      </c>
      <c r="AO147" s="45">
        <f xml:space="preserve"> AO$90</f>
        <v>0</v>
      </c>
      <c r="AP147" s="45">
        <f xml:space="preserve"> AP$90</f>
        <v>0</v>
      </c>
      <c r="AQ147" s="45">
        <f xml:space="preserve"> AQ$90</f>
        <v>0</v>
      </c>
      <c r="AR147" s="45">
        <f xml:space="preserve"> AR$90</f>
        <v>0</v>
      </c>
      <c r="AS147" s="45">
        <f xml:space="preserve"> AS$90</f>
        <v>0</v>
      </c>
    </row>
    <row r="148" spans="1:45" ht="15" customHeight="1" x14ac:dyDescent="0.3">
      <c r="D148" s="20"/>
      <c r="E148" s="142" t="s">
        <v>305</v>
      </c>
      <c r="F148" s="142"/>
      <c r="G148" s="142" t="s">
        <v>321</v>
      </c>
      <c r="H148" s="183"/>
      <c r="I148" s="183"/>
      <c r="K148" s="58"/>
      <c r="L148" s="58"/>
      <c r="M148" s="58"/>
      <c r="N148" s="58"/>
      <c r="O148" s="58"/>
      <c r="P148" s="58"/>
      <c r="Q148" s="58"/>
      <c r="R148" s="58"/>
      <c r="S148" s="58">
        <f t="shared" ref="S148:AN148" si="35">IFERROR((S146*10^6)/S147, 0)</f>
        <v>0</v>
      </c>
      <c r="T148" s="58">
        <f t="shared" si="35"/>
        <v>0</v>
      </c>
      <c r="U148" s="58">
        <f t="shared" si="35"/>
        <v>0</v>
      </c>
      <c r="V148" s="58">
        <f t="shared" si="35"/>
        <v>0</v>
      </c>
      <c r="W148" s="58">
        <f t="shared" si="35"/>
        <v>5667.8772618398943</v>
      </c>
      <c r="X148" s="58">
        <f t="shared" si="35"/>
        <v>5293.0889973622889</v>
      </c>
      <c r="Y148" s="58">
        <f t="shared" si="35"/>
        <v>6487.8031190483161</v>
      </c>
      <c r="Z148" s="58">
        <f t="shared" si="35"/>
        <v>0</v>
      </c>
      <c r="AA148" s="58">
        <f t="shared" si="35"/>
        <v>0</v>
      </c>
      <c r="AB148" s="58">
        <f t="shared" si="35"/>
        <v>0</v>
      </c>
      <c r="AC148" s="58">
        <f t="shared" si="35"/>
        <v>0</v>
      </c>
      <c r="AD148" s="58">
        <f t="shared" si="35"/>
        <v>0</v>
      </c>
      <c r="AE148" s="58">
        <f t="shared" si="35"/>
        <v>0</v>
      </c>
      <c r="AF148" s="58">
        <f t="shared" si="35"/>
        <v>0</v>
      </c>
      <c r="AG148" s="58">
        <f t="shared" si="35"/>
        <v>0</v>
      </c>
      <c r="AH148" s="58">
        <f t="shared" si="35"/>
        <v>0</v>
      </c>
      <c r="AI148" s="58">
        <f t="shared" si="35"/>
        <v>0</v>
      </c>
      <c r="AJ148" s="58">
        <f t="shared" si="35"/>
        <v>0</v>
      </c>
      <c r="AK148" s="58">
        <f t="shared" si="35"/>
        <v>0</v>
      </c>
      <c r="AL148" s="58">
        <f t="shared" si="35"/>
        <v>0</v>
      </c>
      <c r="AM148" s="58">
        <f t="shared" si="35"/>
        <v>0</v>
      </c>
      <c r="AN148" s="58">
        <f t="shared" si="35"/>
        <v>0</v>
      </c>
      <c r="AO148" s="58">
        <f t="shared" ref="AO148:AP148" si="36">IFERROR((AO146*10^6)/AO147, 0)</f>
        <v>0</v>
      </c>
      <c r="AP148" s="77">
        <f t="shared" si="36"/>
        <v>0</v>
      </c>
      <c r="AQ148" s="77">
        <f t="shared" ref="AQ148:AS148" si="37">IFERROR((AQ146*10^6)/AQ147, 0)</f>
        <v>0</v>
      </c>
      <c r="AR148" s="77">
        <f t="shared" si="37"/>
        <v>0</v>
      </c>
      <c r="AS148" s="77">
        <f t="shared" si="37"/>
        <v>0</v>
      </c>
    </row>
    <row r="149" spans="1:45" ht="15" customHeight="1" x14ac:dyDescent="0.3">
      <c r="D149" s="20"/>
      <c r="E149" s="142"/>
      <c r="F149" s="142"/>
      <c r="G149" s="142"/>
      <c r="H149" s="183"/>
      <c r="I149" s="183"/>
      <c r="K149" s="58"/>
      <c r="L149" s="58"/>
      <c r="M149" s="58"/>
      <c r="N149" s="58"/>
      <c r="O149" s="58"/>
      <c r="P149" s="58"/>
      <c r="Q149" s="58"/>
      <c r="R149" s="58"/>
      <c r="S149" s="58"/>
      <c r="T149" s="58"/>
      <c r="U149" s="58"/>
      <c r="V149" s="58"/>
      <c r="W149" s="58"/>
      <c r="X149" s="58"/>
      <c r="Y149" s="58"/>
      <c r="Z149" s="58"/>
      <c r="AA149" s="58"/>
      <c r="AB149" s="58"/>
      <c r="AC149" s="58"/>
      <c r="AD149" s="58"/>
      <c r="AE149" s="58"/>
      <c r="AF149" s="58"/>
      <c r="AG149" s="58"/>
      <c r="AH149" s="58"/>
      <c r="AI149" s="58"/>
      <c r="AJ149" s="58"/>
      <c r="AK149" s="58"/>
      <c r="AL149" s="58"/>
      <c r="AM149" s="58"/>
      <c r="AN149" s="58"/>
      <c r="AO149" s="58"/>
      <c r="AP149" s="77"/>
      <c r="AQ149" s="77"/>
      <c r="AR149" s="77"/>
      <c r="AS149" s="77"/>
    </row>
    <row r="150" spans="1:45" ht="15" customHeight="1" x14ac:dyDescent="0.3">
      <c r="D150" s="20"/>
      <c r="E150" s="142"/>
      <c r="F150" s="142"/>
      <c r="G150" s="142"/>
      <c r="H150" s="183"/>
      <c r="I150" s="183"/>
      <c r="K150" s="58"/>
      <c r="L150" s="58"/>
      <c r="M150" s="58"/>
      <c r="N150" s="58"/>
      <c r="O150" s="58"/>
      <c r="P150" s="58"/>
      <c r="Q150" s="58"/>
      <c r="R150" s="58"/>
      <c r="S150" s="58"/>
      <c r="T150" s="58"/>
      <c r="U150" s="58"/>
      <c r="V150" s="58"/>
      <c r="W150" s="58"/>
      <c r="X150" s="58"/>
      <c r="Y150" s="58"/>
      <c r="Z150" s="58"/>
      <c r="AA150" s="58"/>
      <c r="AB150" s="58"/>
      <c r="AC150" s="58"/>
      <c r="AD150" s="58"/>
      <c r="AE150" s="58"/>
      <c r="AF150" s="58"/>
      <c r="AG150" s="58"/>
      <c r="AH150" s="58"/>
      <c r="AI150" s="58"/>
      <c r="AJ150" s="58"/>
      <c r="AK150" s="58"/>
      <c r="AL150" s="58"/>
      <c r="AM150" s="58"/>
      <c r="AN150" s="58"/>
      <c r="AO150" s="58"/>
      <c r="AP150" s="77"/>
      <c r="AQ150" s="77"/>
      <c r="AR150" s="77"/>
      <c r="AS150" s="77"/>
    </row>
    <row r="151" spans="1:45" ht="15" customHeight="1" x14ac:dyDescent="0.3">
      <c r="C151" s="2" t="s">
        <v>193</v>
      </c>
      <c r="D151" s="20"/>
      <c r="E151" s="142"/>
      <c r="F151" s="142"/>
      <c r="G151" s="142"/>
      <c r="H151" s="183"/>
      <c r="I151" s="183"/>
      <c r="K151" s="58"/>
      <c r="L151" s="58"/>
      <c r="M151" s="58"/>
      <c r="N151" s="58"/>
      <c r="O151" s="58"/>
      <c r="P151" s="58"/>
      <c r="Q151" s="58"/>
      <c r="R151" s="58"/>
      <c r="S151" s="58"/>
      <c r="T151" s="58"/>
      <c r="U151" s="58"/>
      <c r="V151" s="58"/>
      <c r="W151" s="58"/>
      <c r="X151" s="58"/>
      <c r="Y151" s="58"/>
      <c r="Z151" s="58"/>
      <c r="AA151" s="58"/>
      <c r="AB151" s="58"/>
      <c r="AC151" s="58"/>
      <c r="AD151" s="58"/>
      <c r="AE151" s="58"/>
      <c r="AF151" s="58"/>
      <c r="AG151" s="58"/>
      <c r="AH151" s="58"/>
      <c r="AI151" s="58"/>
      <c r="AJ151" s="58"/>
      <c r="AK151" s="58"/>
      <c r="AL151" s="58"/>
      <c r="AM151" s="58"/>
      <c r="AN151" s="58"/>
      <c r="AO151" s="58"/>
      <c r="AP151" s="77"/>
      <c r="AQ151" s="77"/>
      <c r="AR151" s="77"/>
      <c r="AS151" s="77"/>
    </row>
    <row r="152" spans="1:45" ht="15" customHeight="1" x14ac:dyDescent="0.3">
      <c r="D152" s="20"/>
      <c r="E152" s="142" t="str">
        <f xml:space="preserve"> E$168</f>
        <v>IMF WEO April 2024 Copper, grade A cathode, LME spot price, CIF European ports,</v>
      </c>
      <c r="F152" s="142">
        <f xml:space="preserve"> F$168</f>
        <v>0</v>
      </c>
      <c r="G152" s="142" t="str">
        <f xml:space="preserve"> G$168</f>
        <v>$ / tonne</v>
      </c>
      <c r="H152" s="142" t="str">
        <f xml:space="preserve"> H$168</f>
        <v>to add, from WEO file</v>
      </c>
      <c r="I152" s="142">
        <f xml:space="preserve"> I$168</f>
        <v>0</v>
      </c>
      <c r="K152" s="142">
        <f t="shared" ref="K152:R152" si="38" xml:space="preserve"> K$168</f>
        <v>6731.3519999999999</v>
      </c>
      <c r="L152" s="142">
        <f t="shared" si="38"/>
        <v>7131.63</v>
      </c>
      <c r="M152" s="142">
        <f t="shared" si="38"/>
        <v>6963.482</v>
      </c>
      <c r="N152" s="142">
        <f t="shared" si="38"/>
        <v>5164.1589999999997</v>
      </c>
      <c r="O152" s="142">
        <f t="shared" si="38"/>
        <v>7538.3620000000001</v>
      </c>
      <c r="P152" s="142">
        <f t="shared" si="38"/>
        <v>8823.4539999999997</v>
      </c>
      <c r="Q152" s="142">
        <f t="shared" si="38"/>
        <v>7958.9250000000002</v>
      </c>
      <c r="R152" s="142">
        <f t="shared" si="38"/>
        <v>7331.491</v>
      </c>
      <c r="S152" s="142">
        <f t="shared" ref="S152:AS152" si="39" xml:space="preserve"> S$168</f>
        <v>6863.3969999999999</v>
      </c>
      <c r="T152" s="142">
        <f t="shared" si="39"/>
        <v>5510.4570000000003</v>
      </c>
      <c r="U152" s="142">
        <f t="shared" si="39"/>
        <v>4867.8969999999999</v>
      </c>
      <c r="V152" s="142">
        <f t="shared" si="39"/>
        <v>6169.94</v>
      </c>
      <c r="W152" s="142">
        <f t="shared" si="39"/>
        <v>6529.7979999999998</v>
      </c>
      <c r="X152" s="142">
        <f t="shared" si="39"/>
        <v>6010.1450000000004</v>
      </c>
      <c r="Y152" s="142">
        <f t="shared" si="39"/>
        <v>6174.558</v>
      </c>
      <c r="Z152" s="142">
        <f t="shared" si="39"/>
        <v>9317.4089999999997</v>
      </c>
      <c r="AA152" s="142">
        <f t="shared" si="39"/>
        <v>8828.9169999999995</v>
      </c>
      <c r="AB152" s="142">
        <f t="shared" si="39"/>
        <v>8490.7620000000006</v>
      </c>
      <c r="AC152" s="142">
        <f t="shared" si="39"/>
        <v>8550.723</v>
      </c>
      <c r="AD152" s="142">
        <f t="shared" si="39"/>
        <v>0</v>
      </c>
      <c r="AE152" s="142">
        <f t="shared" si="39"/>
        <v>0</v>
      </c>
      <c r="AF152" s="142">
        <f t="shared" si="39"/>
        <v>0</v>
      </c>
      <c r="AG152" s="142">
        <f t="shared" si="39"/>
        <v>0</v>
      </c>
      <c r="AH152" s="142">
        <f t="shared" si="39"/>
        <v>0</v>
      </c>
      <c r="AI152" s="142">
        <f t="shared" si="39"/>
        <v>0</v>
      </c>
      <c r="AJ152" s="142">
        <f t="shared" si="39"/>
        <v>0</v>
      </c>
      <c r="AK152" s="142">
        <f t="shared" si="39"/>
        <v>0</v>
      </c>
      <c r="AL152" s="142">
        <f t="shared" si="39"/>
        <v>0</v>
      </c>
      <c r="AM152" s="142">
        <f t="shared" si="39"/>
        <v>0</v>
      </c>
      <c r="AN152" s="142">
        <f t="shared" si="39"/>
        <v>0</v>
      </c>
      <c r="AO152" s="142">
        <f t="shared" si="39"/>
        <v>0</v>
      </c>
      <c r="AP152" s="142">
        <f t="shared" si="39"/>
        <v>0</v>
      </c>
      <c r="AQ152" s="142">
        <f t="shared" si="39"/>
        <v>0</v>
      </c>
      <c r="AR152" s="142">
        <f t="shared" si="39"/>
        <v>0</v>
      </c>
      <c r="AS152" s="142">
        <f t="shared" si="39"/>
        <v>0</v>
      </c>
    </row>
    <row r="153" spans="1:45" ht="15" customHeight="1" x14ac:dyDescent="0.3">
      <c r="A153" s="139"/>
      <c r="B153" s="139"/>
      <c r="C153" s="140"/>
      <c r="D153" s="141"/>
      <c r="E153" s="142" t="str">
        <f xml:space="preserve"> E$148</f>
        <v>Other copper: realized price</v>
      </c>
      <c r="F153" s="142"/>
      <c r="G153" s="142" t="str">
        <f xml:space="preserve"> G$148</f>
        <v>$ / tonne</v>
      </c>
      <c r="H153" s="142"/>
      <c r="I153" s="142">
        <f xml:space="preserve"> I$148</f>
        <v>0</v>
      </c>
      <c r="K153" s="45"/>
      <c r="L153" s="45"/>
      <c r="M153" s="45"/>
      <c r="N153" s="45"/>
      <c r="O153" s="45"/>
      <c r="P153" s="45"/>
      <c r="Q153" s="45"/>
      <c r="R153" s="45"/>
      <c r="S153" s="45"/>
      <c r="T153" s="45"/>
      <c r="U153" s="45">
        <f t="shared" ref="U153:AS153" si="40" xml:space="preserve"> U$148</f>
        <v>0</v>
      </c>
      <c r="V153" s="45">
        <f t="shared" si="40"/>
        <v>0</v>
      </c>
      <c r="W153" s="45">
        <f xml:space="preserve"> W$148</f>
        <v>5667.8772618398943</v>
      </c>
      <c r="X153" s="45">
        <f t="shared" si="40"/>
        <v>5293.0889973622889</v>
      </c>
      <c r="Y153" s="45">
        <f t="shared" si="40"/>
        <v>6487.8031190483161</v>
      </c>
      <c r="Z153" s="45">
        <f t="shared" si="40"/>
        <v>0</v>
      </c>
      <c r="AA153" s="45">
        <f t="shared" si="40"/>
        <v>0</v>
      </c>
      <c r="AB153" s="45">
        <f t="shared" si="40"/>
        <v>0</v>
      </c>
      <c r="AC153" s="45">
        <f t="shared" si="40"/>
        <v>0</v>
      </c>
      <c r="AD153" s="45">
        <f t="shared" si="40"/>
        <v>0</v>
      </c>
      <c r="AE153" s="45">
        <f t="shared" si="40"/>
        <v>0</v>
      </c>
      <c r="AF153" s="45">
        <f t="shared" si="40"/>
        <v>0</v>
      </c>
      <c r="AG153" s="45">
        <f t="shared" si="40"/>
        <v>0</v>
      </c>
      <c r="AH153" s="45">
        <f t="shared" si="40"/>
        <v>0</v>
      </c>
      <c r="AI153" s="45">
        <f t="shared" si="40"/>
        <v>0</v>
      </c>
      <c r="AJ153" s="45">
        <f t="shared" si="40"/>
        <v>0</v>
      </c>
      <c r="AK153" s="45">
        <f t="shared" si="40"/>
        <v>0</v>
      </c>
      <c r="AL153" s="45">
        <f t="shared" si="40"/>
        <v>0</v>
      </c>
      <c r="AM153" s="45">
        <f t="shared" si="40"/>
        <v>0</v>
      </c>
      <c r="AN153" s="45">
        <f t="shared" si="40"/>
        <v>0</v>
      </c>
      <c r="AO153" s="45">
        <f t="shared" si="40"/>
        <v>0</v>
      </c>
      <c r="AP153" s="142">
        <f t="shared" si="40"/>
        <v>0</v>
      </c>
      <c r="AQ153" s="142">
        <f t="shared" si="40"/>
        <v>0</v>
      </c>
      <c r="AR153" s="142">
        <f t="shared" si="40"/>
        <v>0</v>
      </c>
      <c r="AS153" s="142">
        <f t="shared" si="40"/>
        <v>0</v>
      </c>
    </row>
    <row r="154" spans="1:45" ht="15" customHeight="1" x14ac:dyDescent="0.3">
      <c r="D154" s="20"/>
      <c r="E154" s="142" t="s">
        <v>156</v>
      </c>
      <c r="F154" s="142"/>
      <c r="G154" s="142" t="s">
        <v>34</v>
      </c>
      <c r="H154" s="183"/>
      <c r="I154" s="183"/>
      <c r="J154" s="61"/>
      <c r="K154" s="218">
        <f t="shared" ref="K154" si="41">IFERROR(K153 / K152, 0)</f>
        <v>0</v>
      </c>
      <c r="L154" s="218">
        <f t="shared" ref="L154" si="42">IFERROR(L153 / L152, 0)</f>
        <v>0</v>
      </c>
      <c r="M154" s="218">
        <f t="shared" ref="M154" si="43">IFERROR(M153 / M152, 0)</f>
        <v>0</v>
      </c>
      <c r="N154" s="218">
        <f t="shared" ref="N154" si="44">IFERROR(N153 / N152, 0)</f>
        <v>0</v>
      </c>
      <c r="O154" s="218">
        <f t="shared" ref="O154" si="45">IFERROR(O153 / O152, 0)</f>
        <v>0</v>
      </c>
      <c r="P154" s="218">
        <f t="shared" ref="P154" si="46">IFERROR(P153 / P152, 0)</f>
        <v>0</v>
      </c>
      <c r="Q154" s="218">
        <f t="shared" ref="Q154" si="47">IFERROR(Q153 / Q152, 0)</f>
        <v>0</v>
      </c>
      <c r="R154" s="218">
        <f t="shared" ref="R154" si="48">IFERROR(R153 / R152, 0)</f>
        <v>0</v>
      </c>
      <c r="S154" s="218">
        <f t="shared" ref="S154:AN154" si="49">IFERROR(S153 / S152, 0)</f>
        <v>0</v>
      </c>
      <c r="T154" s="218">
        <f t="shared" si="49"/>
        <v>0</v>
      </c>
      <c r="U154" s="218">
        <f t="shared" si="49"/>
        <v>0</v>
      </c>
      <c r="V154" s="218">
        <f t="shared" si="49"/>
        <v>0</v>
      </c>
      <c r="W154" s="218">
        <f t="shared" si="49"/>
        <v>0.86800192928477948</v>
      </c>
      <c r="X154" s="218">
        <f t="shared" si="49"/>
        <v>0.88069239550165401</v>
      </c>
      <c r="Y154" s="218">
        <f t="shared" si="49"/>
        <v>1.0507315858152626</v>
      </c>
      <c r="Z154" s="218">
        <f t="shared" si="49"/>
        <v>0</v>
      </c>
      <c r="AA154" s="218">
        <f t="shared" si="49"/>
        <v>0</v>
      </c>
      <c r="AB154" s="218">
        <f t="shared" si="49"/>
        <v>0</v>
      </c>
      <c r="AC154" s="218">
        <f t="shared" si="49"/>
        <v>0</v>
      </c>
      <c r="AD154" s="218">
        <f t="shared" si="49"/>
        <v>0</v>
      </c>
      <c r="AE154" s="218">
        <f t="shared" si="49"/>
        <v>0</v>
      </c>
      <c r="AF154" s="218">
        <f t="shared" si="49"/>
        <v>0</v>
      </c>
      <c r="AG154" s="218">
        <f t="shared" si="49"/>
        <v>0</v>
      </c>
      <c r="AH154" s="218">
        <f t="shared" si="49"/>
        <v>0</v>
      </c>
      <c r="AI154" s="218">
        <f t="shared" si="49"/>
        <v>0</v>
      </c>
      <c r="AJ154" s="218">
        <f t="shared" si="49"/>
        <v>0</v>
      </c>
      <c r="AK154" s="218">
        <f t="shared" si="49"/>
        <v>0</v>
      </c>
      <c r="AL154" s="218">
        <f t="shared" si="49"/>
        <v>0</v>
      </c>
      <c r="AM154" s="218">
        <f t="shared" si="49"/>
        <v>0</v>
      </c>
      <c r="AN154" s="218">
        <f t="shared" si="49"/>
        <v>0</v>
      </c>
      <c r="AO154" s="218">
        <f t="shared" ref="AO154:AP154" si="50">IFERROR(AO153 / AO152, 0)</f>
        <v>0</v>
      </c>
      <c r="AP154" s="74">
        <f t="shared" si="50"/>
        <v>0</v>
      </c>
      <c r="AQ154" s="74">
        <f t="shared" ref="AQ154:AS154" si="51">IFERROR(AQ153 / AQ152, 0)</f>
        <v>0</v>
      </c>
      <c r="AR154" s="74">
        <f t="shared" si="51"/>
        <v>0</v>
      </c>
      <c r="AS154" s="74">
        <f t="shared" si="51"/>
        <v>0</v>
      </c>
    </row>
    <row r="155" spans="1:45" ht="15" customHeight="1" x14ac:dyDescent="0.3">
      <c r="A155" s="91"/>
      <c r="B155" s="91"/>
      <c r="C155" s="92"/>
      <c r="D155" s="103"/>
      <c r="E155" s="142" t="s">
        <v>159</v>
      </c>
      <c r="F155" s="144">
        <f>AVERAGE(W154:X154)</f>
        <v>0.87434716239321675</v>
      </c>
      <c r="G155" s="142" t="s">
        <v>34</v>
      </c>
      <c r="H155" s="183"/>
      <c r="I155" s="183"/>
      <c r="K155" s="218"/>
      <c r="L155" s="218"/>
      <c r="M155" s="218"/>
      <c r="N155" s="218"/>
      <c r="O155" s="218"/>
      <c r="P155" s="218"/>
      <c r="Q155" s="218"/>
      <c r="R155" s="218"/>
      <c r="S155" s="218"/>
      <c r="T155" s="218"/>
      <c r="U155" s="218"/>
      <c r="V155" s="218"/>
      <c r="W155" s="218"/>
      <c r="X155" s="218"/>
      <c r="Y155" s="218"/>
      <c r="Z155" s="218"/>
      <c r="AA155" s="218"/>
      <c r="AB155" s="218"/>
      <c r="AC155" s="218"/>
      <c r="AD155" s="218"/>
      <c r="AE155" s="218"/>
      <c r="AF155" s="218"/>
      <c r="AG155" s="218"/>
      <c r="AH155" s="218"/>
      <c r="AI155" s="218"/>
      <c r="AJ155" s="218"/>
      <c r="AK155" s="218"/>
      <c r="AL155" s="218"/>
      <c r="AM155" s="218"/>
      <c r="AN155" s="218"/>
      <c r="AO155" s="218"/>
      <c r="AP155" s="135"/>
      <c r="AQ155" s="135"/>
      <c r="AR155" s="135"/>
      <c r="AS155" s="135"/>
    </row>
    <row r="156" spans="1:45" ht="15" customHeight="1" x14ac:dyDescent="0.3">
      <c r="D156" s="20"/>
      <c r="E156" s="142"/>
      <c r="F156" s="142"/>
      <c r="G156" s="142"/>
      <c r="H156" s="183"/>
      <c r="I156" s="183"/>
      <c r="K156" s="218"/>
      <c r="L156" s="218"/>
      <c r="M156" s="218"/>
      <c r="N156" s="218"/>
      <c r="O156" s="218"/>
      <c r="P156" s="218"/>
      <c r="Q156" s="218"/>
      <c r="R156" s="218"/>
      <c r="S156" s="218"/>
      <c r="T156" s="218"/>
      <c r="U156" s="218"/>
      <c r="V156" s="218"/>
      <c r="W156" s="218"/>
      <c r="X156" s="218"/>
      <c r="Y156" s="218"/>
      <c r="Z156" s="218"/>
      <c r="AA156" s="218"/>
      <c r="AB156" s="218"/>
      <c r="AC156" s="218"/>
      <c r="AD156" s="218"/>
      <c r="AE156" s="218"/>
      <c r="AF156" s="218"/>
      <c r="AG156" s="218"/>
      <c r="AH156" s="218"/>
      <c r="AI156" s="218"/>
      <c r="AJ156" s="218"/>
      <c r="AK156" s="218"/>
      <c r="AL156" s="218"/>
      <c r="AM156" s="218"/>
      <c r="AN156" s="218"/>
      <c r="AO156" s="218"/>
      <c r="AP156" s="74"/>
      <c r="AQ156" s="74"/>
      <c r="AR156" s="74"/>
      <c r="AS156" s="74"/>
    </row>
    <row r="157" spans="1:45" ht="15" customHeight="1" x14ac:dyDescent="0.3">
      <c r="D157" s="20"/>
      <c r="E157" s="142" t="str">
        <f xml:space="preserve"> E$168</f>
        <v>IMF WEO April 2024 Copper, grade A cathode, LME spot price, CIF European ports,</v>
      </c>
      <c r="F157" s="142">
        <f xml:space="preserve"> F$168</f>
        <v>0</v>
      </c>
      <c r="G157" s="142" t="str">
        <f xml:space="preserve"> G$168</f>
        <v>$ / tonne</v>
      </c>
      <c r="H157" s="142" t="str">
        <f xml:space="preserve"> H$168</f>
        <v>to add, from WEO file</v>
      </c>
      <c r="I157" s="142">
        <f xml:space="preserve"> I$168</f>
        <v>0</v>
      </c>
      <c r="K157" s="142">
        <f t="shared" ref="K157:T157" si="52" xml:space="preserve"> K$168</f>
        <v>6731.3519999999999</v>
      </c>
      <c r="L157" s="142">
        <f t="shared" si="52"/>
        <v>7131.63</v>
      </c>
      <c r="M157" s="142">
        <f t="shared" si="52"/>
        <v>6963.482</v>
      </c>
      <c r="N157" s="142">
        <f t="shared" si="52"/>
        <v>5164.1589999999997</v>
      </c>
      <c r="O157" s="142">
        <f t="shared" si="52"/>
        <v>7538.3620000000001</v>
      </c>
      <c r="P157" s="142">
        <f t="shared" si="52"/>
        <v>8823.4539999999997</v>
      </c>
      <c r="Q157" s="142">
        <f t="shared" si="52"/>
        <v>7958.9250000000002</v>
      </c>
      <c r="R157" s="142">
        <f t="shared" si="52"/>
        <v>7331.491</v>
      </c>
      <c r="S157" s="142">
        <f t="shared" si="52"/>
        <v>6863.3969999999999</v>
      </c>
      <c r="T157" s="142">
        <f t="shared" si="52"/>
        <v>5510.4570000000003</v>
      </c>
      <c r="U157" s="142">
        <f t="shared" ref="U157:AS157" si="53" xml:space="preserve"> U$168</f>
        <v>4867.8969999999999</v>
      </c>
      <c r="V157" s="142">
        <f t="shared" si="53"/>
        <v>6169.94</v>
      </c>
      <c r="W157" s="142">
        <f t="shared" si="53"/>
        <v>6529.7979999999998</v>
      </c>
      <c r="X157" s="142">
        <f t="shared" si="53"/>
        <v>6010.1450000000004</v>
      </c>
      <c r="Y157" s="142">
        <f t="shared" si="53"/>
        <v>6174.558</v>
      </c>
      <c r="Z157" s="142">
        <f t="shared" si="53"/>
        <v>9317.4089999999997</v>
      </c>
      <c r="AA157" s="142">
        <f t="shared" si="53"/>
        <v>8828.9169999999995</v>
      </c>
      <c r="AB157" s="142">
        <f t="shared" si="53"/>
        <v>8490.7620000000006</v>
      </c>
      <c r="AC157" s="142">
        <f t="shared" si="53"/>
        <v>8550.723</v>
      </c>
      <c r="AD157" s="142">
        <f t="shared" si="53"/>
        <v>0</v>
      </c>
      <c r="AE157" s="142">
        <f t="shared" si="53"/>
        <v>0</v>
      </c>
      <c r="AF157" s="142">
        <f t="shared" si="53"/>
        <v>0</v>
      </c>
      <c r="AG157" s="142">
        <f t="shared" si="53"/>
        <v>0</v>
      </c>
      <c r="AH157" s="142">
        <f t="shared" si="53"/>
        <v>0</v>
      </c>
      <c r="AI157" s="142">
        <f t="shared" si="53"/>
        <v>0</v>
      </c>
      <c r="AJ157" s="142">
        <f t="shared" si="53"/>
        <v>0</v>
      </c>
      <c r="AK157" s="142">
        <f t="shared" si="53"/>
        <v>0</v>
      </c>
      <c r="AL157" s="142">
        <f t="shared" si="53"/>
        <v>0</v>
      </c>
      <c r="AM157" s="142">
        <f t="shared" si="53"/>
        <v>0</v>
      </c>
      <c r="AN157" s="142">
        <f t="shared" si="53"/>
        <v>0</v>
      </c>
      <c r="AO157" s="142">
        <f t="shared" si="53"/>
        <v>0</v>
      </c>
      <c r="AP157" s="142">
        <f t="shared" si="53"/>
        <v>0</v>
      </c>
      <c r="AQ157" s="142">
        <f t="shared" si="53"/>
        <v>0</v>
      </c>
      <c r="AR157" s="142">
        <f t="shared" si="53"/>
        <v>0</v>
      </c>
      <c r="AS157" s="142">
        <f t="shared" si="53"/>
        <v>0</v>
      </c>
    </row>
    <row r="158" spans="1:45" ht="15" customHeight="1" x14ac:dyDescent="0.3">
      <c r="A158" s="139"/>
      <c r="B158" s="139"/>
      <c r="C158" s="140"/>
      <c r="D158" s="141"/>
      <c r="E158" s="142" t="str">
        <f xml:space="preserve"> E$135</f>
        <v>Copper cathode: realized price</v>
      </c>
      <c r="F158" s="142"/>
      <c r="G158" s="142" t="str">
        <f xml:space="preserve"> G$135</f>
        <v>$ / tonne</v>
      </c>
      <c r="H158" s="142" t="str">
        <f xml:space="preserve"> H$135</f>
        <v>XIV</v>
      </c>
      <c r="I158" s="142">
        <f xml:space="preserve"> I$135</f>
        <v>0</v>
      </c>
      <c r="J158" s="61"/>
      <c r="K158" s="45">
        <f t="shared" ref="K158:T158" si="54" xml:space="preserve"> K$135</f>
        <v>0</v>
      </c>
      <c r="L158" s="45">
        <f t="shared" si="54"/>
        <v>0</v>
      </c>
      <c r="M158" s="45">
        <f t="shared" si="54"/>
        <v>0</v>
      </c>
      <c r="N158" s="45">
        <f t="shared" si="54"/>
        <v>0</v>
      </c>
      <c r="O158" s="45">
        <f t="shared" si="54"/>
        <v>0</v>
      </c>
      <c r="P158" s="45">
        <f t="shared" si="54"/>
        <v>0</v>
      </c>
      <c r="Q158" s="45">
        <f t="shared" si="54"/>
        <v>0</v>
      </c>
      <c r="R158" s="45">
        <f t="shared" si="54"/>
        <v>0</v>
      </c>
      <c r="S158" s="45">
        <f t="shared" si="54"/>
        <v>0</v>
      </c>
      <c r="T158" s="45">
        <f t="shared" si="54"/>
        <v>0</v>
      </c>
      <c r="U158" s="45">
        <f t="shared" ref="U158:AS158" si="55" xml:space="preserve"> U$135</f>
        <v>0</v>
      </c>
      <c r="V158" s="45">
        <f t="shared" si="55"/>
        <v>0</v>
      </c>
      <c r="W158" s="45">
        <f t="shared" si="55"/>
        <v>0</v>
      </c>
      <c r="X158" s="45">
        <f t="shared" si="55"/>
        <v>5872.1138445286879</v>
      </c>
      <c r="Y158" s="45">
        <f t="shared" si="55"/>
        <v>5679.8362270723128</v>
      </c>
      <c r="Z158" s="45">
        <f t="shared" si="55"/>
        <v>0</v>
      </c>
      <c r="AA158" s="45">
        <f t="shared" si="55"/>
        <v>0</v>
      </c>
      <c r="AB158" s="45">
        <f t="shared" si="55"/>
        <v>0</v>
      </c>
      <c r="AC158" s="45">
        <f t="shared" si="55"/>
        <v>0</v>
      </c>
      <c r="AD158" s="45">
        <f t="shared" si="55"/>
        <v>0</v>
      </c>
      <c r="AE158" s="45">
        <f t="shared" si="55"/>
        <v>0</v>
      </c>
      <c r="AF158" s="45">
        <f t="shared" si="55"/>
        <v>0</v>
      </c>
      <c r="AG158" s="45">
        <f t="shared" si="55"/>
        <v>0</v>
      </c>
      <c r="AH158" s="45">
        <f t="shared" si="55"/>
        <v>0</v>
      </c>
      <c r="AI158" s="45">
        <f t="shared" si="55"/>
        <v>0</v>
      </c>
      <c r="AJ158" s="45">
        <f t="shared" si="55"/>
        <v>0</v>
      </c>
      <c r="AK158" s="45">
        <f t="shared" si="55"/>
        <v>0</v>
      </c>
      <c r="AL158" s="45">
        <f t="shared" si="55"/>
        <v>0</v>
      </c>
      <c r="AM158" s="45">
        <f t="shared" si="55"/>
        <v>0</v>
      </c>
      <c r="AN158" s="45">
        <f t="shared" si="55"/>
        <v>0</v>
      </c>
      <c r="AO158" s="45">
        <f t="shared" si="55"/>
        <v>0</v>
      </c>
      <c r="AP158" s="142">
        <f t="shared" si="55"/>
        <v>0</v>
      </c>
      <c r="AQ158" s="142">
        <f t="shared" si="55"/>
        <v>0</v>
      </c>
      <c r="AR158" s="142">
        <f t="shared" si="55"/>
        <v>0</v>
      </c>
      <c r="AS158" s="142">
        <f t="shared" si="55"/>
        <v>0</v>
      </c>
    </row>
    <row r="159" spans="1:45" ht="15" customHeight="1" x14ac:dyDescent="0.3">
      <c r="D159" s="20"/>
      <c r="E159" s="142" t="s">
        <v>157</v>
      </c>
      <c r="F159" s="142"/>
      <c r="G159" s="142" t="s">
        <v>34</v>
      </c>
      <c r="H159" s="142"/>
      <c r="I159" s="142"/>
      <c r="K159" s="218">
        <f t="shared" ref="K159" si="56">IFERROR(K158 / K157, 0)</f>
        <v>0</v>
      </c>
      <c r="L159" s="218">
        <f t="shared" ref="L159" si="57">IFERROR(L158 / L157, 0)</f>
        <v>0</v>
      </c>
      <c r="M159" s="218">
        <f t="shared" ref="M159" si="58">IFERROR(M158 / M157, 0)</f>
        <v>0</v>
      </c>
      <c r="N159" s="218">
        <f t="shared" ref="N159" si="59">IFERROR(N158 / N157, 0)</f>
        <v>0</v>
      </c>
      <c r="O159" s="218">
        <f t="shared" ref="O159" si="60">IFERROR(O158 / O157, 0)</f>
        <v>0</v>
      </c>
      <c r="P159" s="218">
        <f t="shared" ref="P159" si="61">IFERROR(P158 / P157, 0)</f>
        <v>0</v>
      </c>
      <c r="Q159" s="218">
        <f t="shared" ref="Q159" si="62">IFERROR(Q158 / Q157, 0)</f>
        <v>0</v>
      </c>
      <c r="R159" s="218">
        <f t="shared" ref="R159" si="63">IFERROR(R158 / R157, 0)</f>
        <v>0</v>
      </c>
      <c r="S159" s="218">
        <f t="shared" ref="S159" si="64">IFERROR(S158 / S157, 0)</f>
        <v>0</v>
      </c>
      <c r="T159" s="218">
        <f t="shared" ref="T159" si="65">IFERROR(T158 / T157, 0)</f>
        <v>0</v>
      </c>
      <c r="U159" s="218">
        <f t="shared" ref="U159:AN159" si="66">IFERROR(U158 / U157, 0)</f>
        <v>0</v>
      </c>
      <c r="V159" s="218">
        <f t="shared" si="66"/>
        <v>0</v>
      </c>
      <c r="W159" s="218">
        <f t="shared" si="66"/>
        <v>0</v>
      </c>
      <c r="X159" s="218">
        <f t="shared" si="66"/>
        <v>0.97703363970897328</v>
      </c>
      <c r="Y159" s="218">
        <f t="shared" si="66"/>
        <v>0.9198773786030211</v>
      </c>
      <c r="Z159" s="218">
        <f t="shared" si="66"/>
        <v>0</v>
      </c>
      <c r="AA159" s="218">
        <f t="shared" si="66"/>
        <v>0</v>
      </c>
      <c r="AB159" s="218">
        <f t="shared" si="66"/>
        <v>0</v>
      </c>
      <c r="AC159" s="218">
        <f t="shared" si="66"/>
        <v>0</v>
      </c>
      <c r="AD159" s="218">
        <f t="shared" si="66"/>
        <v>0</v>
      </c>
      <c r="AE159" s="218">
        <f t="shared" si="66"/>
        <v>0</v>
      </c>
      <c r="AF159" s="218">
        <f t="shared" si="66"/>
        <v>0</v>
      </c>
      <c r="AG159" s="218">
        <f t="shared" si="66"/>
        <v>0</v>
      </c>
      <c r="AH159" s="218">
        <f t="shared" si="66"/>
        <v>0</v>
      </c>
      <c r="AI159" s="218">
        <f t="shared" si="66"/>
        <v>0</v>
      </c>
      <c r="AJ159" s="218">
        <f t="shared" si="66"/>
        <v>0</v>
      </c>
      <c r="AK159" s="218">
        <f t="shared" si="66"/>
        <v>0</v>
      </c>
      <c r="AL159" s="218">
        <f t="shared" si="66"/>
        <v>0</v>
      </c>
      <c r="AM159" s="218">
        <f t="shared" si="66"/>
        <v>0</v>
      </c>
      <c r="AN159" s="218">
        <f t="shared" si="66"/>
        <v>0</v>
      </c>
      <c r="AO159" s="218">
        <f t="shared" ref="AO159:AP159" si="67">IFERROR(AO158 / AO157, 0)</f>
        <v>0</v>
      </c>
      <c r="AP159" s="74">
        <f t="shared" si="67"/>
        <v>0</v>
      </c>
      <c r="AQ159" s="74">
        <f t="shared" ref="AQ159:AS159" si="68">IFERROR(AQ158 / AQ157, 0)</f>
        <v>0</v>
      </c>
      <c r="AR159" s="74">
        <f t="shared" si="68"/>
        <v>0</v>
      </c>
      <c r="AS159" s="74">
        <f t="shared" si="68"/>
        <v>0</v>
      </c>
    </row>
    <row r="160" spans="1:45" ht="15" customHeight="1" x14ac:dyDescent="0.3">
      <c r="A160" s="91"/>
      <c r="B160" s="91"/>
      <c r="C160" s="92"/>
      <c r="D160" s="103"/>
      <c r="E160" s="142" t="s">
        <v>158</v>
      </c>
      <c r="F160" s="144">
        <f>X159</f>
        <v>0.97703363970897328</v>
      </c>
      <c r="G160" s="142" t="s">
        <v>34</v>
      </c>
      <c r="H160" s="142"/>
      <c r="I160" s="142"/>
      <c r="K160" s="218"/>
      <c r="L160" s="218"/>
      <c r="M160" s="218"/>
      <c r="N160" s="218"/>
      <c r="O160" s="218"/>
      <c r="P160" s="218"/>
      <c r="Q160" s="218"/>
      <c r="R160" s="218"/>
      <c r="S160" s="218"/>
      <c r="T160" s="218"/>
      <c r="U160" s="218"/>
      <c r="V160" s="218"/>
      <c r="W160" s="218"/>
      <c r="X160" s="218"/>
      <c r="Y160" s="218"/>
      <c r="Z160" s="218"/>
      <c r="AA160" s="218"/>
      <c r="AB160" s="218"/>
      <c r="AC160" s="218"/>
      <c r="AD160" s="218"/>
      <c r="AE160" s="218"/>
      <c r="AF160" s="218"/>
      <c r="AG160" s="218"/>
      <c r="AH160" s="218"/>
      <c r="AI160" s="218"/>
      <c r="AJ160" s="218"/>
      <c r="AK160" s="218"/>
      <c r="AL160" s="218"/>
      <c r="AM160" s="218"/>
      <c r="AN160" s="218"/>
      <c r="AO160" s="218"/>
      <c r="AP160" s="135"/>
      <c r="AQ160" s="135"/>
      <c r="AR160" s="135"/>
      <c r="AS160" s="135"/>
    </row>
    <row r="161" spans="1:45" ht="15" customHeight="1" x14ac:dyDescent="0.3">
      <c r="A161" s="91"/>
      <c r="B161" s="91"/>
      <c r="C161" s="92"/>
      <c r="D161" s="103"/>
      <c r="E161" s="142"/>
      <c r="F161" s="144"/>
      <c r="G161" s="142"/>
      <c r="H161" s="142"/>
      <c r="I161" s="142"/>
      <c r="K161" s="218"/>
      <c r="L161" s="218"/>
      <c r="M161" s="218"/>
      <c r="N161" s="218"/>
      <c r="O161" s="218"/>
      <c r="P161" s="218"/>
      <c r="Q161" s="218"/>
      <c r="R161" s="218"/>
      <c r="S161" s="218"/>
      <c r="T161" s="218"/>
      <c r="U161" s="218"/>
      <c r="V161" s="218"/>
      <c r="W161" s="218"/>
      <c r="X161" s="218"/>
      <c r="Y161" s="218"/>
      <c r="Z161" s="218"/>
      <c r="AA161" s="218"/>
      <c r="AB161" s="218"/>
      <c r="AC161" s="218"/>
      <c r="AD161" s="218"/>
      <c r="AE161" s="218"/>
      <c r="AF161" s="218"/>
      <c r="AG161" s="218"/>
      <c r="AH161" s="218"/>
      <c r="AI161" s="218"/>
      <c r="AJ161" s="218"/>
      <c r="AK161" s="218"/>
      <c r="AL161" s="218"/>
      <c r="AM161" s="218"/>
      <c r="AN161" s="218"/>
      <c r="AO161" s="218"/>
      <c r="AP161" s="135"/>
      <c r="AQ161" s="135"/>
      <c r="AR161" s="135"/>
      <c r="AS161" s="135"/>
    </row>
    <row r="162" spans="1:45" ht="15" customHeight="1" x14ac:dyDescent="0.3">
      <c r="A162" s="398"/>
      <c r="B162" s="398"/>
      <c r="C162" s="421" t="s">
        <v>593</v>
      </c>
      <c r="D162" s="422"/>
      <c r="E162" s="340"/>
      <c r="F162" s="340"/>
      <c r="G162" s="340"/>
      <c r="H162" s="340"/>
      <c r="I162" s="340"/>
      <c r="J162" s="340"/>
      <c r="K162" s="633"/>
      <c r="L162" s="633"/>
      <c r="M162" s="633"/>
      <c r="N162" s="633"/>
      <c r="O162" s="633"/>
      <c r="P162" s="633"/>
      <c r="Q162" s="633"/>
      <c r="R162" s="633"/>
      <c r="S162" s="633"/>
      <c r="T162" s="633"/>
      <c r="U162" s="633"/>
      <c r="V162" s="633"/>
      <c r="W162" s="633"/>
      <c r="X162" s="633"/>
      <c r="Y162" s="633"/>
      <c r="Z162" s="633"/>
      <c r="AA162" s="633"/>
      <c r="AB162" s="634"/>
      <c r="AC162" s="634"/>
      <c r="AD162" s="634"/>
      <c r="AE162" s="633"/>
      <c r="AF162" s="633"/>
      <c r="AG162" s="633"/>
      <c r="AH162" s="633"/>
      <c r="AI162" s="633"/>
      <c r="AJ162" s="633"/>
      <c r="AK162" s="633"/>
      <c r="AL162" s="633"/>
      <c r="AM162" s="633"/>
      <c r="AN162" s="633"/>
      <c r="AO162" s="633"/>
      <c r="AP162" s="633"/>
      <c r="AQ162" s="633"/>
      <c r="AR162" s="633"/>
      <c r="AS162" s="633"/>
    </row>
    <row r="163" spans="1:45" ht="15" customHeight="1" x14ac:dyDescent="0.3">
      <c r="A163" s="428"/>
      <c r="B163" s="428"/>
      <c r="C163" s="429"/>
      <c r="D163" s="629"/>
      <c r="E163" s="340" t="s">
        <v>594</v>
      </c>
      <c r="F163" s="340"/>
      <c r="G163" s="340" t="s">
        <v>321</v>
      </c>
      <c r="H163" s="168" t="str">
        <f xml:space="preserve"> Sources!I$25</f>
        <v>XX</v>
      </c>
      <c r="I163" s="168"/>
      <c r="J163" s="340"/>
      <c r="K163" s="630"/>
      <c r="L163" s="630"/>
      <c r="M163" s="630"/>
      <c r="N163" s="630"/>
      <c r="O163" s="630">
        <v>7536.595414106504</v>
      </c>
      <c r="P163" s="630">
        <v>8832.8523553507421</v>
      </c>
      <c r="Q163" s="630">
        <v>7949.2641747002854</v>
      </c>
      <c r="R163" s="630">
        <v>7331.0636936763949</v>
      </c>
      <c r="S163" s="630">
        <v>6862.8667690732209</v>
      </c>
      <c r="T163" s="630">
        <v>5507.872055811572</v>
      </c>
      <c r="U163" s="630">
        <v>4866.254603880855</v>
      </c>
      <c r="V163" s="630">
        <v>6161.9197324628767</v>
      </c>
      <c r="W163" s="630">
        <v>6176.1211977478815</v>
      </c>
      <c r="X163" s="630">
        <v>6526.8653464590971</v>
      </c>
      <c r="Y163" s="630">
        <v>6001.5121273578197</v>
      </c>
      <c r="Z163" s="630">
        <v>9306.8642783945288</v>
      </c>
      <c r="AA163" s="630">
        <v>8828.6242255504349</v>
      </c>
      <c r="AB163" s="630">
        <v>8483.892249103943</v>
      </c>
      <c r="AC163" s="630">
        <v>9148.0618526758135</v>
      </c>
      <c r="AD163" s="630"/>
      <c r="AE163" s="630"/>
      <c r="AF163" s="630"/>
      <c r="AG163" s="630"/>
      <c r="AH163" s="630"/>
      <c r="AI163" s="630"/>
      <c r="AJ163" s="630"/>
      <c r="AK163" s="630"/>
      <c r="AL163" s="630"/>
      <c r="AM163" s="630"/>
      <c r="AN163" s="630"/>
      <c r="AO163" s="630"/>
      <c r="AP163" s="630"/>
      <c r="AQ163" s="630"/>
      <c r="AR163" s="630"/>
      <c r="AS163" s="630"/>
    </row>
    <row r="164" spans="1:45" ht="15" customHeight="1" x14ac:dyDescent="0.3">
      <c r="A164" s="398"/>
      <c r="B164" s="398"/>
      <c r="C164" s="421"/>
      <c r="D164" s="422"/>
      <c r="E164" s="340" t="s">
        <v>595</v>
      </c>
      <c r="F164" s="340"/>
      <c r="G164" s="340" t="s">
        <v>321</v>
      </c>
      <c r="H164" s="168" t="str">
        <f xml:space="preserve"> Sources!I$26</f>
        <v>XXI</v>
      </c>
      <c r="I164" s="168"/>
      <c r="J164" s="340"/>
      <c r="K164" s="630">
        <v>6724.9402852276398</v>
      </c>
      <c r="L164" s="630">
        <v>7102.727524111614</v>
      </c>
      <c r="M164" s="630">
        <v>6882.1368946248185</v>
      </c>
      <c r="N164" s="630">
        <v>5200.452736010101</v>
      </c>
      <c r="O164" s="630">
        <v>7560.5111054990894</v>
      </c>
      <c r="P164" s="630">
        <v>8839.8545822997039</v>
      </c>
      <c r="Q164" s="630">
        <v>7965.3487032423609</v>
      </c>
      <c r="R164" s="630">
        <v>7366.1408021958714</v>
      </c>
      <c r="S164" s="630">
        <v>6845.0925741357678</v>
      </c>
      <c r="T164" s="630">
        <v>5504.5768579292935</v>
      </c>
      <c r="U164" s="630">
        <v>4848.3409323106835</v>
      </c>
      <c r="V164" s="630">
        <v>6197.1338543349657</v>
      </c>
      <c r="W164" s="630">
        <v>6469.2825373000187</v>
      </c>
      <c r="X164" s="630">
        <v>6002.5364020045172</v>
      </c>
      <c r="Y164" s="630">
        <v>6166.3077912265508</v>
      </c>
      <c r="Z164" s="630">
        <v>9338.8419015080926</v>
      </c>
      <c r="AA164" s="630">
        <v>8820.3096289215118</v>
      </c>
      <c r="AB164" s="630">
        <v>8522.4893605784564</v>
      </c>
      <c r="AC164" s="630">
        <v>9321.615578799172</v>
      </c>
      <c r="AD164" s="630"/>
      <c r="AE164" s="630"/>
      <c r="AF164" s="630"/>
      <c r="AG164" s="630"/>
      <c r="AH164" s="630"/>
      <c r="AI164" s="630"/>
      <c r="AJ164" s="630"/>
      <c r="AK164" s="630"/>
      <c r="AL164" s="630"/>
      <c r="AM164" s="630"/>
      <c r="AN164" s="630"/>
      <c r="AO164" s="630"/>
      <c r="AP164" s="630"/>
      <c r="AQ164" s="630"/>
      <c r="AR164" s="630"/>
      <c r="AS164" s="630"/>
    </row>
    <row r="165" spans="1:45" ht="15" customHeight="1" x14ac:dyDescent="0.3">
      <c r="A165" s="428"/>
      <c r="B165" s="428"/>
      <c r="C165" s="429"/>
      <c r="D165" s="629"/>
      <c r="E165" s="340" t="s">
        <v>596</v>
      </c>
      <c r="F165" s="340"/>
      <c r="G165" s="632" t="s">
        <v>321</v>
      </c>
      <c r="H165" s="168" t="str">
        <f xml:space="preserve"> Sources!I$29</f>
        <v>XXIV</v>
      </c>
      <c r="I165" s="168"/>
      <c r="J165" s="340"/>
      <c r="K165" s="630">
        <v>6731.3519071545297</v>
      </c>
      <c r="L165" s="630">
        <v>7131.6300162117504</v>
      </c>
      <c r="M165" s="630">
        <v>6963.4819978037203</v>
      </c>
      <c r="N165" s="630">
        <v>5164.15877782194</v>
      </c>
      <c r="O165" s="630">
        <v>7538.3621197571501</v>
      </c>
      <c r="P165" s="630">
        <v>8823.4542464630795</v>
      </c>
      <c r="Q165" s="630">
        <v>7958.9246782119199</v>
      </c>
      <c r="R165" s="630">
        <v>7331.4907649868201</v>
      </c>
      <c r="S165" s="630">
        <v>6863.3965805179096</v>
      </c>
      <c r="T165" s="630">
        <v>5510.4571127155004</v>
      </c>
      <c r="U165" s="630">
        <v>4867.8974296536799</v>
      </c>
      <c r="V165" s="630">
        <v>6169.9399418513603</v>
      </c>
      <c r="W165" s="630">
        <v>6529.7983709685896</v>
      </c>
      <c r="X165" s="630">
        <v>6010.1454296458396</v>
      </c>
      <c r="Y165" s="630">
        <v>6174.5579173221304</v>
      </c>
      <c r="Z165" s="630">
        <v>9317.4091658824309</v>
      </c>
      <c r="AA165" s="630">
        <v>8828.9168140645597</v>
      </c>
      <c r="AB165" s="630">
        <v>8490.7617314997806</v>
      </c>
      <c r="AC165" s="630">
        <v>9142.1015600257306</v>
      </c>
      <c r="AD165" s="630"/>
      <c r="AE165" s="630"/>
      <c r="AF165" s="630"/>
      <c r="AG165" s="630"/>
      <c r="AH165" s="630"/>
      <c r="AI165" s="630"/>
      <c r="AJ165" s="630"/>
      <c r="AK165" s="630"/>
      <c r="AL165" s="630"/>
      <c r="AM165" s="630"/>
      <c r="AN165" s="630"/>
      <c r="AO165" s="630"/>
      <c r="AP165" s="630"/>
      <c r="AQ165" s="630"/>
      <c r="AR165" s="630"/>
      <c r="AS165" s="630"/>
    </row>
    <row r="166" spans="1:45" ht="15" customHeight="1" x14ac:dyDescent="0.3">
      <c r="A166" s="428"/>
      <c r="B166" s="428"/>
      <c r="C166" s="429"/>
      <c r="D166" s="629"/>
      <c r="E166" s="340" t="s">
        <v>597</v>
      </c>
      <c r="F166" s="340"/>
      <c r="G166" s="340" t="s">
        <v>321</v>
      </c>
      <c r="H166" s="168" t="str">
        <f xml:space="preserve"> Sources!I$29</f>
        <v>XXIV</v>
      </c>
      <c r="I166" s="168"/>
      <c r="J166" s="340"/>
      <c r="K166" s="630"/>
      <c r="L166" s="630"/>
      <c r="M166" s="630"/>
      <c r="N166" s="630"/>
      <c r="O166" s="630"/>
      <c r="P166" s="630"/>
      <c r="Q166" s="630"/>
      <c r="R166" s="630"/>
      <c r="S166" s="630"/>
      <c r="T166" s="630">
        <v>5510</v>
      </c>
      <c r="U166" s="630">
        <v>4868</v>
      </c>
      <c r="V166" s="630">
        <v>6170</v>
      </c>
      <c r="W166" s="630">
        <v>6530</v>
      </c>
      <c r="X166" s="630">
        <v>6010</v>
      </c>
      <c r="Y166" s="630">
        <v>6174</v>
      </c>
      <c r="Z166" s="630">
        <v>9300</v>
      </c>
      <c r="AA166" s="630">
        <v>8800</v>
      </c>
      <c r="AB166" s="630">
        <v>8200</v>
      </c>
      <c r="AC166" s="630">
        <v>7500</v>
      </c>
      <c r="AD166" s="630">
        <v>7544</v>
      </c>
      <c r="AE166" s="630">
        <v>7589</v>
      </c>
      <c r="AF166" s="630">
        <v>7634</v>
      </c>
      <c r="AG166" s="630">
        <v>7679</v>
      </c>
      <c r="AH166" s="630">
        <v>7724</v>
      </c>
      <c r="AI166" s="630">
        <v>7769</v>
      </c>
      <c r="AJ166" s="630">
        <v>7815.2</v>
      </c>
      <c r="AK166" s="630">
        <v>7861.4</v>
      </c>
      <c r="AL166" s="630">
        <v>7907.5999999999995</v>
      </c>
      <c r="AM166" s="630">
        <v>7953.7999999999993</v>
      </c>
      <c r="AN166" s="630">
        <v>8000</v>
      </c>
      <c r="AO166" s="630"/>
      <c r="AP166" s="630"/>
      <c r="AQ166" s="630"/>
      <c r="AR166" s="630"/>
      <c r="AS166" s="630"/>
    </row>
    <row r="167" spans="1:45" ht="15" customHeight="1" x14ac:dyDescent="0.3">
      <c r="A167" s="398"/>
      <c r="B167" s="398"/>
      <c r="C167" s="421"/>
      <c r="D167" s="422"/>
      <c r="E167" s="340" t="s">
        <v>598</v>
      </c>
      <c r="F167" s="340"/>
      <c r="G167" s="340" t="s">
        <v>321</v>
      </c>
      <c r="H167" s="168" t="str">
        <f xml:space="preserve"> Sources!I$29</f>
        <v>XXIV</v>
      </c>
      <c r="I167" s="168"/>
      <c r="J167" s="340"/>
      <c r="K167" s="630"/>
      <c r="L167" s="630"/>
      <c r="M167" s="630"/>
      <c r="N167" s="630"/>
      <c r="O167" s="630"/>
      <c r="P167" s="630"/>
      <c r="Q167" s="630"/>
      <c r="R167" s="630"/>
      <c r="S167" s="630"/>
      <c r="T167" s="630"/>
      <c r="U167" s="630"/>
      <c r="V167" s="630"/>
      <c r="W167" s="630"/>
      <c r="X167" s="630"/>
      <c r="Y167" s="630"/>
      <c r="Z167" s="630"/>
      <c r="AA167" s="630">
        <v>8822</v>
      </c>
      <c r="AB167" s="630">
        <v>8490</v>
      </c>
      <c r="AC167" s="630">
        <v>9250</v>
      </c>
      <c r="AD167" s="630">
        <v>9300</v>
      </c>
      <c r="AE167" s="630">
        <v>8500</v>
      </c>
      <c r="AF167" s="630"/>
      <c r="AG167" s="630"/>
      <c r="AH167" s="630"/>
      <c r="AI167" s="630"/>
      <c r="AJ167" s="630"/>
      <c r="AK167" s="630"/>
      <c r="AL167" s="630"/>
      <c r="AM167" s="630"/>
      <c r="AN167" s="630"/>
      <c r="AO167" s="630"/>
      <c r="AP167" s="630"/>
      <c r="AQ167" s="630"/>
      <c r="AR167" s="630"/>
      <c r="AS167" s="630"/>
    </row>
    <row r="168" spans="1:45" ht="15" customHeight="1" x14ac:dyDescent="0.3">
      <c r="A168" s="139"/>
      <c r="B168" s="139"/>
      <c r="C168" s="140"/>
      <c r="D168" s="141"/>
      <c r="E168" s="142" t="s">
        <v>317</v>
      </c>
      <c r="F168" s="142"/>
      <c r="G168" s="142" t="s">
        <v>321</v>
      </c>
      <c r="H168" s="265" t="s">
        <v>318</v>
      </c>
      <c r="I168" s="1034"/>
      <c r="K168" s="60">
        <v>6731.3519999999999</v>
      </c>
      <c r="L168" s="60">
        <v>7131.63</v>
      </c>
      <c r="M168" s="60">
        <v>6963.482</v>
      </c>
      <c r="N168" s="60">
        <v>5164.1589999999997</v>
      </c>
      <c r="O168" s="60">
        <v>7538.3620000000001</v>
      </c>
      <c r="P168" s="60">
        <v>8823.4539999999997</v>
      </c>
      <c r="Q168" s="60">
        <v>7958.9250000000002</v>
      </c>
      <c r="R168" s="60">
        <v>7331.491</v>
      </c>
      <c r="S168" s="79">
        <v>6863.3969999999999</v>
      </c>
      <c r="T168" s="79">
        <v>5510.4570000000003</v>
      </c>
      <c r="U168" s="79">
        <v>4867.8969999999999</v>
      </c>
      <c r="V168" s="79">
        <v>6169.94</v>
      </c>
      <c r="W168" s="79">
        <v>6529.7979999999998</v>
      </c>
      <c r="X168" s="240">
        <v>6010.1450000000004</v>
      </c>
      <c r="Y168" s="240">
        <v>6174.558</v>
      </c>
      <c r="Z168" s="240">
        <v>9317.4089999999997</v>
      </c>
      <c r="AA168" s="240">
        <v>8828.9169999999995</v>
      </c>
      <c r="AB168" s="240">
        <v>8490.7620000000006</v>
      </c>
      <c r="AC168" s="240">
        <v>8550.723</v>
      </c>
      <c r="AD168" s="79"/>
      <c r="AE168" s="79"/>
      <c r="AF168" s="79"/>
      <c r="AG168" s="79"/>
      <c r="AH168" s="79"/>
      <c r="AI168" s="79"/>
      <c r="AJ168" s="79"/>
      <c r="AK168" s="79"/>
      <c r="AL168" s="79"/>
      <c r="AM168" s="79"/>
      <c r="AN168" s="79"/>
      <c r="AO168" s="79"/>
      <c r="AP168" s="79"/>
      <c r="AQ168" s="79"/>
      <c r="AR168" s="79"/>
      <c r="AS168" s="79"/>
    </row>
    <row r="169" spans="1:45" ht="15" customHeight="1" x14ac:dyDescent="0.3">
      <c r="A169" s="91"/>
      <c r="B169" s="91"/>
      <c r="C169" s="92"/>
      <c r="D169" s="103"/>
      <c r="E169" s="142"/>
      <c r="F169" s="144"/>
      <c r="G169" s="142"/>
      <c r="H169" s="142"/>
      <c r="I169" s="142"/>
      <c r="K169" s="218"/>
      <c r="L169" s="218"/>
      <c r="M169" s="218"/>
      <c r="N169" s="218"/>
      <c r="O169" s="218"/>
      <c r="P169" s="218"/>
      <c r="Q169" s="218"/>
      <c r="R169" s="218"/>
      <c r="S169" s="218"/>
      <c r="T169" s="218"/>
      <c r="U169" s="218"/>
      <c r="V169" s="218"/>
      <c r="W169" s="218"/>
      <c r="X169" s="218"/>
      <c r="Y169" s="218"/>
      <c r="Z169" s="218"/>
      <c r="AA169" s="218"/>
      <c r="AB169" s="218"/>
      <c r="AC169" s="218"/>
      <c r="AD169" s="218"/>
      <c r="AE169" s="218"/>
      <c r="AF169" s="218"/>
      <c r="AG169" s="218"/>
      <c r="AH169" s="218"/>
      <c r="AI169" s="218"/>
      <c r="AJ169" s="218"/>
      <c r="AK169" s="218"/>
      <c r="AL169" s="218"/>
      <c r="AM169" s="218"/>
      <c r="AN169" s="218"/>
      <c r="AO169" s="218"/>
      <c r="AP169" s="135"/>
      <c r="AQ169" s="135"/>
      <c r="AR169" s="135"/>
      <c r="AS169" s="135"/>
    </row>
    <row r="170" spans="1:45" ht="15" customHeight="1" x14ac:dyDescent="0.3">
      <c r="A170" s="398"/>
      <c r="B170" s="398"/>
      <c r="C170" s="421" t="s">
        <v>600</v>
      </c>
      <c r="D170" s="423"/>
      <c r="E170" s="423"/>
      <c r="F170" s="423"/>
      <c r="G170" s="423"/>
      <c r="H170" s="423"/>
      <c r="I170" s="423"/>
      <c r="J170" s="423"/>
      <c r="K170" s="426"/>
      <c r="L170" s="426"/>
      <c r="M170" s="426"/>
      <c r="N170" s="426"/>
      <c r="O170" s="426"/>
      <c r="P170" s="426"/>
      <c r="Q170" s="426"/>
      <c r="R170" s="426"/>
      <c r="S170" s="426"/>
      <c r="T170" s="423"/>
      <c r="U170" s="423"/>
      <c r="V170" s="423"/>
      <c r="W170" s="423"/>
      <c r="X170" s="423"/>
      <c r="Y170" s="423"/>
      <c r="Z170" s="423"/>
      <c r="AA170" s="423"/>
      <c r="AB170" s="423"/>
      <c r="AC170" s="423"/>
      <c r="AD170" s="423"/>
      <c r="AE170" s="423"/>
      <c r="AF170" s="423"/>
      <c r="AG170" s="423"/>
      <c r="AH170" s="423"/>
      <c r="AI170" s="423"/>
      <c r="AJ170" s="423"/>
      <c r="AK170" s="423"/>
      <c r="AL170" s="423"/>
      <c r="AM170" s="423"/>
      <c r="AN170" s="423"/>
      <c r="AO170" s="423"/>
      <c r="AP170" s="423"/>
      <c r="AQ170" s="423"/>
      <c r="AR170" s="423"/>
      <c r="AS170" s="423"/>
    </row>
    <row r="171" spans="1:45" ht="15" customHeight="1" x14ac:dyDescent="0.3">
      <c r="A171" s="398"/>
      <c r="B171" s="398"/>
      <c r="C171" s="421"/>
      <c r="D171" s="423"/>
      <c r="E171" s="423" t="str">
        <f>"Cu forecast: " &amp; F171</f>
        <v>Cu forecast: Fut_17Apr25</v>
      </c>
      <c r="F171" s="636" t="s">
        <v>601</v>
      </c>
      <c r="G171" s="423" t="s">
        <v>602</v>
      </c>
      <c r="H171" s="495" t="s">
        <v>603</v>
      </c>
      <c r="I171" s="654"/>
      <c r="J171" s="423"/>
      <c r="K171" s="638"/>
      <c r="L171" s="638"/>
      <c r="M171" s="638"/>
      <c r="N171" s="638"/>
      <c r="O171" s="638"/>
      <c r="P171" s="638"/>
      <c r="Q171" s="638"/>
      <c r="R171" s="638"/>
      <c r="S171" s="638"/>
      <c r="T171" s="638"/>
      <c r="U171" s="638"/>
      <c r="V171" s="638"/>
      <c r="W171" s="638"/>
      <c r="X171" s="638"/>
      <c r="Y171" s="638"/>
      <c r="Z171" s="638"/>
      <c r="AA171" s="638"/>
      <c r="AB171" s="638"/>
      <c r="AC171" s="638"/>
      <c r="AD171" s="637">
        <f xml:space="preserve"> 9200 / $F172</f>
        <v>4.1730547668078852</v>
      </c>
      <c r="AE171" s="639">
        <f xml:space="preserve"> 4.9168</f>
        <v>4.9168000000000003</v>
      </c>
      <c r="AF171" s="639">
        <v>5.01</v>
      </c>
      <c r="AG171" s="640">
        <v>5.1100000000000003</v>
      </c>
      <c r="AH171" s="640">
        <v>5.1100000000000003</v>
      </c>
      <c r="AI171" s="638"/>
      <c r="AJ171" s="638"/>
      <c r="AK171" s="638"/>
      <c r="AL171" s="638"/>
      <c r="AM171" s="638"/>
      <c r="AN171" s="638"/>
      <c r="AO171" s="638"/>
      <c r="AP171" s="638"/>
      <c r="AQ171" s="638"/>
      <c r="AR171" s="638"/>
      <c r="AS171" s="638"/>
    </row>
    <row r="172" spans="1:45" ht="15" customHeight="1" x14ac:dyDescent="0.3">
      <c r="A172" s="398"/>
      <c r="B172" s="398"/>
      <c r="C172" s="421"/>
      <c r="D172" s="423"/>
      <c r="E172" s="470" t="str">
        <f xml:space="preserve"> Inputs_Con!E$150</f>
        <v>Convert  lb / tonnes</v>
      </c>
      <c r="F172" s="470">
        <f xml:space="preserve"> Inputs_Con!F$150</f>
        <v>2204.62</v>
      </c>
      <c r="G172" s="470" t="str">
        <f xml:space="preserve"> Inputs_Con!G$150</f>
        <v>lb / tonne</v>
      </c>
      <c r="H172" s="423"/>
      <c r="I172" s="423"/>
      <c r="J172" s="423"/>
      <c r="S172" s="426"/>
      <c r="T172" s="423"/>
      <c r="U172" s="423"/>
      <c r="V172" s="423"/>
      <c r="W172" s="423"/>
      <c r="X172" s="423"/>
      <c r="Y172" s="423"/>
      <c r="Z172" s="423"/>
      <c r="AA172" s="423"/>
      <c r="AB172" s="423"/>
      <c r="AC172" s="423"/>
      <c r="AD172" s="423"/>
      <c r="AE172" s="423"/>
      <c r="AF172" s="423"/>
      <c r="AG172" s="423"/>
      <c r="AH172" s="423"/>
      <c r="AI172" s="423"/>
      <c r="AJ172" s="423"/>
      <c r="AK172" s="423"/>
      <c r="AL172" s="423"/>
      <c r="AM172" s="423"/>
      <c r="AN172" s="423"/>
      <c r="AO172" s="423"/>
      <c r="AP172" s="423"/>
      <c r="AQ172" s="423"/>
      <c r="AR172" s="423"/>
      <c r="AS172" s="423"/>
    </row>
    <row r="173" spans="1:45" ht="15" customHeight="1" x14ac:dyDescent="0.3">
      <c r="A173" s="91"/>
      <c r="B173" s="91"/>
      <c r="C173" s="92"/>
      <c r="D173" s="103"/>
      <c r="E173" s="142"/>
      <c r="F173" s="144"/>
      <c r="G173" s="142"/>
      <c r="H173" s="142"/>
      <c r="I173" s="142"/>
      <c r="S173" s="218"/>
      <c r="T173" s="218"/>
      <c r="U173" s="218"/>
      <c r="V173" s="218"/>
      <c r="W173" s="218"/>
      <c r="X173" s="218"/>
      <c r="Y173" s="218"/>
      <c r="Z173" s="218"/>
      <c r="AA173" s="218"/>
      <c r="AB173" s="218"/>
      <c r="AC173" s="218"/>
      <c r="AD173" s="218"/>
      <c r="AE173" s="218"/>
      <c r="AF173" s="218"/>
      <c r="AG173" s="218"/>
      <c r="AH173" s="218"/>
      <c r="AI173" s="218"/>
      <c r="AJ173" s="218"/>
      <c r="AK173" s="218"/>
      <c r="AL173" s="218"/>
      <c r="AM173" s="218"/>
      <c r="AN173" s="218"/>
      <c r="AO173" s="218"/>
      <c r="AP173" s="135"/>
      <c r="AQ173" s="135"/>
      <c r="AR173" s="135"/>
      <c r="AS173" s="135"/>
    </row>
    <row r="174" spans="1:45" ht="15" customHeight="1" x14ac:dyDescent="0.3">
      <c r="A174" s="91"/>
      <c r="B174" s="91"/>
      <c r="C174" s="92"/>
      <c r="D174" s="103"/>
      <c r="E174" s="61" t="str">
        <f xml:space="preserve"> Inputs_Con!E$50</f>
        <v>Constant real terms Cu price forecast</v>
      </c>
      <c r="F174" s="646">
        <f xml:space="preserve"> Inputs_Con!F$50</f>
        <v>8500</v>
      </c>
      <c r="G174" s="61" t="str">
        <f xml:space="preserve"> Inputs_Con!G$50</f>
        <v>$ / tonne</v>
      </c>
      <c r="H174" s="142"/>
      <c r="I174" s="142"/>
      <c r="S174" s="218"/>
      <c r="T174" s="218"/>
      <c r="U174" s="218"/>
      <c r="V174" s="218"/>
      <c r="W174" s="218"/>
      <c r="X174" s="218"/>
      <c r="Y174" s="218"/>
      <c r="Z174" s="218"/>
      <c r="AA174" s="218"/>
      <c r="AB174" s="218"/>
      <c r="AC174" s="218"/>
      <c r="AD174" s="218"/>
      <c r="AE174" s="218"/>
      <c r="AF174" s="218"/>
      <c r="AG174" s="218"/>
      <c r="AH174" s="218"/>
      <c r="AI174" s="218"/>
      <c r="AJ174" s="218"/>
      <c r="AK174" s="218"/>
      <c r="AL174" s="218"/>
      <c r="AM174" s="218"/>
      <c r="AN174" s="218"/>
      <c r="AO174" s="218"/>
      <c r="AP174" s="135"/>
      <c r="AQ174" s="135"/>
      <c r="AR174" s="135"/>
      <c r="AS174" s="135"/>
    </row>
    <row r="175" spans="1:45" ht="15" customHeight="1" x14ac:dyDescent="0.3">
      <c r="A175" s="91"/>
      <c r="B175" s="91"/>
      <c r="C175" s="92"/>
      <c r="D175" s="103"/>
      <c r="E175" s="142"/>
      <c r="F175" s="144"/>
      <c r="G175" s="142"/>
      <c r="H175" s="142"/>
      <c r="I175" s="142"/>
      <c r="S175" s="218"/>
      <c r="T175" s="218"/>
      <c r="U175" s="218"/>
      <c r="V175" s="218"/>
      <c r="W175" s="218"/>
      <c r="X175" s="218"/>
      <c r="Y175" s="218"/>
      <c r="Z175" s="218"/>
      <c r="AA175" s="218"/>
      <c r="AB175" s="218"/>
      <c r="AC175" s="218"/>
      <c r="AD175" s="218"/>
      <c r="AE175" s="218"/>
      <c r="AF175" s="218"/>
      <c r="AG175" s="218"/>
      <c r="AH175" s="218"/>
      <c r="AI175" s="218"/>
      <c r="AJ175" s="218"/>
      <c r="AK175" s="218"/>
      <c r="AL175" s="218"/>
      <c r="AM175" s="218"/>
      <c r="AN175" s="218"/>
      <c r="AO175" s="218"/>
      <c r="AP175" s="135"/>
      <c r="AQ175" s="135"/>
      <c r="AR175" s="135"/>
      <c r="AS175" s="135"/>
    </row>
    <row r="176" spans="1:45" ht="15" customHeight="1" x14ac:dyDescent="0.3">
      <c r="A176" s="398"/>
      <c r="B176" s="398"/>
      <c r="C176" s="421"/>
      <c r="D176" s="423"/>
      <c r="E176" s="641"/>
      <c r="F176" s="641" t="s">
        <v>606</v>
      </c>
      <c r="G176" s="641"/>
      <c r="H176" s="641"/>
      <c r="I176" s="641"/>
      <c r="J176" s="641"/>
      <c r="K176" s="641"/>
      <c r="L176" s="641"/>
      <c r="M176" s="641"/>
      <c r="N176" s="641"/>
      <c r="O176" s="641"/>
      <c r="P176" s="641"/>
      <c r="Q176" s="641"/>
      <c r="R176" s="641"/>
      <c r="S176" s="641"/>
      <c r="T176" s="641"/>
      <c r="U176" s="641"/>
      <c r="V176" s="641"/>
      <c r="W176" s="641"/>
      <c r="X176" s="641"/>
      <c r="Y176" s="641"/>
      <c r="Z176" s="641"/>
      <c r="AA176" s="641"/>
      <c r="AB176" s="641"/>
      <c r="AC176" s="641"/>
      <c r="AD176" s="641"/>
      <c r="AE176" s="641"/>
      <c r="AF176" s="641"/>
      <c r="AG176" s="641"/>
      <c r="AH176" s="641"/>
      <c r="AI176" s="641"/>
      <c r="AJ176" s="641"/>
      <c r="AK176" s="641"/>
      <c r="AL176" s="641"/>
      <c r="AM176" s="641"/>
      <c r="AN176" s="641"/>
      <c r="AO176" s="641"/>
      <c r="AP176" s="641"/>
      <c r="AQ176" s="641"/>
      <c r="AR176" s="641"/>
      <c r="AS176" s="641"/>
    </row>
    <row r="177" spans="1:45" ht="15" customHeight="1" x14ac:dyDescent="0.3">
      <c r="A177" s="506"/>
      <c r="B177" s="506"/>
      <c r="C177" s="507"/>
      <c r="D177" s="88"/>
      <c r="E177" s="88" t="str">
        <f t="shared" ref="E177:E182" si="69">"Cu forecast: " &amp; F177</f>
        <v>Cu forecast: Fut_17Apr25</v>
      </c>
      <c r="F177" s="636" t="s">
        <v>601</v>
      </c>
      <c r="G177" s="88" t="s">
        <v>321</v>
      </c>
      <c r="H177" s="636" t="s">
        <v>603</v>
      </c>
      <c r="I177" s="636"/>
      <c r="J177" s="88"/>
      <c r="K177" s="636">
        <v>0</v>
      </c>
      <c r="L177" s="636">
        <v>0</v>
      </c>
      <c r="M177" s="636">
        <v>0</v>
      </c>
      <c r="N177" s="636">
        <v>0</v>
      </c>
      <c r="O177" s="636">
        <v>0</v>
      </c>
      <c r="P177" s="636">
        <v>0</v>
      </c>
      <c r="Q177" s="636">
        <v>0</v>
      </c>
      <c r="R177" s="636">
        <v>0</v>
      </c>
      <c r="S177" s="636">
        <v>0</v>
      </c>
      <c r="T177" s="636">
        <v>0</v>
      </c>
      <c r="U177" s="636">
        <v>0</v>
      </c>
      <c r="V177" s="636">
        <v>0</v>
      </c>
      <c r="W177" s="636">
        <v>0</v>
      </c>
      <c r="X177" s="636">
        <v>0</v>
      </c>
      <c r="Y177" s="636">
        <v>0</v>
      </c>
      <c r="Z177" s="636">
        <v>0</v>
      </c>
      <c r="AA177" s="636">
        <v>0</v>
      </c>
      <c r="AB177" s="636">
        <v>0</v>
      </c>
      <c r="AC177" s="636">
        <v>0</v>
      </c>
      <c r="AD177" s="636">
        <f xml:space="preserve"> AD171 * $F172</f>
        <v>9200</v>
      </c>
      <c r="AE177" s="636">
        <f xml:space="preserve"> AE171 * $F172</f>
        <v>10839.675616</v>
      </c>
      <c r="AF177" s="636">
        <f xml:space="preserve"> AF171 * $F172</f>
        <v>11045.146199999999</v>
      </c>
      <c r="AG177" s="636">
        <f xml:space="preserve"> AG171 * $F172</f>
        <v>11265.608200000001</v>
      </c>
      <c r="AH177" s="636">
        <f xml:space="preserve"> AH171 * $F172</f>
        <v>11265.608200000001</v>
      </c>
      <c r="AI177" s="636"/>
      <c r="AJ177" s="636"/>
      <c r="AK177" s="636"/>
      <c r="AL177" s="636"/>
      <c r="AM177" s="636"/>
      <c r="AN177" s="636"/>
      <c r="AO177" s="636"/>
      <c r="AP177" s="636"/>
      <c r="AQ177" s="636"/>
      <c r="AR177" s="636"/>
      <c r="AS177" s="636"/>
    </row>
    <row r="178" spans="1:45" ht="15" customHeight="1" x14ac:dyDescent="0.3">
      <c r="A178" s="506"/>
      <c r="B178" s="506"/>
      <c r="C178" s="507"/>
      <c r="D178" s="88"/>
      <c r="E178" s="88" t="str">
        <f t="shared" si="69"/>
        <v>Cu forecast: IMF_WEO</v>
      </c>
      <c r="F178" s="636" t="s">
        <v>500</v>
      </c>
      <c r="G178" s="88" t="s">
        <v>321</v>
      </c>
      <c r="H178" s="636" t="s">
        <v>603</v>
      </c>
      <c r="I178" s="636"/>
      <c r="J178" s="88"/>
      <c r="K178" s="636">
        <v>6731.3519999999999</v>
      </c>
      <c r="L178" s="636">
        <v>7131.63</v>
      </c>
      <c r="M178" s="636">
        <v>6963.482</v>
      </c>
      <c r="N178" s="636">
        <v>5164.1589999999997</v>
      </c>
      <c r="O178" s="636">
        <v>7538.3620000000001</v>
      </c>
      <c r="P178" s="636">
        <v>8823.4539999999997</v>
      </c>
      <c r="Q178" s="636">
        <v>7958.9250000000002</v>
      </c>
      <c r="R178" s="636">
        <v>7331.491</v>
      </c>
      <c r="S178" s="636">
        <v>6863.3969999999999</v>
      </c>
      <c r="T178" s="636">
        <v>5510.4570000000003</v>
      </c>
      <c r="U178" s="636">
        <v>4867.8969999999999</v>
      </c>
      <c r="V178" s="636">
        <v>6169.94</v>
      </c>
      <c r="W178" s="636">
        <v>6529.7979999999998</v>
      </c>
      <c r="X178" s="636">
        <v>6010.1450000000004</v>
      </c>
      <c r="Y178" s="636">
        <v>6174.558</v>
      </c>
      <c r="Z178" s="636">
        <v>9317.4089999999997</v>
      </c>
      <c r="AA178" s="636">
        <v>8828.9169999999995</v>
      </c>
      <c r="AB178" s="636">
        <v>8490.7620000000006</v>
      </c>
      <c r="AC178" s="636">
        <v>8550.723</v>
      </c>
      <c r="AD178" s="636">
        <v>8661.2289999999994</v>
      </c>
      <c r="AE178" s="636">
        <v>8676.2919999999995</v>
      </c>
      <c r="AF178" s="636">
        <v>8667.75</v>
      </c>
      <c r="AG178" s="636">
        <v>8655.625</v>
      </c>
      <c r="AH178" s="636">
        <v>8668.5</v>
      </c>
      <c r="AI178" s="636"/>
      <c r="AJ178" s="636"/>
      <c r="AK178" s="636"/>
      <c r="AL178" s="636"/>
      <c r="AM178" s="636"/>
      <c r="AN178" s="636"/>
      <c r="AO178" s="636"/>
      <c r="AP178" s="636"/>
      <c r="AQ178" s="636"/>
      <c r="AR178" s="636"/>
      <c r="AS178" s="636"/>
    </row>
    <row r="179" spans="1:45" ht="15" customHeight="1" x14ac:dyDescent="0.3">
      <c r="A179" s="506"/>
      <c r="B179" s="506"/>
      <c r="C179" s="507"/>
      <c r="D179" s="88"/>
      <c r="E179" s="88" t="str">
        <f t="shared" si="69"/>
        <v>Cu forecast: ConstReal</v>
      </c>
      <c r="F179" s="636" t="s">
        <v>607</v>
      </c>
      <c r="G179" s="88" t="s">
        <v>321</v>
      </c>
      <c r="H179" s="636" t="s">
        <v>608</v>
      </c>
      <c r="I179" s="636"/>
      <c r="J179" s="88"/>
      <c r="K179" s="636">
        <v>0</v>
      </c>
      <c r="L179" s="636">
        <v>0</v>
      </c>
      <c r="M179" s="636">
        <v>0</v>
      </c>
      <c r="N179" s="636">
        <v>0</v>
      </c>
      <c r="O179" s="636">
        <v>0</v>
      </c>
      <c r="P179" s="636">
        <v>0</v>
      </c>
      <c r="Q179" s="636">
        <v>0</v>
      </c>
      <c r="R179" s="636">
        <v>0</v>
      </c>
      <c r="S179" s="636">
        <v>0</v>
      </c>
      <c r="T179" s="636">
        <v>0</v>
      </c>
      <c r="U179" s="636">
        <v>0</v>
      </c>
      <c r="V179" s="636">
        <v>0</v>
      </c>
      <c r="W179" s="636">
        <v>0</v>
      </c>
      <c r="X179" s="636">
        <v>0</v>
      </c>
      <c r="Y179" s="636">
        <v>0</v>
      </c>
      <c r="Z179" s="636">
        <v>0</v>
      </c>
      <c r="AA179" s="636">
        <v>0</v>
      </c>
      <c r="AB179" s="636">
        <v>0</v>
      </c>
      <c r="AC179" s="636">
        <v>0</v>
      </c>
      <c r="AD179" s="647">
        <f xml:space="preserve"> Inputs_Con!$F50</f>
        <v>8500</v>
      </c>
      <c r="AE179" s="647">
        <f xml:space="preserve"> Inputs_Con!$F50</f>
        <v>8500</v>
      </c>
      <c r="AF179" s="647">
        <f xml:space="preserve"> Inputs_Con!$F50</f>
        <v>8500</v>
      </c>
      <c r="AG179" s="647">
        <f xml:space="preserve"> Inputs_Con!$F50</f>
        <v>8500</v>
      </c>
      <c r="AH179" s="647">
        <f xml:space="preserve"> Inputs_Con!$F50</f>
        <v>8500</v>
      </c>
      <c r="AI179" s="647"/>
      <c r="AJ179" s="647"/>
      <c r="AK179" s="647"/>
      <c r="AL179" s="647"/>
      <c r="AM179" s="647"/>
      <c r="AN179" s="647"/>
      <c r="AO179" s="647"/>
      <c r="AP179" s="647"/>
      <c r="AQ179" s="647"/>
      <c r="AR179" s="647"/>
      <c r="AS179" s="647"/>
    </row>
    <row r="180" spans="1:45" ht="15" customHeight="1" x14ac:dyDescent="0.3">
      <c r="A180" s="398"/>
      <c r="B180" s="398"/>
      <c r="C180" s="421"/>
      <c r="D180" s="423"/>
      <c r="E180" s="423" t="str">
        <f t="shared" si="69"/>
        <v>Cu forecast: Other2</v>
      </c>
      <c r="F180" s="495" t="s">
        <v>609</v>
      </c>
      <c r="G180" s="423" t="s">
        <v>321</v>
      </c>
      <c r="H180" s="636" t="s">
        <v>608</v>
      </c>
      <c r="I180" s="636"/>
      <c r="J180" s="423"/>
      <c r="K180" s="642">
        <v>0</v>
      </c>
      <c r="L180" s="642">
        <v>0</v>
      </c>
      <c r="M180" s="642">
        <v>0</v>
      </c>
      <c r="N180" s="642">
        <v>0</v>
      </c>
      <c r="O180" s="642">
        <v>0</v>
      </c>
      <c r="P180" s="642">
        <v>0</v>
      </c>
      <c r="Q180" s="642">
        <v>0</v>
      </c>
      <c r="R180" s="642">
        <v>0</v>
      </c>
      <c r="S180" s="642">
        <v>0</v>
      </c>
      <c r="T180" s="642">
        <v>0</v>
      </c>
      <c r="U180" s="642">
        <v>0</v>
      </c>
      <c r="V180" s="642">
        <v>0</v>
      </c>
      <c r="W180" s="642">
        <v>0</v>
      </c>
      <c r="X180" s="642">
        <v>0</v>
      </c>
      <c r="Y180" s="642">
        <v>0</v>
      </c>
      <c r="Z180" s="642">
        <v>0</v>
      </c>
      <c r="AA180" s="642">
        <v>0</v>
      </c>
      <c r="AB180" s="642">
        <v>0</v>
      </c>
      <c r="AC180" s="642">
        <v>0</v>
      </c>
      <c r="AD180" s="642">
        <v>6000</v>
      </c>
      <c r="AE180" s="642">
        <v>6000</v>
      </c>
      <c r="AF180" s="642">
        <v>6000</v>
      </c>
      <c r="AG180" s="642">
        <v>6000</v>
      </c>
      <c r="AH180" s="642">
        <v>6000</v>
      </c>
      <c r="AI180" s="642"/>
      <c r="AJ180" s="642"/>
      <c r="AK180" s="642"/>
      <c r="AL180" s="642"/>
      <c r="AM180" s="642"/>
      <c r="AN180" s="642"/>
      <c r="AO180" s="642"/>
      <c r="AP180" s="642"/>
      <c r="AQ180" s="642"/>
      <c r="AR180" s="642"/>
      <c r="AS180" s="642"/>
    </row>
    <row r="181" spans="1:45" ht="15" customHeight="1" x14ac:dyDescent="0.3">
      <c r="A181" s="398"/>
      <c r="B181" s="398"/>
      <c r="C181" s="421"/>
      <c r="D181" s="423"/>
      <c r="E181" s="423" t="str">
        <f t="shared" si="69"/>
        <v>Cu forecast: Other3</v>
      </c>
      <c r="F181" s="495" t="s">
        <v>610</v>
      </c>
      <c r="G181" s="423" t="s">
        <v>321</v>
      </c>
      <c r="H181" s="636" t="s">
        <v>608</v>
      </c>
      <c r="I181" s="636"/>
      <c r="J181" s="423"/>
      <c r="K181" s="642">
        <v>0</v>
      </c>
      <c r="L181" s="642">
        <v>0</v>
      </c>
      <c r="M181" s="642">
        <v>0</v>
      </c>
      <c r="N181" s="642">
        <v>0</v>
      </c>
      <c r="O181" s="642">
        <v>0</v>
      </c>
      <c r="P181" s="642">
        <v>0</v>
      </c>
      <c r="Q181" s="642">
        <v>0</v>
      </c>
      <c r="R181" s="642">
        <v>0</v>
      </c>
      <c r="S181" s="642">
        <v>0</v>
      </c>
      <c r="T181" s="642">
        <v>0</v>
      </c>
      <c r="U181" s="642">
        <v>0</v>
      </c>
      <c r="V181" s="642">
        <v>0</v>
      </c>
      <c r="W181" s="642">
        <v>0</v>
      </c>
      <c r="X181" s="642">
        <v>0</v>
      </c>
      <c r="Y181" s="642">
        <v>0</v>
      </c>
      <c r="Z181" s="642">
        <v>0</v>
      </c>
      <c r="AA181" s="642">
        <v>0</v>
      </c>
      <c r="AB181" s="642">
        <v>0</v>
      </c>
      <c r="AC181" s="642">
        <v>0</v>
      </c>
      <c r="AD181" s="642">
        <v>6500</v>
      </c>
      <c r="AE181" s="642">
        <v>6500</v>
      </c>
      <c r="AF181" s="642">
        <v>6500</v>
      </c>
      <c r="AG181" s="642">
        <v>6500</v>
      </c>
      <c r="AH181" s="642">
        <v>6500</v>
      </c>
      <c r="AI181" s="642"/>
      <c r="AJ181" s="642"/>
      <c r="AK181" s="642"/>
      <c r="AL181" s="642"/>
      <c r="AM181" s="642"/>
      <c r="AN181" s="642"/>
      <c r="AO181" s="642"/>
      <c r="AP181" s="642"/>
      <c r="AQ181" s="642"/>
      <c r="AR181" s="642"/>
      <c r="AS181" s="642"/>
    </row>
    <row r="182" spans="1:45" ht="15" customHeight="1" x14ac:dyDescent="0.3">
      <c r="A182" s="398"/>
      <c r="B182" s="398"/>
      <c r="C182" s="421"/>
      <c r="D182" s="423"/>
      <c r="E182" s="641" t="str">
        <f t="shared" si="69"/>
        <v>Cu forecast: last</v>
      </c>
      <c r="F182" s="641" t="s">
        <v>611</v>
      </c>
      <c r="G182" s="641"/>
      <c r="H182" s="444"/>
      <c r="I182" s="444"/>
      <c r="J182" s="641"/>
      <c r="K182" s="643"/>
      <c r="L182" s="643"/>
      <c r="M182" s="643"/>
      <c r="N182" s="643"/>
      <c r="O182" s="643"/>
      <c r="P182" s="643"/>
      <c r="Q182" s="643"/>
      <c r="R182" s="643"/>
      <c r="S182" s="643"/>
      <c r="T182" s="643"/>
      <c r="U182" s="643"/>
      <c r="V182" s="643"/>
      <c r="W182" s="643"/>
      <c r="X182" s="643"/>
      <c r="Y182" s="643"/>
      <c r="Z182" s="643"/>
      <c r="AA182" s="643"/>
      <c r="AB182" s="643"/>
      <c r="AC182" s="643"/>
      <c r="AD182" s="643"/>
      <c r="AE182" s="643"/>
      <c r="AF182" s="643"/>
      <c r="AG182" s="643"/>
      <c r="AH182" s="643"/>
      <c r="AI182" s="643"/>
      <c r="AJ182" s="643"/>
      <c r="AK182" s="643"/>
      <c r="AL182" s="643"/>
      <c r="AM182" s="643"/>
      <c r="AN182" s="643"/>
      <c r="AO182" s="643"/>
      <c r="AP182" s="643"/>
      <c r="AQ182" s="643"/>
      <c r="AR182" s="643"/>
      <c r="AS182" s="643"/>
    </row>
    <row r="183" spans="1:45" ht="15" customHeight="1" x14ac:dyDescent="0.3">
      <c r="A183" s="91"/>
      <c r="B183" s="91"/>
      <c r="C183" s="92"/>
      <c r="D183" s="103"/>
      <c r="E183" s="142"/>
      <c r="F183" s="144"/>
      <c r="G183" s="142"/>
      <c r="H183" s="142"/>
      <c r="I183" s="142"/>
      <c r="K183" s="218"/>
      <c r="L183" s="218"/>
      <c r="M183" s="218"/>
      <c r="N183" s="218"/>
      <c r="O183" s="218"/>
      <c r="P183" s="218"/>
      <c r="Q183" s="218"/>
      <c r="R183" s="218"/>
      <c r="S183" s="218"/>
      <c r="T183" s="218"/>
      <c r="U183" s="218"/>
      <c r="V183" s="218"/>
      <c r="W183" s="218"/>
      <c r="X183" s="218"/>
      <c r="Y183" s="218"/>
      <c r="Z183" s="218"/>
      <c r="AA183" s="218"/>
      <c r="AB183" s="218"/>
      <c r="AC183" s="218"/>
      <c r="AD183" s="218"/>
      <c r="AE183" s="218"/>
      <c r="AF183" s="218"/>
      <c r="AG183" s="218"/>
      <c r="AH183" s="218"/>
      <c r="AI183" s="218"/>
      <c r="AJ183" s="218"/>
      <c r="AK183" s="218"/>
      <c r="AL183" s="218"/>
      <c r="AM183" s="218"/>
      <c r="AN183" s="218"/>
      <c r="AO183" s="218"/>
      <c r="AP183" s="135"/>
      <c r="AQ183" s="135"/>
      <c r="AR183" s="135"/>
      <c r="AS183" s="135"/>
    </row>
    <row r="184" spans="1:45" ht="15" customHeight="1" x14ac:dyDescent="0.3">
      <c r="A184" s="91"/>
      <c r="B184" s="91"/>
      <c r="C184" s="92"/>
      <c r="D184" s="103"/>
      <c r="E184" s="423" t="s">
        <v>612</v>
      </c>
      <c r="F184" s="1035" t="str">
        <f xml:space="preserve"> Inputs_Con!F$60</f>
        <v>nominal</v>
      </c>
      <c r="G184" s="497" t="str">
        <f xml:space="preserve"> Inputs_Con!G$60</f>
        <v>option</v>
      </c>
      <c r="H184" s="142"/>
      <c r="I184" s="142"/>
      <c r="K184" s="218"/>
      <c r="L184" s="218"/>
      <c r="M184" s="218"/>
      <c r="N184" s="218"/>
      <c r="O184" s="218"/>
      <c r="P184" s="218"/>
      <c r="Q184" s="218"/>
      <c r="R184" s="218"/>
      <c r="S184" s="218"/>
      <c r="T184" s="218"/>
      <c r="U184" s="218"/>
      <c r="V184" s="218"/>
      <c r="W184" s="218"/>
      <c r="X184" s="218"/>
      <c r="Y184" s="218"/>
      <c r="Z184" s="218"/>
      <c r="AA184" s="218"/>
      <c r="AB184" s="218"/>
      <c r="AC184" s="218"/>
      <c r="AD184" s="218"/>
      <c r="AE184" s="218"/>
      <c r="AF184" s="218"/>
      <c r="AG184" s="218"/>
      <c r="AH184" s="218"/>
      <c r="AI184" s="218"/>
      <c r="AJ184" s="218"/>
      <c r="AK184" s="218"/>
      <c r="AL184" s="218"/>
      <c r="AM184" s="218"/>
      <c r="AN184" s="218"/>
      <c r="AO184" s="218"/>
      <c r="AP184" s="135"/>
      <c r="AQ184" s="135"/>
      <c r="AR184" s="135"/>
      <c r="AS184" s="135"/>
    </row>
    <row r="185" spans="1:45" ht="15" customHeight="1" x14ac:dyDescent="0.3">
      <c r="A185" s="91"/>
      <c r="B185" s="91"/>
      <c r="C185" s="92"/>
      <c r="D185" s="103"/>
      <c r="E185" s="423" t="s">
        <v>612</v>
      </c>
      <c r="F185" s="1035" t="str">
        <f xml:space="preserve"> Inputs_Con!F$61</f>
        <v>real</v>
      </c>
      <c r="G185" s="497" t="str">
        <f xml:space="preserve"> Inputs_Con!G$61</f>
        <v>option</v>
      </c>
      <c r="H185" s="142"/>
      <c r="I185" s="142"/>
      <c r="K185" s="218"/>
      <c r="L185" s="218"/>
      <c r="M185" s="218"/>
      <c r="N185" s="218"/>
      <c r="O185" s="218"/>
      <c r="P185" s="218"/>
      <c r="Q185" s="218"/>
      <c r="R185" s="218"/>
      <c r="S185" s="218"/>
      <c r="T185" s="218"/>
      <c r="U185" s="218"/>
      <c r="V185" s="218"/>
      <c r="W185" s="218"/>
      <c r="X185" s="218"/>
      <c r="Y185" s="218"/>
      <c r="Z185" s="218"/>
      <c r="AA185" s="218"/>
      <c r="AB185" s="218"/>
      <c r="AC185" s="218"/>
      <c r="AD185" s="218"/>
      <c r="AE185" s="218"/>
      <c r="AF185" s="218"/>
      <c r="AG185" s="218"/>
      <c r="AH185" s="218"/>
      <c r="AI185" s="218"/>
      <c r="AJ185" s="218"/>
      <c r="AK185" s="218"/>
      <c r="AL185" s="218"/>
      <c r="AM185" s="218"/>
      <c r="AN185" s="218"/>
      <c r="AO185" s="218"/>
      <c r="AP185" s="135"/>
      <c r="AQ185" s="135"/>
      <c r="AR185" s="135"/>
      <c r="AS185" s="135"/>
    </row>
    <row r="186" spans="1:45" ht="15" customHeight="1" x14ac:dyDescent="0.3">
      <c r="A186" s="91"/>
      <c r="B186" s="91"/>
      <c r="C186" s="92"/>
      <c r="D186" s="103"/>
      <c r="E186" s="142"/>
      <c r="F186" s="144"/>
      <c r="G186" s="142"/>
      <c r="H186" s="142"/>
      <c r="I186" s="142"/>
      <c r="K186" s="218"/>
      <c r="L186" s="218"/>
      <c r="M186" s="218"/>
      <c r="N186" s="218"/>
      <c r="O186" s="218"/>
      <c r="P186" s="218"/>
      <c r="Q186" s="218"/>
      <c r="R186" s="218"/>
      <c r="S186" s="218"/>
      <c r="T186" s="218"/>
      <c r="U186" s="218"/>
      <c r="V186" s="218"/>
      <c r="W186" s="218"/>
      <c r="X186" s="218"/>
      <c r="Y186" s="218"/>
      <c r="Z186" s="218"/>
      <c r="AA186" s="218"/>
      <c r="AB186" s="218"/>
      <c r="AC186" s="218"/>
      <c r="AD186" s="218"/>
      <c r="AE186" s="218"/>
      <c r="AF186" s="218"/>
      <c r="AG186" s="218"/>
      <c r="AH186" s="218"/>
      <c r="AI186" s="218"/>
      <c r="AJ186" s="218"/>
      <c r="AK186" s="218"/>
      <c r="AL186" s="218"/>
      <c r="AM186" s="218"/>
      <c r="AN186" s="218"/>
      <c r="AO186" s="218"/>
      <c r="AP186" s="135"/>
      <c r="AQ186" s="135"/>
      <c r="AR186" s="135"/>
      <c r="AS186" s="135"/>
    </row>
    <row r="187" spans="1:45" ht="15" customHeight="1" x14ac:dyDescent="0.3">
      <c r="A187" s="91"/>
      <c r="B187" s="91"/>
      <c r="C187" s="92"/>
      <c r="D187" s="103"/>
      <c r="E187" s="61" t="str">
        <f xml:space="preserve"> 'T&amp;E'!E$14</f>
        <v>Base year for real terms forecast</v>
      </c>
      <c r="F187" s="648">
        <f xml:space="preserve"> 'T&amp;E'!F$14</f>
        <v>2023</v>
      </c>
      <c r="G187" s="61" t="str">
        <f xml:space="preserve"> 'T&amp;E'!G$14</f>
        <v>year</v>
      </c>
      <c r="H187" s="142"/>
      <c r="I187" s="142"/>
      <c r="K187" s="218"/>
      <c r="L187" s="218"/>
      <c r="M187" s="218"/>
      <c r="N187" s="218"/>
      <c r="O187" s="218"/>
      <c r="P187" s="218"/>
      <c r="Q187" s="218"/>
      <c r="R187" s="218"/>
      <c r="S187" s="218"/>
      <c r="T187" s="218"/>
      <c r="U187" s="218"/>
      <c r="V187" s="218"/>
      <c r="W187" s="218"/>
      <c r="X187" s="218"/>
      <c r="Y187" s="218"/>
      <c r="Z187" s="218"/>
      <c r="AA187" s="218"/>
      <c r="AB187" s="218"/>
      <c r="AC187" s="218"/>
      <c r="AD187" s="218"/>
      <c r="AE187" s="218"/>
      <c r="AF187" s="218"/>
      <c r="AG187" s="218"/>
      <c r="AH187" s="218"/>
      <c r="AI187" s="218"/>
      <c r="AJ187" s="218"/>
      <c r="AK187" s="218"/>
      <c r="AL187" s="218"/>
      <c r="AM187" s="218"/>
      <c r="AN187" s="218"/>
      <c r="AO187" s="218"/>
      <c r="AP187" s="135"/>
      <c r="AQ187" s="135"/>
      <c r="AR187" s="135"/>
      <c r="AS187" s="135"/>
    </row>
    <row r="188" spans="1:45" ht="15" customHeight="1" x14ac:dyDescent="0.3">
      <c r="A188" s="91"/>
      <c r="B188" s="91"/>
      <c r="C188" s="92"/>
      <c r="D188" s="103"/>
      <c r="E188" s="61" t="str">
        <f xml:space="preserve"> 'T&amp;E'!E$15</f>
        <v>Forecast prices start from</v>
      </c>
      <c r="F188" s="648">
        <f xml:space="preserve"> 'T&amp;E'!F$15</f>
        <v>2025</v>
      </c>
      <c r="G188" s="61" t="str">
        <f xml:space="preserve"> 'T&amp;E'!G$15</f>
        <v>year</v>
      </c>
      <c r="H188" s="142"/>
      <c r="I188" s="142"/>
      <c r="K188" s="218"/>
      <c r="L188" s="218"/>
      <c r="M188" s="218"/>
      <c r="N188" s="218"/>
      <c r="O188" s="218"/>
      <c r="P188" s="218"/>
      <c r="Q188" s="218"/>
      <c r="R188" s="218"/>
      <c r="S188" s="218"/>
      <c r="T188" s="218"/>
      <c r="U188" s="218"/>
      <c r="V188" s="218"/>
      <c r="W188" s="218"/>
      <c r="X188" s="218"/>
      <c r="Y188" s="218"/>
      <c r="Z188" s="218"/>
      <c r="AA188" s="218"/>
      <c r="AB188" s="218"/>
      <c r="AC188" s="218"/>
      <c r="AD188" s="218"/>
      <c r="AE188" s="218"/>
      <c r="AF188" s="218"/>
      <c r="AG188" s="218"/>
      <c r="AH188" s="218"/>
      <c r="AI188" s="218"/>
      <c r="AJ188" s="218"/>
      <c r="AK188" s="218"/>
      <c r="AL188" s="218"/>
      <c r="AM188" s="218"/>
      <c r="AN188" s="218"/>
      <c r="AO188" s="218"/>
      <c r="AP188" s="135"/>
      <c r="AQ188" s="135"/>
      <c r="AR188" s="135"/>
      <c r="AS188" s="135"/>
    </row>
    <row r="189" spans="1:45" ht="15" customHeight="1" x14ac:dyDescent="0.3">
      <c r="A189" s="91"/>
      <c r="B189" s="91"/>
      <c r="C189" s="92"/>
      <c r="D189" s="103"/>
      <c r="E189" s="142"/>
      <c r="F189" s="144"/>
      <c r="G189" s="142"/>
      <c r="H189" s="142"/>
      <c r="I189" s="142"/>
      <c r="K189" s="218"/>
      <c r="L189" s="218"/>
      <c r="M189" s="218"/>
      <c r="N189" s="218"/>
      <c r="O189" s="218"/>
      <c r="P189" s="218"/>
      <c r="Q189" s="218"/>
      <c r="R189" s="218"/>
      <c r="S189" s="218"/>
      <c r="T189" s="218"/>
      <c r="U189" s="218"/>
      <c r="V189" s="218"/>
      <c r="W189" s="218"/>
      <c r="X189" s="218"/>
      <c r="Y189" s="218"/>
      <c r="Z189" s="218"/>
      <c r="AA189" s="218"/>
      <c r="AB189" s="218"/>
      <c r="AC189" s="218"/>
      <c r="AD189" s="218"/>
      <c r="AE189" s="218"/>
      <c r="AF189" s="218"/>
      <c r="AG189" s="218"/>
      <c r="AH189" s="218"/>
      <c r="AI189" s="218"/>
      <c r="AJ189" s="218"/>
      <c r="AK189" s="218"/>
      <c r="AL189" s="218"/>
      <c r="AM189" s="218"/>
      <c r="AN189" s="218"/>
      <c r="AO189" s="218"/>
      <c r="AP189" s="135"/>
      <c r="AQ189" s="135"/>
      <c r="AR189" s="135"/>
      <c r="AS189" s="135"/>
    </row>
    <row r="190" spans="1:45" ht="15" customHeight="1" x14ac:dyDescent="0.3">
      <c r="A190" s="91"/>
      <c r="B190" s="91"/>
      <c r="C190" s="140" t="s">
        <v>615</v>
      </c>
      <c r="D190" s="103"/>
      <c r="E190" s="142"/>
      <c r="F190" s="144"/>
      <c r="G190" s="142"/>
      <c r="H190" s="142"/>
      <c r="I190" s="142"/>
      <c r="K190" s="218"/>
      <c r="L190" s="218"/>
      <c r="M190" s="218"/>
      <c r="N190" s="218"/>
      <c r="O190" s="218"/>
      <c r="P190" s="218"/>
      <c r="Q190" s="218"/>
      <c r="R190" s="218"/>
      <c r="S190" s="218"/>
      <c r="T190" s="218"/>
      <c r="U190" s="218"/>
      <c r="V190" s="218"/>
      <c r="W190" s="218"/>
      <c r="X190" s="218"/>
      <c r="Y190" s="218"/>
      <c r="Z190" s="218"/>
      <c r="AA190" s="218"/>
      <c r="AB190" s="218"/>
      <c r="AC190" s="218"/>
      <c r="AD190" s="218"/>
      <c r="AE190" s="218"/>
      <c r="AF190" s="218"/>
      <c r="AG190" s="218"/>
      <c r="AH190" s="218"/>
      <c r="AI190" s="218"/>
      <c r="AJ190" s="218"/>
      <c r="AK190" s="218"/>
      <c r="AL190" s="218"/>
      <c r="AM190" s="218"/>
      <c r="AN190" s="218"/>
      <c r="AO190" s="218"/>
      <c r="AP190" s="135"/>
      <c r="AQ190" s="135"/>
      <c r="AR190" s="135"/>
      <c r="AS190" s="135"/>
    </row>
    <row r="191" spans="1:45" ht="15" customHeight="1" x14ac:dyDescent="0.3">
      <c r="A191" s="139"/>
      <c r="B191" s="139"/>
      <c r="C191" s="140"/>
      <c r="D191" s="141"/>
      <c r="E191" s="61" t="str">
        <f xml:space="preserve"> 'T&amp;E'!E$9</f>
        <v>Model calendar year</v>
      </c>
      <c r="F191" s="61">
        <f xml:space="preserve"> 'T&amp;E'!F$9</f>
        <v>0</v>
      </c>
      <c r="G191" s="61" t="str">
        <f xml:space="preserve"> 'T&amp;E'!G$9</f>
        <v>year</v>
      </c>
      <c r="H191" s="61">
        <f xml:space="preserve"> 'T&amp;E'!H$9</f>
        <v>0</v>
      </c>
      <c r="I191" s="61">
        <f xml:space="preserve"> 'T&amp;E'!I$9</f>
        <v>0</v>
      </c>
      <c r="J191" s="61">
        <f xml:space="preserve"> 'T&amp;E'!J$9</f>
        <v>0</v>
      </c>
      <c r="K191" s="61">
        <f xml:space="preserve"> 'T&amp;E'!K9</f>
        <v>2006</v>
      </c>
      <c r="L191" s="61">
        <f xml:space="preserve"> 'T&amp;E'!L9</f>
        <v>2007</v>
      </c>
      <c r="M191" s="61">
        <f xml:space="preserve"> 'T&amp;E'!M9</f>
        <v>2008</v>
      </c>
      <c r="N191" s="61">
        <f xml:space="preserve"> 'T&amp;E'!N9</f>
        <v>2009</v>
      </c>
      <c r="O191" s="61">
        <f xml:space="preserve"> 'T&amp;E'!O9</f>
        <v>2010</v>
      </c>
      <c r="P191" s="61">
        <f xml:space="preserve"> 'T&amp;E'!P9</f>
        <v>2011</v>
      </c>
      <c r="Q191" s="61">
        <f xml:space="preserve"> 'T&amp;E'!Q9</f>
        <v>2012</v>
      </c>
      <c r="R191" s="61">
        <f xml:space="preserve"> 'T&amp;E'!R9</f>
        <v>2013</v>
      </c>
      <c r="S191" s="61">
        <f xml:space="preserve"> 'T&amp;E'!S9</f>
        <v>2014</v>
      </c>
      <c r="T191" s="61">
        <f xml:space="preserve"> 'T&amp;E'!T9</f>
        <v>2015</v>
      </c>
      <c r="U191" s="61">
        <f xml:space="preserve"> 'T&amp;E'!U9</f>
        <v>2016</v>
      </c>
      <c r="V191" s="61">
        <f xml:space="preserve"> 'T&amp;E'!V9</f>
        <v>2017</v>
      </c>
      <c r="W191" s="61">
        <f xml:space="preserve"> 'T&amp;E'!W9</f>
        <v>2018</v>
      </c>
      <c r="X191" s="61">
        <f xml:space="preserve"> 'T&amp;E'!X9</f>
        <v>2019</v>
      </c>
      <c r="Y191" s="61">
        <f xml:space="preserve"> 'T&amp;E'!Y9</f>
        <v>2020</v>
      </c>
      <c r="Z191" s="61">
        <f xml:space="preserve"> 'T&amp;E'!Z9</f>
        <v>2021</v>
      </c>
      <c r="AA191" s="61">
        <f xml:space="preserve"> 'T&amp;E'!AA9</f>
        <v>2022</v>
      </c>
      <c r="AB191" s="61">
        <f xml:space="preserve"> 'T&amp;E'!AB9</f>
        <v>2023</v>
      </c>
      <c r="AC191" s="61">
        <f xml:space="preserve"> 'T&amp;E'!AC9</f>
        <v>2024</v>
      </c>
      <c r="AD191" s="61">
        <f xml:space="preserve"> 'T&amp;E'!AD9</f>
        <v>2025</v>
      </c>
      <c r="AE191" s="61">
        <f xml:space="preserve"> 'T&amp;E'!AE9</f>
        <v>2026</v>
      </c>
      <c r="AF191" s="61">
        <f xml:space="preserve"> 'T&amp;E'!AF9</f>
        <v>2027</v>
      </c>
      <c r="AG191" s="61">
        <f xml:space="preserve"> 'T&amp;E'!AG9</f>
        <v>2028</v>
      </c>
      <c r="AH191" s="61">
        <f xml:space="preserve"> 'T&amp;E'!AH9</f>
        <v>2029</v>
      </c>
      <c r="AI191" s="61">
        <f xml:space="preserve"> 'T&amp;E'!AI9</f>
        <v>2030</v>
      </c>
      <c r="AJ191" s="61">
        <f xml:space="preserve"> 'T&amp;E'!AJ9</f>
        <v>2031</v>
      </c>
      <c r="AK191" s="61">
        <f xml:space="preserve"> 'T&amp;E'!AK9</f>
        <v>2032</v>
      </c>
      <c r="AL191" s="61">
        <f xml:space="preserve"> 'T&amp;E'!AL9</f>
        <v>2033</v>
      </c>
      <c r="AM191" s="61">
        <f xml:space="preserve"> 'T&amp;E'!AM9</f>
        <v>2034</v>
      </c>
      <c r="AN191" s="61">
        <f xml:space="preserve"> 'T&amp;E'!AN9</f>
        <v>2035</v>
      </c>
      <c r="AO191" s="61">
        <f xml:space="preserve"> 'T&amp;E'!AO9</f>
        <v>2036</v>
      </c>
      <c r="AP191" s="61">
        <f xml:space="preserve"> 'T&amp;E'!AP9</f>
        <v>2037</v>
      </c>
      <c r="AQ191" s="61">
        <f xml:space="preserve"> 'T&amp;E'!AQ9</f>
        <v>2038</v>
      </c>
      <c r="AR191" s="61">
        <f xml:space="preserve"> 'T&amp;E'!AR9</f>
        <v>2039</v>
      </c>
      <c r="AS191" s="61">
        <f xml:space="preserve"> 'T&amp;E'!AS9</f>
        <v>2040</v>
      </c>
    </row>
    <row r="192" spans="1:45" ht="15" customHeight="1" x14ac:dyDescent="0.3">
      <c r="A192" s="139"/>
      <c r="B192" s="139"/>
      <c r="C192" s="140"/>
      <c r="D192" s="141"/>
      <c r="E192" s="45" t="str">
        <f xml:space="preserve"> E$10</f>
        <v>US Inflation, average consumer prices Act + forecast</v>
      </c>
      <c r="F192" s="45">
        <f t="shared" ref="F192:J192" si="70" xml:space="preserve"> F$10</f>
        <v>0</v>
      </c>
      <c r="G192" s="45" t="str">
        <f t="shared" si="70"/>
        <v>index</v>
      </c>
      <c r="H192" s="45">
        <f t="shared" si="70"/>
        <v>0</v>
      </c>
      <c r="I192" s="45"/>
      <c r="J192" s="45">
        <f t="shared" si="70"/>
        <v>0</v>
      </c>
      <c r="K192" s="3">
        <v>219.923</v>
      </c>
      <c r="L192" s="3">
        <v>220.923</v>
      </c>
      <c r="M192" s="3">
        <v>221.923</v>
      </c>
      <c r="N192" s="3">
        <v>222.923</v>
      </c>
      <c r="O192" s="3">
        <v>223.923</v>
      </c>
      <c r="P192" s="3">
        <v>224.923</v>
      </c>
      <c r="Q192" s="3">
        <v>229.58600000000001</v>
      </c>
      <c r="R192" s="3">
        <v>232.952</v>
      </c>
      <c r="S192" s="45">
        <f t="shared" ref="S192:AK192" si="71" xml:space="preserve"> S$10</f>
        <v>236.715</v>
      </c>
      <c r="T192" s="45">
        <f t="shared" si="71"/>
        <v>237.00200000000001</v>
      </c>
      <c r="U192" s="45">
        <f t="shared" si="71"/>
        <v>240.005</v>
      </c>
      <c r="V192" s="45">
        <f t="shared" si="71"/>
        <v>245.12100000000001</v>
      </c>
      <c r="W192" s="45">
        <f t="shared" si="71"/>
        <v>251.1</v>
      </c>
      <c r="X192" s="45">
        <f t="shared" si="71"/>
        <v>255.65299999999999</v>
      </c>
      <c r="Y192" s="45">
        <f t="shared" si="71"/>
        <v>258.846</v>
      </c>
      <c r="Z192" s="45">
        <f t="shared" si="71"/>
        <v>270.96600000000001</v>
      </c>
      <c r="AA192" s="45">
        <f t="shared" si="71"/>
        <v>292.62099999999998</v>
      </c>
      <c r="AB192" s="45">
        <f t="shared" si="71"/>
        <v>304.70100000000002</v>
      </c>
      <c r="AC192" s="45">
        <f t="shared" si="71"/>
        <v>313.55900000000003</v>
      </c>
      <c r="AD192" s="45">
        <f t="shared" si="71"/>
        <v>319.83100000000002</v>
      </c>
      <c r="AE192" s="45">
        <f t="shared" si="71"/>
        <v>326.416</v>
      </c>
      <c r="AF192" s="45">
        <f t="shared" si="71"/>
        <v>333.27</v>
      </c>
      <c r="AG192" s="45">
        <f t="shared" si="71"/>
        <v>340.32400000000001</v>
      </c>
      <c r="AH192" s="45">
        <f t="shared" si="71"/>
        <v>347.61700000000002</v>
      </c>
      <c r="AI192" s="45">
        <f t="shared" si="71"/>
        <v>0</v>
      </c>
      <c r="AJ192" s="45">
        <f t="shared" si="71"/>
        <v>0</v>
      </c>
      <c r="AK192" s="45">
        <f t="shared" si="71"/>
        <v>0</v>
      </c>
      <c r="AL192" s="45">
        <f t="shared" ref="AL192:AS192" si="72" xml:space="preserve"> AI$10</f>
        <v>0</v>
      </c>
      <c r="AM192" s="45">
        <f t="shared" si="72"/>
        <v>0</v>
      </c>
      <c r="AN192" s="45">
        <f t="shared" si="72"/>
        <v>0</v>
      </c>
      <c r="AO192" s="45">
        <f t="shared" si="72"/>
        <v>0</v>
      </c>
      <c r="AP192" s="45">
        <f t="shared" si="72"/>
        <v>0</v>
      </c>
      <c r="AQ192" s="45">
        <f t="shared" si="72"/>
        <v>0</v>
      </c>
      <c r="AR192" s="45">
        <f t="shared" si="72"/>
        <v>0</v>
      </c>
      <c r="AS192" s="45">
        <f t="shared" si="72"/>
        <v>0</v>
      </c>
    </row>
    <row r="193" spans="1:45" ht="15" customHeight="1" x14ac:dyDescent="0.3">
      <c r="A193" s="139"/>
      <c r="B193" s="139"/>
      <c r="C193" s="140"/>
      <c r="D193" s="141"/>
      <c r="E193" s="51" t="s">
        <v>616</v>
      </c>
      <c r="F193" s="51" cm="1">
        <f t="array" ref="F193" xml:space="preserve"> INDEX(P192:AV192,, MATCH('T&amp;E'!F14, P191:AV191, 0))</f>
        <v>304.70100000000002</v>
      </c>
      <c r="G193" s="51" t="str">
        <f xml:space="preserve"> G192</f>
        <v>index</v>
      </c>
      <c r="H193" s="142"/>
      <c r="I193" s="142"/>
      <c r="J193" s="36"/>
      <c r="S193" s="193"/>
      <c r="T193" s="193"/>
      <c r="U193" s="193"/>
      <c r="V193" s="193"/>
      <c r="W193" s="193"/>
      <c r="X193" s="193"/>
      <c r="Y193" s="193"/>
      <c r="Z193" s="193"/>
      <c r="AA193" s="193"/>
      <c r="AB193" s="193"/>
      <c r="AC193" s="193"/>
      <c r="AD193" s="193"/>
      <c r="AE193" s="193"/>
      <c r="AF193" s="193"/>
      <c r="AG193" s="193"/>
      <c r="AH193" s="193"/>
      <c r="AI193" s="193"/>
      <c r="AJ193" s="193"/>
      <c r="AK193" s="193"/>
      <c r="AL193" s="193"/>
      <c r="AM193" s="193"/>
      <c r="AN193" s="193"/>
      <c r="AO193" s="193"/>
      <c r="AP193" s="193"/>
      <c r="AQ193" s="193"/>
      <c r="AR193" s="193"/>
      <c r="AS193" s="193"/>
    </row>
    <row r="194" spans="1:45" ht="15" customHeight="1" x14ac:dyDescent="0.3">
      <c r="A194" s="398"/>
      <c r="B194" s="398"/>
      <c r="C194" s="421"/>
      <c r="D194" s="423"/>
      <c r="E194" s="980" t="str">
        <f xml:space="preserve"> 'T&amp;E'!E$38</f>
        <v>USD CPI Inflation (incl forecast) from 2025</v>
      </c>
      <c r="F194" s="980">
        <f xml:space="preserve"> 'T&amp;E'!F$38</f>
        <v>0</v>
      </c>
      <c r="G194" s="980" t="str">
        <f xml:space="preserve"> 'T&amp;E'!G$38</f>
        <v>index</v>
      </c>
      <c r="H194" s="980">
        <f xml:space="preserve"> 'T&amp;E'!H$38</f>
        <v>0</v>
      </c>
      <c r="I194" s="980">
        <f xml:space="preserve"> 'T&amp;E'!I$38</f>
        <v>0</v>
      </c>
      <c r="J194" s="980">
        <f xml:space="preserve"> 'T&amp;E'!J$38</f>
        <v>0</v>
      </c>
      <c r="K194" s="1036">
        <f xml:space="preserve"> 'T&amp;E'!K$38</f>
        <v>1</v>
      </c>
      <c r="L194" s="1036">
        <f xml:space="preserve"> 'T&amp;E'!L$38</f>
        <v>1</v>
      </c>
      <c r="M194" s="1036">
        <f xml:space="preserve"> 'T&amp;E'!M$38</f>
        <v>1</v>
      </c>
      <c r="N194" s="1036">
        <f xml:space="preserve"> 'T&amp;E'!N$38</f>
        <v>1</v>
      </c>
      <c r="O194" s="1036">
        <f xml:space="preserve"> 'T&amp;E'!O$38</f>
        <v>1</v>
      </c>
      <c r="P194" s="1036">
        <f xml:space="preserve"> 'T&amp;E'!P$38</f>
        <v>1</v>
      </c>
      <c r="Q194" s="1036">
        <f xml:space="preserve"> 'T&amp;E'!Q$38</f>
        <v>1</v>
      </c>
      <c r="R194" s="1036">
        <f xml:space="preserve"> 'T&amp;E'!R$38</f>
        <v>1</v>
      </c>
      <c r="S194" s="1036">
        <f xml:space="preserve"> 'T&amp;E'!S$38</f>
        <v>1</v>
      </c>
      <c r="T194" s="1036">
        <f xml:space="preserve"> 'T&amp;E'!T$38</f>
        <v>1</v>
      </c>
      <c r="U194" s="1036">
        <f xml:space="preserve"> 'T&amp;E'!U$38</f>
        <v>1</v>
      </c>
      <c r="V194" s="1036">
        <f xml:space="preserve"> 'T&amp;E'!V$38</f>
        <v>1</v>
      </c>
      <c r="W194" s="1036">
        <f xml:space="preserve"> 'T&amp;E'!W$38</f>
        <v>1</v>
      </c>
      <c r="X194" s="1036">
        <f xml:space="preserve"> 'T&amp;E'!X$38</f>
        <v>1</v>
      </c>
      <c r="Y194" s="1036">
        <f xml:space="preserve"> 'T&amp;E'!Y$38</f>
        <v>1</v>
      </c>
      <c r="Z194" s="1036">
        <f xml:space="preserve"> 'T&amp;E'!Z$38</f>
        <v>1</v>
      </c>
      <c r="AA194" s="1036">
        <f xml:space="preserve"> 'T&amp;E'!AA$38</f>
        <v>1</v>
      </c>
      <c r="AB194" s="1036">
        <f xml:space="preserve"> 'T&amp;E'!AB$38</f>
        <v>1</v>
      </c>
      <c r="AC194" s="1036">
        <f xml:space="preserve"> 'T&amp;E'!AC$38</f>
        <v>1</v>
      </c>
      <c r="AD194" s="1036">
        <f xml:space="preserve"> 'T&amp;E'!AD$38</f>
        <v>1</v>
      </c>
      <c r="AE194" s="1036">
        <f xml:space="preserve"> 'T&amp;E'!AE$38</f>
        <v>1.0246540997307085</v>
      </c>
      <c r="AF194" s="1036">
        <f xml:space="preserve"> 'T&amp;E'!AF$38</f>
        <v>1.0462778964311141</v>
      </c>
      <c r="AG194" s="1036">
        <f xml:space="preserve"> 'T&amp;E'!AG$38</f>
        <v>1.0688302844584765</v>
      </c>
      <c r="AH194" s="1036">
        <f xml:space="preserve"> 'T&amp;E'!AH$38</f>
        <v>1.0920141145881699</v>
      </c>
      <c r="AI194" s="1036">
        <f xml:space="preserve"> 'T&amp;E'!AI$38</f>
        <v>1.1157643854273069</v>
      </c>
      <c r="AJ194" s="1036">
        <f xml:space="preserve"> 'T&amp;E'!AJ$38</f>
        <v>1.1380796731358531</v>
      </c>
      <c r="AK194" s="1036">
        <f xml:space="preserve"> 'T&amp;E'!AK$38</f>
        <v>1.1608412665985701</v>
      </c>
      <c r="AL194" s="1036">
        <f xml:space="preserve"> 'T&amp;E'!AL$38</f>
        <v>1.1840580919305417</v>
      </c>
      <c r="AM194" s="1036">
        <f xml:space="preserve"> 'T&amp;E'!AM$38</f>
        <v>1.2077392537691523</v>
      </c>
      <c r="AN194" s="1036">
        <f xml:space="preserve"> 'T&amp;E'!AN$38</f>
        <v>1.2318940388445354</v>
      </c>
      <c r="AO194" s="1036">
        <f xml:space="preserve"> 'T&amp;E'!AO$38</f>
        <v>1.2565319196214262</v>
      </c>
      <c r="AP194" s="1036">
        <f xml:space="preserve"> 'T&amp;E'!AP$38</f>
        <v>1.2816625580138548</v>
      </c>
      <c r="AQ194" s="1036">
        <f xml:space="preserve"> 'T&amp;E'!AQ$38</f>
        <v>1.307295809174132</v>
      </c>
      <c r="AR194" s="1036">
        <f xml:space="preserve"> 'T&amp;E'!AR$38</f>
        <v>1.3334417253576147</v>
      </c>
      <c r="AS194" s="1036">
        <f xml:space="preserve"> 'T&amp;E'!AS$38</f>
        <v>1.3601105598647669</v>
      </c>
    </row>
    <row r="195" spans="1:45" ht="15" customHeight="1" x14ac:dyDescent="0.3">
      <c r="A195" s="139"/>
      <c r="B195" s="139"/>
      <c r="C195" s="140"/>
      <c r="D195" s="141"/>
      <c r="E195" s="142"/>
      <c r="F195" s="144"/>
      <c r="G195" s="142"/>
      <c r="H195" s="142"/>
      <c r="I195" s="142"/>
      <c r="J195" s="36"/>
      <c r="K195" s="193"/>
      <c r="L195" s="193"/>
      <c r="M195" s="193"/>
      <c r="N195" s="193"/>
      <c r="O195" s="193"/>
      <c r="P195" s="193"/>
      <c r="Q195" s="193"/>
      <c r="R195" s="193"/>
      <c r="S195" s="193"/>
      <c r="T195" s="193"/>
      <c r="U195" s="193"/>
      <c r="V195" s="193"/>
      <c r="W195" s="193"/>
      <c r="X195" s="193"/>
      <c r="Y195" s="193"/>
      <c r="Z195" s="193"/>
      <c r="AA195" s="193"/>
      <c r="AB195" s="193"/>
      <c r="AC195" s="193"/>
      <c r="AD195" s="193"/>
      <c r="AE195" s="193"/>
      <c r="AF195" s="193"/>
      <c r="AG195" s="193"/>
      <c r="AH195" s="193"/>
      <c r="AI195" s="193"/>
      <c r="AJ195" s="193"/>
      <c r="AK195" s="193"/>
      <c r="AL195" s="193"/>
      <c r="AM195" s="193"/>
      <c r="AN195" s="193"/>
      <c r="AO195" s="193"/>
      <c r="AP195" s="193"/>
      <c r="AQ195" s="193"/>
      <c r="AR195" s="193"/>
      <c r="AS195" s="193"/>
    </row>
    <row r="196" spans="1:45" ht="15" customHeight="1" x14ac:dyDescent="0.3">
      <c r="A196" s="139"/>
      <c r="B196" s="139"/>
      <c r="C196" s="421" t="s">
        <v>617</v>
      </c>
      <c r="D196" s="141"/>
      <c r="E196" s="142"/>
      <c r="F196" s="144"/>
      <c r="G196" s="142"/>
      <c r="H196" s="142"/>
      <c r="I196" s="142"/>
      <c r="J196" s="36"/>
      <c r="K196" s="193"/>
      <c r="L196" s="193"/>
      <c r="M196" s="193"/>
      <c r="N196" s="193"/>
      <c r="O196" s="193"/>
      <c r="P196" s="193"/>
      <c r="Q196" s="193"/>
      <c r="R196" s="193"/>
      <c r="S196" s="193"/>
      <c r="T196" s="193"/>
      <c r="U196" s="193"/>
      <c r="V196" s="193"/>
      <c r="W196" s="193"/>
      <c r="X196" s="193"/>
      <c r="Y196" s="193"/>
      <c r="Z196" s="193"/>
      <c r="AA196" s="193"/>
      <c r="AB196" s="193"/>
      <c r="AC196" s="193"/>
      <c r="AD196" s="193"/>
      <c r="AE196" s="193"/>
      <c r="AF196" s="193"/>
      <c r="AG196" s="193"/>
      <c r="AH196" s="193"/>
      <c r="AI196" s="193"/>
      <c r="AJ196" s="193"/>
      <c r="AK196" s="193"/>
      <c r="AL196" s="193"/>
      <c r="AM196" s="193"/>
      <c r="AN196" s="193"/>
      <c r="AO196" s="193"/>
      <c r="AP196" s="193"/>
      <c r="AQ196" s="193"/>
      <c r="AR196" s="193"/>
      <c r="AS196" s="193"/>
    </row>
    <row r="197" spans="1:45" ht="15" customHeight="1" x14ac:dyDescent="0.3">
      <c r="A197" s="139"/>
      <c r="B197" s="139"/>
      <c r="C197" s="140"/>
      <c r="D197" s="141"/>
      <c r="E197" s="61" t="str">
        <f xml:space="preserve"> 'T&amp;E'!E$9</f>
        <v>Model calendar year</v>
      </c>
      <c r="F197" s="61">
        <f xml:space="preserve"> 'T&amp;E'!F$9</f>
        <v>0</v>
      </c>
      <c r="G197" s="61" t="str">
        <f xml:space="preserve"> 'T&amp;E'!G$9</f>
        <v>year</v>
      </c>
      <c r="H197" s="61">
        <f xml:space="preserve"> 'T&amp;E'!H$9</f>
        <v>0</v>
      </c>
      <c r="I197" s="61">
        <f xml:space="preserve"> 'T&amp;E'!I$9</f>
        <v>0</v>
      </c>
      <c r="J197" s="61">
        <f xml:space="preserve"> 'T&amp;E'!J$9</f>
        <v>0</v>
      </c>
      <c r="K197" s="61">
        <f xml:space="preserve"> 'T&amp;E'!K$9</f>
        <v>2006</v>
      </c>
      <c r="L197" s="61">
        <f xml:space="preserve"> 'T&amp;E'!L$9</f>
        <v>2007</v>
      </c>
      <c r="M197" s="61">
        <f xml:space="preserve"> 'T&amp;E'!M$9</f>
        <v>2008</v>
      </c>
      <c r="N197" s="61">
        <f xml:space="preserve"> 'T&amp;E'!N$9</f>
        <v>2009</v>
      </c>
      <c r="O197" s="61">
        <f xml:space="preserve"> 'T&amp;E'!O$9</f>
        <v>2010</v>
      </c>
      <c r="P197" s="61">
        <f xml:space="preserve"> 'T&amp;E'!P$9</f>
        <v>2011</v>
      </c>
      <c r="Q197" s="61">
        <f xml:space="preserve"> 'T&amp;E'!Q$9</f>
        <v>2012</v>
      </c>
      <c r="R197" s="61">
        <f xml:space="preserve"> 'T&amp;E'!R$9</f>
        <v>2013</v>
      </c>
      <c r="S197" s="61">
        <f xml:space="preserve"> 'T&amp;E'!S$9</f>
        <v>2014</v>
      </c>
      <c r="T197" s="61">
        <f xml:space="preserve"> 'T&amp;E'!T$9</f>
        <v>2015</v>
      </c>
      <c r="U197" s="61">
        <f xml:space="preserve"> 'T&amp;E'!U$9</f>
        <v>2016</v>
      </c>
      <c r="V197" s="61">
        <f xml:space="preserve"> 'T&amp;E'!V$9</f>
        <v>2017</v>
      </c>
      <c r="W197" s="61">
        <f xml:space="preserve"> 'T&amp;E'!W$9</f>
        <v>2018</v>
      </c>
      <c r="X197" s="61">
        <f xml:space="preserve"> 'T&amp;E'!X$9</f>
        <v>2019</v>
      </c>
      <c r="Y197" s="61">
        <f xml:space="preserve"> 'T&amp;E'!Y$9</f>
        <v>2020</v>
      </c>
      <c r="Z197" s="61">
        <f xml:space="preserve"> 'T&amp;E'!Z$9</f>
        <v>2021</v>
      </c>
      <c r="AA197" s="61">
        <f xml:space="preserve"> 'T&amp;E'!AA$9</f>
        <v>2022</v>
      </c>
      <c r="AB197" s="61">
        <f xml:space="preserve"> 'T&amp;E'!AB$9</f>
        <v>2023</v>
      </c>
      <c r="AC197" s="61">
        <f xml:space="preserve"> 'T&amp;E'!AC$9</f>
        <v>2024</v>
      </c>
      <c r="AD197" s="61">
        <f xml:space="preserve"> 'T&amp;E'!AD$9</f>
        <v>2025</v>
      </c>
      <c r="AE197" s="61">
        <f xml:space="preserve"> 'T&amp;E'!AE$9</f>
        <v>2026</v>
      </c>
      <c r="AF197" s="61">
        <f xml:space="preserve"> 'T&amp;E'!AF$9</f>
        <v>2027</v>
      </c>
      <c r="AG197" s="61">
        <f xml:space="preserve"> 'T&amp;E'!AG$9</f>
        <v>2028</v>
      </c>
      <c r="AH197" s="61">
        <f xml:space="preserve"> 'T&amp;E'!AH$9</f>
        <v>2029</v>
      </c>
      <c r="AI197" s="61">
        <f xml:space="preserve"> 'T&amp;E'!AI$9</f>
        <v>2030</v>
      </c>
      <c r="AJ197" s="61">
        <f xml:space="preserve"> 'T&amp;E'!AJ$9</f>
        <v>2031</v>
      </c>
      <c r="AK197" s="61">
        <f xml:space="preserve"> 'T&amp;E'!AK$9</f>
        <v>2032</v>
      </c>
      <c r="AL197" s="61">
        <f xml:space="preserve"> 'T&amp;E'!AL$9</f>
        <v>2033</v>
      </c>
      <c r="AM197" s="61">
        <f xml:space="preserve"> 'T&amp;E'!AM$9</f>
        <v>2034</v>
      </c>
      <c r="AN197" s="61">
        <f xml:space="preserve"> 'T&amp;E'!AN$9</f>
        <v>2035</v>
      </c>
      <c r="AO197" s="61">
        <f xml:space="preserve"> 'T&amp;E'!AO$9</f>
        <v>2036</v>
      </c>
      <c r="AP197" s="61">
        <f xml:space="preserve"> 'T&amp;E'!AP$9</f>
        <v>2037</v>
      </c>
      <c r="AQ197" s="61">
        <f xml:space="preserve"> 'T&amp;E'!AQ$9</f>
        <v>2038</v>
      </c>
      <c r="AR197" s="61">
        <f xml:space="preserve"> 'T&amp;E'!AR$9</f>
        <v>2039</v>
      </c>
      <c r="AS197" s="61">
        <f xml:space="preserve"> 'T&amp;E'!AS$9</f>
        <v>2040</v>
      </c>
    </row>
    <row r="198" spans="1:45" ht="15" customHeight="1" x14ac:dyDescent="0.3">
      <c r="A198" s="649"/>
      <c r="B198" s="649"/>
      <c r="C198" s="650"/>
      <c r="D198" s="497"/>
      <c r="E198" s="651"/>
      <c r="F198" s="652" t="s">
        <v>606</v>
      </c>
      <c r="G198" s="651"/>
      <c r="H198" s="651"/>
      <c r="I198" s="651"/>
      <c r="J198" s="651"/>
      <c r="K198" s="651"/>
      <c r="L198" s="651"/>
      <c r="M198" s="651"/>
      <c r="N198" s="651"/>
      <c r="O198" s="651"/>
      <c r="P198" s="651"/>
      <c r="Q198" s="651"/>
      <c r="R198" s="651"/>
      <c r="S198" s="651"/>
      <c r="T198" s="651"/>
      <c r="U198" s="651"/>
      <c r="V198" s="651"/>
      <c r="W198" s="651"/>
      <c r="X198" s="651"/>
      <c r="Y198" s="651"/>
      <c r="Z198" s="651"/>
      <c r="AA198" s="651"/>
      <c r="AB198" s="651"/>
      <c r="AC198" s="651"/>
      <c r="AD198" s="651"/>
      <c r="AE198" s="651"/>
      <c r="AF198" s="651"/>
      <c r="AG198" s="651"/>
      <c r="AH198" s="651"/>
      <c r="AI198" s="651"/>
      <c r="AJ198" s="651"/>
      <c r="AK198" s="651"/>
      <c r="AL198" s="651"/>
      <c r="AM198" s="651"/>
      <c r="AN198" s="651"/>
      <c r="AO198" s="651"/>
      <c r="AP198" s="651"/>
      <c r="AQ198" s="651"/>
      <c r="AR198" s="651"/>
      <c r="AS198" s="651"/>
    </row>
    <row r="199" spans="1:45" ht="15" customHeight="1" x14ac:dyDescent="0.3">
      <c r="A199" s="398"/>
      <c r="B199" s="398"/>
      <c r="C199" s="421"/>
      <c r="D199" s="423"/>
      <c r="E199" s="423" t="str">
        <f t="shared" ref="E199:F203" si="73" xml:space="preserve"> E177</f>
        <v>Cu forecast: Fut_17Apr25</v>
      </c>
      <c r="F199" s="423" t="str">
        <f t="shared" si="73"/>
        <v>Fut_17Apr25</v>
      </c>
      <c r="G199" s="423" t="s">
        <v>321</v>
      </c>
      <c r="H199" s="423"/>
      <c r="I199" s="423"/>
      <c r="J199" s="423"/>
      <c r="K199" s="88">
        <f xml:space="preserve"> IF($H177 = $F$184, IF(K177 = 0, J199 * K$194 / MAX(1, J$194), K177), IF(K177 = 0, J199 * K$194 / MAX(1,J$194), K177 * K$194))</f>
        <v>0</v>
      </c>
      <c r="L199" s="88">
        <f t="shared" ref="L199:AS199" si="74" xml:space="preserve"> IF($H177 = $F$184, IF(L177 = 0, K199 * L$194 / MAX(1, K$194), L177), IF(L177 = 0, K199 * L$194 / MAX(1,K$194), L177 * L$194))</f>
        <v>0</v>
      </c>
      <c r="M199" s="88">
        <f t="shared" si="74"/>
        <v>0</v>
      </c>
      <c r="N199" s="88">
        <f t="shared" si="74"/>
        <v>0</v>
      </c>
      <c r="O199" s="88">
        <f t="shared" si="74"/>
        <v>0</v>
      </c>
      <c r="P199" s="88">
        <f t="shared" si="74"/>
        <v>0</v>
      </c>
      <c r="Q199" s="88">
        <f t="shared" si="74"/>
        <v>0</v>
      </c>
      <c r="R199" s="88">
        <f t="shared" si="74"/>
        <v>0</v>
      </c>
      <c r="S199" s="88">
        <f t="shared" si="74"/>
        <v>0</v>
      </c>
      <c r="T199" s="88">
        <f t="shared" si="74"/>
        <v>0</v>
      </c>
      <c r="U199" s="88">
        <f t="shared" si="74"/>
        <v>0</v>
      </c>
      <c r="V199" s="88">
        <f t="shared" si="74"/>
        <v>0</v>
      </c>
      <c r="W199" s="88">
        <f t="shared" si="74"/>
        <v>0</v>
      </c>
      <c r="X199" s="88">
        <f t="shared" si="74"/>
        <v>0</v>
      </c>
      <c r="Y199" s="88">
        <f t="shared" si="74"/>
        <v>0</v>
      </c>
      <c r="Z199" s="88">
        <f t="shared" si="74"/>
        <v>0</v>
      </c>
      <c r="AA199" s="88">
        <f t="shared" si="74"/>
        <v>0</v>
      </c>
      <c r="AB199" s="88">
        <f t="shared" si="74"/>
        <v>0</v>
      </c>
      <c r="AC199" s="88">
        <f t="shared" si="74"/>
        <v>0</v>
      </c>
      <c r="AD199" s="88">
        <f t="shared" si="74"/>
        <v>9200</v>
      </c>
      <c r="AE199" s="88">
        <f t="shared" si="74"/>
        <v>10839.675616</v>
      </c>
      <c r="AF199" s="88">
        <f t="shared" si="74"/>
        <v>11045.146199999999</v>
      </c>
      <c r="AG199" s="88">
        <f t="shared" si="74"/>
        <v>11265.608200000001</v>
      </c>
      <c r="AH199" s="88">
        <f t="shared" si="74"/>
        <v>11265.608200000001</v>
      </c>
      <c r="AI199" s="88">
        <f t="shared" si="74"/>
        <v>11510.624489023434</v>
      </c>
      <c r="AJ199" s="88">
        <f t="shared" si="74"/>
        <v>11740.836978803902</v>
      </c>
      <c r="AK199" s="88">
        <f t="shared" si="74"/>
        <v>11975.653718379979</v>
      </c>
      <c r="AL199" s="88">
        <f t="shared" si="74"/>
        <v>12215.166792747581</v>
      </c>
      <c r="AM199" s="88">
        <f t="shared" si="74"/>
        <v>12459.47012860253</v>
      </c>
      <c r="AN199" s="88">
        <f t="shared" si="74"/>
        <v>12708.659531174582</v>
      </c>
      <c r="AO199" s="88">
        <f t="shared" si="74"/>
        <v>12962.832721798075</v>
      </c>
      <c r="AP199" s="88">
        <f t="shared" si="74"/>
        <v>13222.089376234037</v>
      </c>
      <c r="AQ199" s="88">
        <f t="shared" si="74"/>
        <v>13486.531163758718</v>
      </c>
      <c r="AR199" s="88">
        <f t="shared" si="74"/>
        <v>13756.261787033895</v>
      </c>
      <c r="AS199" s="88">
        <f t="shared" si="74"/>
        <v>14031.38702277457</v>
      </c>
    </row>
    <row r="200" spans="1:45" ht="15" customHeight="1" x14ac:dyDescent="0.3">
      <c r="A200" s="398"/>
      <c r="B200" s="398"/>
      <c r="C200" s="421"/>
      <c r="D200" s="423"/>
      <c r="E200" s="423" t="str">
        <f t="shared" si="73"/>
        <v>Cu forecast: IMF_WEO</v>
      </c>
      <c r="F200" s="423" t="str">
        <f t="shared" si="73"/>
        <v>IMF_WEO</v>
      </c>
      <c r="G200" s="423" t="s">
        <v>321</v>
      </c>
      <c r="H200" s="423"/>
      <c r="I200" s="423"/>
      <c r="J200" s="423"/>
      <c r="K200" s="88">
        <f t="shared" ref="K200:AS200" si="75" xml:space="preserve"> IF($H178 = $F$184, IF(K178 = 0, J200 * K$194 / MAX(1, J$194), K178), IF(K178 = 0, J200 * K$194 / MAX(1,J$194), K178 * K$194))</f>
        <v>6731.3519999999999</v>
      </c>
      <c r="L200" s="88">
        <f t="shared" si="75"/>
        <v>7131.63</v>
      </c>
      <c r="M200" s="88">
        <f t="shared" si="75"/>
        <v>6963.482</v>
      </c>
      <c r="N200" s="88">
        <f t="shared" si="75"/>
        <v>5164.1589999999997</v>
      </c>
      <c r="O200" s="88">
        <f t="shared" si="75"/>
        <v>7538.3620000000001</v>
      </c>
      <c r="P200" s="88">
        <f t="shared" si="75"/>
        <v>8823.4539999999997</v>
      </c>
      <c r="Q200" s="88">
        <f t="shared" si="75"/>
        <v>7958.9250000000002</v>
      </c>
      <c r="R200" s="88">
        <f t="shared" si="75"/>
        <v>7331.491</v>
      </c>
      <c r="S200" s="88">
        <f t="shared" si="75"/>
        <v>6863.3969999999999</v>
      </c>
      <c r="T200" s="88">
        <f t="shared" si="75"/>
        <v>5510.4570000000003</v>
      </c>
      <c r="U200" s="88">
        <f t="shared" si="75"/>
        <v>4867.8969999999999</v>
      </c>
      <c r="V200" s="88">
        <f t="shared" si="75"/>
        <v>6169.94</v>
      </c>
      <c r="W200" s="88">
        <f t="shared" si="75"/>
        <v>6529.7979999999998</v>
      </c>
      <c r="X200" s="88">
        <f t="shared" si="75"/>
        <v>6010.1450000000004</v>
      </c>
      <c r="Y200" s="88">
        <f t="shared" si="75"/>
        <v>6174.558</v>
      </c>
      <c r="Z200" s="88">
        <f t="shared" si="75"/>
        <v>9317.4089999999997</v>
      </c>
      <c r="AA200" s="88">
        <f t="shared" si="75"/>
        <v>8828.9169999999995</v>
      </c>
      <c r="AB200" s="88">
        <f t="shared" si="75"/>
        <v>8490.7620000000006</v>
      </c>
      <c r="AC200" s="88">
        <f t="shared" si="75"/>
        <v>8550.723</v>
      </c>
      <c r="AD200" s="88">
        <f t="shared" si="75"/>
        <v>8661.2289999999994</v>
      </c>
      <c r="AE200" s="88">
        <f t="shared" si="75"/>
        <v>8676.2919999999995</v>
      </c>
      <c r="AF200" s="88">
        <f t="shared" si="75"/>
        <v>8667.75</v>
      </c>
      <c r="AG200" s="88">
        <f t="shared" si="75"/>
        <v>8655.625</v>
      </c>
      <c r="AH200" s="88">
        <f t="shared" si="75"/>
        <v>8668.5</v>
      </c>
      <c r="AI200" s="88">
        <f t="shared" si="75"/>
        <v>8857.0316499289966</v>
      </c>
      <c r="AJ200" s="88">
        <f t="shared" si="75"/>
        <v>9034.1722829275768</v>
      </c>
      <c r="AK200" s="88">
        <f t="shared" si="75"/>
        <v>9214.855728586128</v>
      </c>
      <c r="AL200" s="88">
        <f t="shared" si="75"/>
        <v>9399.1528431578517</v>
      </c>
      <c r="AM200" s="88">
        <f t="shared" si="75"/>
        <v>9587.1359000210068</v>
      </c>
      <c r="AN200" s="88">
        <f t="shared" si="75"/>
        <v>9778.8786180214283</v>
      </c>
      <c r="AO200" s="88">
        <f t="shared" si="75"/>
        <v>9974.4561903818576</v>
      </c>
      <c r="AP200" s="88">
        <f t="shared" si="75"/>
        <v>10173.945314189496</v>
      </c>
      <c r="AQ200" s="88">
        <f t="shared" si="75"/>
        <v>10377.424220473287</v>
      </c>
      <c r="AR200" s="88">
        <f t="shared" si="75"/>
        <v>10584.972704882754</v>
      </c>
      <c r="AS200" s="88">
        <f t="shared" si="75"/>
        <v>10796.672158980407</v>
      </c>
    </row>
    <row r="201" spans="1:45" ht="15" customHeight="1" x14ac:dyDescent="0.3">
      <c r="A201" s="398"/>
      <c r="B201" s="398"/>
      <c r="C201" s="421"/>
      <c r="D201" s="423"/>
      <c r="E201" s="423" t="str">
        <f t="shared" si="73"/>
        <v>Cu forecast: ConstReal</v>
      </c>
      <c r="F201" s="423" t="str">
        <f t="shared" si="73"/>
        <v>ConstReal</v>
      </c>
      <c r="G201" s="423" t="s">
        <v>321</v>
      </c>
      <c r="H201" s="423"/>
      <c r="I201" s="423"/>
      <c r="J201" s="423"/>
      <c r="K201" s="88">
        <f t="shared" ref="K201:AS201" si="76" xml:space="preserve"> IF($H179 = $F$184, IF(K179 = 0, J201 * K$194 / MAX(1, J$194), K179), IF(K179 = 0, J201 * K$194 / MAX(1,J$194), K179 * K$194))</f>
        <v>0</v>
      </c>
      <c r="L201" s="88">
        <f t="shared" si="76"/>
        <v>0</v>
      </c>
      <c r="M201" s="88">
        <f t="shared" si="76"/>
        <v>0</v>
      </c>
      <c r="N201" s="88">
        <f t="shared" si="76"/>
        <v>0</v>
      </c>
      <c r="O201" s="88">
        <f t="shared" si="76"/>
        <v>0</v>
      </c>
      <c r="P201" s="88">
        <f t="shared" si="76"/>
        <v>0</v>
      </c>
      <c r="Q201" s="88">
        <f t="shared" si="76"/>
        <v>0</v>
      </c>
      <c r="R201" s="88">
        <f t="shared" si="76"/>
        <v>0</v>
      </c>
      <c r="S201" s="88">
        <f t="shared" si="76"/>
        <v>0</v>
      </c>
      <c r="T201" s="88">
        <f t="shared" si="76"/>
        <v>0</v>
      </c>
      <c r="U201" s="88">
        <f t="shared" si="76"/>
        <v>0</v>
      </c>
      <c r="V201" s="88">
        <f t="shared" si="76"/>
        <v>0</v>
      </c>
      <c r="W201" s="88">
        <f t="shared" si="76"/>
        <v>0</v>
      </c>
      <c r="X201" s="88">
        <f t="shared" si="76"/>
        <v>0</v>
      </c>
      <c r="Y201" s="88">
        <f t="shared" si="76"/>
        <v>0</v>
      </c>
      <c r="Z201" s="88">
        <f t="shared" si="76"/>
        <v>0</v>
      </c>
      <c r="AA201" s="88">
        <f t="shared" si="76"/>
        <v>0</v>
      </c>
      <c r="AB201" s="88">
        <f t="shared" si="76"/>
        <v>0</v>
      </c>
      <c r="AC201" s="88">
        <f t="shared" si="76"/>
        <v>0</v>
      </c>
      <c r="AD201" s="88">
        <f t="shared" si="76"/>
        <v>8500</v>
      </c>
      <c r="AE201" s="88">
        <f t="shared" si="76"/>
        <v>8709.5598477110234</v>
      </c>
      <c r="AF201" s="88">
        <f t="shared" si="76"/>
        <v>8893.3621196644708</v>
      </c>
      <c r="AG201" s="88">
        <f t="shared" si="76"/>
        <v>9085.057417897051</v>
      </c>
      <c r="AH201" s="88">
        <f t="shared" si="76"/>
        <v>9282.1199739994445</v>
      </c>
      <c r="AI201" s="88">
        <f t="shared" si="76"/>
        <v>9483.9972761321096</v>
      </c>
      <c r="AJ201" s="88">
        <f t="shared" si="76"/>
        <v>9673.6772216547524</v>
      </c>
      <c r="AK201" s="88">
        <f t="shared" si="76"/>
        <v>9867.1507660878469</v>
      </c>
      <c r="AL201" s="88">
        <f t="shared" si="76"/>
        <v>10064.493781409605</v>
      </c>
      <c r="AM201" s="88">
        <f t="shared" si="76"/>
        <v>10265.783657037795</v>
      </c>
      <c r="AN201" s="88">
        <f t="shared" si="76"/>
        <v>10471.099330178551</v>
      </c>
      <c r="AO201" s="88">
        <f t="shared" si="76"/>
        <v>10680.521316782122</v>
      </c>
      <c r="AP201" s="88">
        <f t="shared" si="76"/>
        <v>10894.131743117765</v>
      </c>
      <c r="AQ201" s="88">
        <f t="shared" si="76"/>
        <v>11112.014377980122</v>
      </c>
      <c r="AR201" s="88">
        <f t="shared" si="76"/>
        <v>11334.254665539725</v>
      </c>
      <c r="AS201" s="88">
        <f t="shared" si="76"/>
        <v>11560.93975885052</v>
      </c>
    </row>
    <row r="202" spans="1:45" ht="15" customHeight="1" x14ac:dyDescent="0.3">
      <c r="A202" s="398"/>
      <c r="B202" s="398"/>
      <c r="C202" s="421"/>
      <c r="D202" s="423"/>
      <c r="E202" s="423" t="str">
        <f t="shared" si="73"/>
        <v>Cu forecast: Other2</v>
      </c>
      <c r="F202" s="423" t="str">
        <f t="shared" si="73"/>
        <v>Other2</v>
      </c>
      <c r="G202" s="423" t="s">
        <v>321</v>
      </c>
      <c r="H202" s="423"/>
      <c r="I202" s="423"/>
      <c r="J202" s="423"/>
      <c r="K202" s="88">
        <f t="shared" ref="K202:AS202" si="77" xml:space="preserve"> IF($H180 = $F$184, IF(K180 = 0, J202 * K$194 / MAX(1, J$194), K180), IF(K180 = 0, J202 * K$194 / MAX(1,J$194), K180 * K$194))</f>
        <v>0</v>
      </c>
      <c r="L202" s="88">
        <f t="shared" si="77"/>
        <v>0</v>
      </c>
      <c r="M202" s="88">
        <f t="shared" si="77"/>
        <v>0</v>
      </c>
      <c r="N202" s="88">
        <f t="shared" si="77"/>
        <v>0</v>
      </c>
      <c r="O202" s="88">
        <f t="shared" si="77"/>
        <v>0</v>
      </c>
      <c r="P202" s="88">
        <f t="shared" si="77"/>
        <v>0</v>
      </c>
      <c r="Q202" s="88">
        <f t="shared" si="77"/>
        <v>0</v>
      </c>
      <c r="R202" s="88">
        <f t="shared" si="77"/>
        <v>0</v>
      </c>
      <c r="S202" s="88">
        <f t="shared" si="77"/>
        <v>0</v>
      </c>
      <c r="T202" s="88">
        <f t="shared" si="77"/>
        <v>0</v>
      </c>
      <c r="U202" s="88">
        <f t="shared" si="77"/>
        <v>0</v>
      </c>
      <c r="V202" s="88">
        <f t="shared" si="77"/>
        <v>0</v>
      </c>
      <c r="W202" s="88">
        <f t="shared" si="77"/>
        <v>0</v>
      </c>
      <c r="X202" s="88">
        <f t="shared" si="77"/>
        <v>0</v>
      </c>
      <c r="Y202" s="88">
        <f t="shared" si="77"/>
        <v>0</v>
      </c>
      <c r="Z202" s="88">
        <f t="shared" si="77"/>
        <v>0</v>
      </c>
      <c r="AA202" s="88">
        <f t="shared" si="77"/>
        <v>0</v>
      </c>
      <c r="AB202" s="88">
        <f t="shared" si="77"/>
        <v>0</v>
      </c>
      <c r="AC202" s="88">
        <f t="shared" si="77"/>
        <v>0</v>
      </c>
      <c r="AD202" s="88">
        <f t="shared" si="77"/>
        <v>6000</v>
      </c>
      <c r="AE202" s="88">
        <f t="shared" si="77"/>
        <v>6147.9245983842511</v>
      </c>
      <c r="AF202" s="88">
        <f t="shared" si="77"/>
        <v>6277.6673785866851</v>
      </c>
      <c r="AG202" s="88">
        <f t="shared" si="77"/>
        <v>6412.9817067508593</v>
      </c>
      <c r="AH202" s="88">
        <f t="shared" si="77"/>
        <v>6552.084687529019</v>
      </c>
      <c r="AI202" s="88">
        <f t="shared" si="77"/>
        <v>6694.5863125638416</v>
      </c>
      <c r="AJ202" s="88">
        <f t="shared" si="77"/>
        <v>6828.4780388151185</v>
      </c>
      <c r="AK202" s="88">
        <f t="shared" si="77"/>
        <v>6965.0475995914203</v>
      </c>
      <c r="AL202" s="88">
        <f t="shared" si="77"/>
        <v>7104.3485515832499</v>
      </c>
      <c r="AM202" s="88">
        <f t="shared" si="77"/>
        <v>7246.4355226149137</v>
      </c>
      <c r="AN202" s="88">
        <f t="shared" si="77"/>
        <v>7391.3642330672128</v>
      </c>
      <c r="AO202" s="88">
        <f t="shared" si="77"/>
        <v>7539.1915177285573</v>
      </c>
      <c r="AP202" s="88">
        <f t="shared" si="77"/>
        <v>7689.9753480831287</v>
      </c>
      <c r="AQ202" s="88">
        <f t="shared" si="77"/>
        <v>7843.7748550447923</v>
      </c>
      <c r="AR202" s="88">
        <f t="shared" si="77"/>
        <v>8000.650352145688</v>
      </c>
      <c r="AS202" s="88">
        <f t="shared" si="77"/>
        <v>8160.6633591886011</v>
      </c>
    </row>
    <row r="203" spans="1:45" ht="15" customHeight="1" x14ac:dyDescent="0.3">
      <c r="A203" s="398"/>
      <c r="B203" s="398"/>
      <c r="C203" s="421"/>
      <c r="D203" s="423"/>
      <c r="E203" s="423" t="str">
        <f t="shared" si="73"/>
        <v>Cu forecast: Other3</v>
      </c>
      <c r="F203" s="423" t="str">
        <f t="shared" si="73"/>
        <v>Other3</v>
      </c>
      <c r="G203" s="423" t="s">
        <v>321</v>
      </c>
      <c r="H203" s="423"/>
      <c r="I203" s="423"/>
      <c r="J203" s="423"/>
      <c r="K203" s="88">
        <f t="shared" ref="K203:AS203" si="78" xml:space="preserve"> IF($H181 = $F$184, IF(K181 = 0, J203 * K$194 / MAX(1, J$194), K181), IF(K181 = 0, J203 * K$194 / MAX(1,J$194), K181 * K$194))</f>
        <v>0</v>
      </c>
      <c r="L203" s="88">
        <f t="shared" si="78"/>
        <v>0</v>
      </c>
      <c r="M203" s="88">
        <f t="shared" si="78"/>
        <v>0</v>
      </c>
      <c r="N203" s="88">
        <f t="shared" si="78"/>
        <v>0</v>
      </c>
      <c r="O203" s="88">
        <f t="shared" si="78"/>
        <v>0</v>
      </c>
      <c r="P203" s="88">
        <f t="shared" si="78"/>
        <v>0</v>
      </c>
      <c r="Q203" s="88">
        <f t="shared" si="78"/>
        <v>0</v>
      </c>
      <c r="R203" s="88">
        <f t="shared" si="78"/>
        <v>0</v>
      </c>
      <c r="S203" s="88">
        <f t="shared" si="78"/>
        <v>0</v>
      </c>
      <c r="T203" s="88">
        <f t="shared" si="78"/>
        <v>0</v>
      </c>
      <c r="U203" s="88">
        <f t="shared" si="78"/>
        <v>0</v>
      </c>
      <c r="V203" s="88">
        <f t="shared" si="78"/>
        <v>0</v>
      </c>
      <c r="W203" s="88">
        <f t="shared" si="78"/>
        <v>0</v>
      </c>
      <c r="X203" s="88">
        <f t="shared" si="78"/>
        <v>0</v>
      </c>
      <c r="Y203" s="88">
        <f t="shared" si="78"/>
        <v>0</v>
      </c>
      <c r="Z203" s="88">
        <f t="shared" si="78"/>
        <v>0</v>
      </c>
      <c r="AA203" s="88">
        <f t="shared" si="78"/>
        <v>0</v>
      </c>
      <c r="AB203" s="88">
        <f t="shared" si="78"/>
        <v>0</v>
      </c>
      <c r="AC203" s="88">
        <f t="shared" si="78"/>
        <v>0</v>
      </c>
      <c r="AD203" s="88">
        <f t="shared" si="78"/>
        <v>6500</v>
      </c>
      <c r="AE203" s="88">
        <f t="shared" si="78"/>
        <v>6660.2516482496058</v>
      </c>
      <c r="AF203" s="88">
        <f t="shared" si="78"/>
        <v>6800.8063268022415</v>
      </c>
      <c r="AG203" s="88">
        <f t="shared" si="78"/>
        <v>6947.3968489800973</v>
      </c>
      <c r="AH203" s="88">
        <f t="shared" si="78"/>
        <v>7098.0917448231039</v>
      </c>
      <c r="AI203" s="88">
        <f t="shared" si="78"/>
        <v>7252.4685052774948</v>
      </c>
      <c r="AJ203" s="88">
        <f t="shared" si="78"/>
        <v>7397.517875383046</v>
      </c>
      <c r="AK203" s="88">
        <f t="shared" si="78"/>
        <v>7545.4682328907056</v>
      </c>
      <c r="AL203" s="88">
        <f t="shared" si="78"/>
        <v>7696.3775975485205</v>
      </c>
      <c r="AM203" s="88">
        <f t="shared" si="78"/>
        <v>7850.3051494994888</v>
      </c>
      <c r="AN203" s="88">
        <f t="shared" si="78"/>
        <v>8007.3112524894796</v>
      </c>
      <c r="AO203" s="88">
        <f t="shared" si="78"/>
        <v>8167.4574775392693</v>
      </c>
      <c r="AP203" s="88">
        <f t="shared" si="78"/>
        <v>8330.8066270900545</v>
      </c>
      <c r="AQ203" s="88">
        <f t="shared" si="78"/>
        <v>8497.422759631856</v>
      </c>
      <c r="AR203" s="88">
        <f t="shared" si="78"/>
        <v>8667.371214824494</v>
      </c>
      <c r="AS203" s="88">
        <f t="shared" si="78"/>
        <v>8840.7186391209834</v>
      </c>
    </row>
    <row r="204" spans="1:45" ht="15" customHeight="1" x14ac:dyDescent="0.3">
      <c r="A204" s="398"/>
      <c r="B204" s="398"/>
      <c r="C204" s="421"/>
      <c r="D204" s="423"/>
      <c r="E204" s="641"/>
      <c r="F204" s="641" t="s">
        <v>611</v>
      </c>
      <c r="G204" s="641"/>
      <c r="H204" s="641"/>
      <c r="I204" s="641"/>
      <c r="J204" s="641"/>
      <c r="K204" s="444"/>
      <c r="L204" s="444"/>
      <c r="M204" s="444"/>
      <c r="N204" s="444"/>
      <c r="O204" s="444"/>
      <c r="P204" s="444"/>
      <c r="Q204" s="444"/>
      <c r="R204" s="444"/>
      <c r="S204" s="444"/>
      <c r="T204" s="444"/>
      <c r="U204" s="444"/>
      <c r="V204" s="444"/>
      <c r="W204" s="444"/>
      <c r="X204" s="444"/>
      <c r="Y204" s="444"/>
      <c r="Z204" s="444"/>
      <c r="AA204" s="444"/>
      <c r="AB204" s="444"/>
      <c r="AC204" s="444"/>
      <c r="AD204" s="444"/>
      <c r="AE204" s="444"/>
      <c r="AF204" s="444"/>
      <c r="AG204" s="444"/>
      <c r="AH204" s="444"/>
      <c r="AI204" s="444"/>
      <c r="AJ204" s="444"/>
      <c r="AK204" s="444"/>
      <c r="AL204" s="444"/>
      <c r="AM204" s="444"/>
      <c r="AN204" s="444"/>
      <c r="AO204" s="444"/>
      <c r="AP204" s="444"/>
      <c r="AQ204" s="444"/>
      <c r="AR204" s="444"/>
      <c r="AS204" s="444"/>
    </row>
    <row r="205" spans="1:45" ht="15" customHeight="1" x14ac:dyDescent="0.3">
      <c r="A205" s="419"/>
      <c r="B205" s="419"/>
      <c r="C205" s="653"/>
      <c r="D205" s="654"/>
      <c r="E205" s="654"/>
      <c r="F205" s="654"/>
      <c r="G205" s="654"/>
      <c r="H205" s="654"/>
      <c r="I205" s="654"/>
      <c r="J205" s="654"/>
      <c r="K205" s="426"/>
      <c r="L205" s="426"/>
      <c r="M205" s="426"/>
      <c r="N205" s="426"/>
      <c r="O205" s="426"/>
      <c r="P205" s="426"/>
      <c r="Q205" s="424"/>
      <c r="R205" s="424"/>
      <c r="S205" s="424"/>
      <c r="T205" s="424"/>
      <c r="U205" s="424"/>
      <c r="V205" s="424"/>
      <c r="W205" s="424"/>
      <c r="X205" s="424"/>
      <c r="Y205" s="424"/>
      <c r="Z205" s="424"/>
      <c r="AA205" s="424"/>
      <c r="AB205" s="424"/>
      <c r="AC205" s="424"/>
      <c r="AD205" s="424"/>
      <c r="AE205" s="424"/>
      <c r="AF205" s="424"/>
      <c r="AG205" s="424"/>
      <c r="AH205" s="424"/>
      <c r="AI205" s="424"/>
      <c r="AJ205" s="424"/>
      <c r="AK205" s="424"/>
      <c r="AL205" s="424"/>
      <c r="AM205" s="424"/>
      <c r="AN205" s="424"/>
      <c r="AO205" s="424"/>
      <c r="AP205" s="424"/>
      <c r="AQ205" s="424"/>
      <c r="AR205" s="424"/>
      <c r="AS205" s="424"/>
    </row>
    <row r="206" spans="1:45" ht="15" customHeight="1" x14ac:dyDescent="0.3">
      <c r="A206" s="419"/>
      <c r="B206" s="419"/>
      <c r="C206" s="653"/>
      <c r="D206" s="654"/>
      <c r="E206" s="655" t="str">
        <f xml:space="preserve"> Inputs_Con!E$40</f>
        <v>Copper forecast price</v>
      </c>
      <c r="F206" s="656" t="str">
        <f xml:space="preserve"> Inputs_Con!F$40</f>
        <v>IMF_WEO</v>
      </c>
      <c r="G206" s="657" t="str">
        <f xml:space="preserve"> Inputs_Con!G$40</f>
        <v>option selected</v>
      </c>
      <c r="H206" s="654"/>
      <c r="I206" s="654"/>
      <c r="J206" s="654"/>
      <c r="K206" s="426"/>
      <c r="L206" s="426"/>
      <c r="M206" s="426"/>
      <c r="N206" s="426"/>
      <c r="O206" s="426"/>
      <c r="P206" s="426"/>
      <c r="Q206" s="424"/>
      <c r="R206" s="424"/>
      <c r="S206" s="424"/>
      <c r="T206" s="424"/>
      <c r="U206" s="424"/>
      <c r="V206" s="424"/>
      <c r="W206" s="424"/>
      <c r="X206" s="424"/>
      <c r="Y206" s="424"/>
      <c r="Z206" s="424"/>
      <c r="AA206" s="424"/>
      <c r="AB206" s="424"/>
      <c r="AC206" s="424"/>
      <c r="AD206" s="424"/>
      <c r="AE206" s="424"/>
      <c r="AF206" s="424"/>
      <c r="AG206" s="424"/>
      <c r="AH206" s="424"/>
      <c r="AI206" s="424"/>
      <c r="AJ206" s="424"/>
      <c r="AK206" s="424"/>
      <c r="AL206" s="424"/>
      <c r="AM206" s="424"/>
      <c r="AN206" s="424"/>
      <c r="AO206" s="424"/>
      <c r="AP206" s="424"/>
      <c r="AQ206" s="424"/>
      <c r="AR206" s="424"/>
      <c r="AS206" s="424"/>
    </row>
    <row r="207" spans="1:45" ht="15" customHeight="1" x14ac:dyDescent="0.3">
      <c r="A207" s="464"/>
      <c r="B207" s="464"/>
      <c r="C207" s="496"/>
      <c r="D207" s="470"/>
      <c r="E207" s="168" t="str">
        <f t="shared" ref="E207:O207" si="79" xml:space="preserve"> INDEX(E198:E204, MATCH($F206, $F198:$F204, 0))</f>
        <v>Cu forecast: IMF_WEO</v>
      </c>
      <c r="F207" s="168" t="str">
        <f t="shared" si="79"/>
        <v>IMF_WEO</v>
      </c>
      <c r="G207" s="168" t="str">
        <f t="shared" si="79"/>
        <v>$ / tonne</v>
      </c>
      <c r="H207" s="168">
        <f t="shared" si="79"/>
        <v>0</v>
      </c>
      <c r="I207" s="168">
        <f t="shared" si="79"/>
        <v>0</v>
      </c>
      <c r="J207" s="168">
        <f t="shared" si="79"/>
        <v>0</v>
      </c>
      <c r="K207" s="465">
        <f xml:space="preserve"> INDEX(K198:K204, MATCH($F206, $F198:$F204, 0))</f>
        <v>6731.3519999999999</v>
      </c>
      <c r="L207" s="465">
        <f t="shared" si="79"/>
        <v>7131.63</v>
      </c>
      <c r="M207" s="465">
        <f t="shared" si="79"/>
        <v>6963.482</v>
      </c>
      <c r="N207" s="465">
        <f t="shared" si="79"/>
        <v>5164.1589999999997</v>
      </c>
      <c r="O207" s="465">
        <f t="shared" si="79"/>
        <v>7538.3620000000001</v>
      </c>
      <c r="P207" s="465">
        <f t="shared" ref="P207:AS207" si="80" xml:space="preserve"> INDEX(P198:P204, MATCH($F206, $F198:$F204, 0))</f>
        <v>8823.4539999999997</v>
      </c>
      <c r="Q207" s="168">
        <f t="shared" si="80"/>
        <v>7958.9250000000002</v>
      </c>
      <c r="R207" s="168">
        <f t="shared" si="80"/>
        <v>7331.491</v>
      </c>
      <c r="S207" s="168">
        <f t="shared" si="80"/>
        <v>6863.3969999999999</v>
      </c>
      <c r="T207" s="168">
        <f t="shared" si="80"/>
        <v>5510.4570000000003</v>
      </c>
      <c r="U207" s="168">
        <f t="shared" si="80"/>
        <v>4867.8969999999999</v>
      </c>
      <c r="V207" s="168">
        <f t="shared" si="80"/>
        <v>6169.94</v>
      </c>
      <c r="W207" s="168">
        <f t="shared" si="80"/>
        <v>6529.7979999999998</v>
      </c>
      <c r="X207" s="168">
        <f t="shared" si="80"/>
        <v>6010.1450000000004</v>
      </c>
      <c r="Y207" s="168">
        <f t="shared" si="80"/>
        <v>6174.558</v>
      </c>
      <c r="Z207" s="168">
        <f t="shared" si="80"/>
        <v>9317.4089999999997</v>
      </c>
      <c r="AA207" s="168">
        <f t="shared" si="80"/>
        <v>8828.9169999999995</v>
      </c>
      <c r="AB207" s="168">
        <f t="shared" si="80"/>
        <v>8490.7620000000006</v>
      </c>
      <c r="AC207" s="168">
        <f t="shared" si="80"/>
        <v>8550.723</v>
      </c>
      <c r="AD207" s="168">
        <f t="shared" si="80"/>
        <v>8661.2289999999994</v>
      </c>
      <c r="AE207" s="168">
        <f t="shared" si="80"/>
        <v>8676.2919999999995</v>
      </c>
      <c r="AF207" s="168">
        <f t="shared" si="80"/>
        <v>8667.75</v>
      </c>
      <c r="AG207" s="168">
        <f t="shared" si="80"/>
        <v>8655.625</v>
      </c>
      <c r="AH207" s="168">
        <f t="shared" si="80"/>
        <v>8668.5</v>
      </c>
      <c r="AI207" s="168">
        <f t="shared" si="80"/>
        <v>8857.0316499289966</v>
      </c>
      <c r="AJ207" s="168">
        <f t="shared" si="80"/>
        <v>9034.1722829275768</v>
      </c>
      <c r="AK207" s="168">
        <f t="shared" si="80"/>
        <v>9214.855728586128</v>
      </c>
      <c r="AL207" s="168">
        <f t="shared" si="80"/>
        <v>9399.1528431578517</v>
      </c>
      <c r="AM207" s="168">
        <f t="shared" si="80"/>
        <v>9587.1359000210068</v>
      </c>
      <c r="AN207" s="168">
        <f t="shared" si="80"/>
        <v>9778.8786180214283</v>
      </c>
      <c r="AO207" s="168">
        <f t="shared" si="80"/>
        <v>9974.4561903818576</v>
      </c>
      <c r="AP207" s="168">
        <f t="shared" si="80"/>
        <v>10173.945314189496</v>
      </c>
      <c r="AQ207" s="168">
        <f t="shared" si="80"/>
        <v>10377.424220473287</v>
      </c>
      <c r="AR207" s="168">
        <f t="shared" si="80"/>
        <v>10584.972704882754</v>
      </c>
      <c r="AS207" s="168">
        <f t="shared" si="80"/>
        <v>10796.672158980407</v>
      </c>
    </row>
    <row r="208" spans="1:45" ht="15" customHeight="1" x14ac:dyDescent="0.3">
      <c r="A208" s="419"/>
      <c r="B208" s="419"/>
      <c r="C208" s="653"/>
      <c r="D208" s="654"/>
      <c r="E208" s="654"/>
      <c r="F208" s="654"/>
      <c r="G208" s="654"/>
      <c r="H208" s="654"/>
      <c r="I208" s="654"/>
      <c r="J208" s="654"/>
      <c r="K208" s="426"/>
      <c r="L208" s="426"/>
      <c r="M208" s="426"/>
      <c r="N208" s="426"/>
      <c r="O208" s="426"/>
      <c r="P208" s="426"/>
      <c r="Q208" s="424"/>
      <c r="R208" s="424"/>
      <c r="S208" s="424"/>
      <c r="T208" s="424"/>
      <c r="U208" s="424"/>
      <c r="V208" s="424"/>
      <c r="W208" s="424"/>
      <c r="X208" s="424"/>
      <c r="Y208" s="424"/>
      <c r="Z208" s="424"/>
      <c r="AA208" s="424"/>
      <c r="AB208" s="424"/>
      <c r="AC208" s="424"/>
      <c r="AD208" s="424"/>
      <c r="AE208" s="424"/>
      <c r="AF208" s="424"/>
      <c r="AG208" s="424"/>
      <c r="AH208" s="424"/>
      <c r="AI208" s="424"/>
      <c r="AJ208" s="424"/>
      <c r="AK208" s="424"/>
      <c r="AL208" s="424"/>
      <c r="AM208" s="424"/>
      <c r="AN208" s="424"/>
      <c r="AO208" s="424"/>
      <c r="AP208" s="424"/>
      <c r="AQ208" s="424"/>
      <c r="AR208" s="424"/>
      <c r="AS208" s="424"/>
    </row>
    <row r="209" spans="1:45" ht="15" customHeight="1" x14ac:dyDescent="0.3">
      <c r="B209" s="1" t="s">
        <v>637</v>
      </c>
      <c r="D209" s="20"/>
      <c r="E209" s="142"/>
      <c r="F209" s="142"/>
      <c r="G209" s="142"/>
      <c r="H209" s="183"/>
      <c r="I209" s="183"/>
      <c r="S209" s="45"/>
      <c r="T209" s="45"/>
      <c r="U209" s="45"/>
      <c r="V209" s="45"/>
      <c r="W209" s="45"/>
      <c r="X209" s="90"/>
      <c r="Y209" s="45"/>
      <c r="Z209" s="90"/>
      <c r="AA209" s="90"/>
      <c r="AB209" s="90"/>
      <c r="AC209" s="90"/>
      <c r="AD209" s="45"/>
      <c r="AE209" s="45"/>
      <c r="AF209" s="45"/>
      <c r="AG209" s="45"/>
      <c r="AH209" s="45"/>
      <c r="AI209" s="45"/>
      <c r="AJ209" s="45"/>
      <c r="AK209" s="45"/>
      <c r="AL209" s="45"/>
      <c r="AM209" s="45"/>
      <c r="AN209" s="45"/>
      <c r="AO209" s="45"/>
      <c r="AP209" s="45"/>
      <c r="AQ209" s="45"/>
      <c r="AR209" s="45"/>
      <c r="AS209" s="45"/>
    </row>
    <row r="210" spans="1:45" ht="15" customHeight="1" x14ac:dyDescent="0.3">
      <c r="C210" s="2" t="s">
        <v>639</v>
      </c>
      <c r="D210" s="20"/>
      <c r="E210" s="142"/>
      <c r="F210" s="142"/>
      <c r="G210" s="142"/>
      <c r="H210" s="183"/>
      <c r="I210" s="183"/>
      <c r="S210" s="45"/>
      <c r="T210" s="45"/>
      <c r="U210" s="45"/>
      <c r="V210" s="45"/>
      <c r="W210" s="45"/>
      <c r="X210" s="90"/>
      <c r="Y210" s="45"/>
      <c r="Z210" s="90"/>
      <c r="AA210" s="90"/>
      <c r="AB210" s="90"/>
      <c r="AC210" s="90"/>
      <c r="AD210" s="45"/>
      <c r="AE210" s="45"/>
      <c r="AF210" s="45"/>
      <c r="AG210" s="45"/>
      <c r="AH210" s="45"/>
      <c r="AI210" s="45"/>
      <c r="AJ210" s="45"/>
      <c r="AK210" s="45"/>
      <c r="AL210" s="45"/>
      <c r="AM210" s="45"/>
      <c r="AN210" s="45"/>
      <c r="AO210" s="45"/>
      <c r="AP210" s="45"/>
      <c r="AQ210" s="45"/>
      <c r="AR210" s="45"/>
      <c r="AS210" s="45"/>
    </row>
    <row r="211" spans="1:45" ht="15" customHeight="1" x14ac:dyDescent="0.3">
      <c r="D211" s="20"/>
      <c r="E211" s="142" t="s">
        <v>109</v>
      </c>
      <c r="F211" s="142"/>
      <c r="G211" s="142" t="s">
        <v>346</v>
      </c>
      <c r="H211" s="183" t="str">
        <f xml:space="preserve"> Sources!I$19</f>
        <v>XIV</v>
      </c>
      <c r="I211" s="183"/>
      <c r="K211" s="60"/>
      <c r="L211" s="60"/>
      <c r="M211" s="60"/>
      <c r="N211" s="60"/>
      <c r="O211" s="60"/>
      <c r="P211" s="60"/>
      <c r="Q211" s="60"/>
      <c r="R211" s="60"/>
      <c r="S211" s="60"/>
      <c r="T211" s="60"/>
      <c r="U211" s="60"/>
      <c r="V211" s="60"/>
      <c r="W211" s="224"/>
      <c r="X211" s="220">
        <v>10.4840861332</v>
      </c>
      <c r="Y211" s="219">
        <v>43.1728417047592</v>
      </c>
      <c r="Z211" s="225"/>
      <c r="AA211" s="221"/>
      <c r="AB211" s="221"/>
      <c r="AC211" s="221"/>
      <c r="AD211" s="60"/>
      <c r="AE211" s="60"/>
      <c r="AF211" s="60"/>
      <c r="AG211" s="60"/>
      <c r="AH211" s="60"/>
      <c r="AI211" s="60"/>
      <c r="AJ211" s="60"/>
      <c r="AK211" s="60"/>
      <c r="AL211" s="60"/>
      <c r="AM211" s="60"/>
      <c r="AN211" s="60"/>
      <c r="AO211" s="60"/>
      <c r="AP211" s="60"/>
      <c r="AQ211" s="60"/>
      <c r="AR211" s="60"/>
      <c r="AS211" s="60"/>
    </row>
    <row r="212" spans="1:45" ht="15" customHeight="1" x14ac:dyDescent="0.3">
      <c r="A212" s="139"/>
      <c r="B212" s="139"/>
      <c r="C212" s="140"/>
      <c r="D212" s="141"/>
      <c r="E212" s="142" t="s">
        <v>302</v>
      </c>
      <c r="F212" s="142"/>
      <c r="G212" s="142" t="s">
        <v>321</v>
      </c>
      <c r="H212" s="183" t="str">
        <f xml:space="preserve"> Sources!I$19</f>
        <v>XIV</v>
      </c>
      <c r="I212" s="183"/>
      <c r="J212" s="142"/>
      <c r="K212" s="79"/>
      <c r="L212" s="79"/>
      <c r="M212" s="79"/>
      <c r="N212" s="79"/>
      <c r="O212" s="79"/>
      <c r="P212" s="79"/>
      <c r="Q212" s="79"/>
      <c r="R212" s="79"/>
      <c r="S212" s="79"/>
      <c r="T212" s="79"/>
      <c r="U212" s="79"/>
      <c r="V212" s="79"/>
      <c r="W212" s="635"/>
      <c r="X212" s="213">
        <f>(X211*10^6)/X91</f>
        <v>25905.325710687153</v>
      </c>
      <c r="Y212" s="213">
        <f>(Y211*10^6)/Y91</f>
        <v>27272.799560808089</v>
      </c>
      <c r="Z212" s="627"/>
      <c r="AA212" s="188"/>
      <c r="AB212" s="188"/>
      <c r="AC212" s="188"/>
      <c r="AD212" s="79"/>
      <c r="AE212" s="79"/>
      <c r="AF212" s="79"/>
      <c r="AG212" s="79"/>
      <c r="AH212" s="79"/>
      <c r="AI212" s="79"/>
      <c r="AJ212" s="79"/>
      <c r="AK212" s="79"/>
      <c r="AL212" s="79"/>
      <c r="AM212" s="79"/>
      <c r="AN212" s="79"/>
      <c r="AO212" s="79"/>
      <c r="AP212" s="79"/>
      <c r="AQ212" s="79"/>
      <c r="AR212" s="79"/>
      <c r="AS212" s="79"/>
    </row>
    <row r="213" spans="1:45" ht="15" customHeight="1" x14ac:dyDescent="0.3">
      <c r="D213" s="20"/>
      <c r="E213" s="142"/>
      <c r="F213" s="142"/>
      <c r="G213" s="142"/>
      <c r="H213" s="183"/>
      <c r="I213" s="183"/>
      <c r="K213" s="58"/>
      <c r="L213" s="58"/>
      <c r="M213" s="58"/>
      <c r="N213" s="58"/>
      <c r="O213" s="58"/>
      <c r="P213" s="58"/>
      <c r="Q213" s="58"/>
      <c r="R213" s="58"/>
      <c r="S213" s="58"/>
      <c r="T213" s="58"/>
      <c r="U213" s="58"/>
      <c r="V213" s="58"/>
      <c r="W213" s="58"/>
      <c r="X213" s="222"/>
      <c r="Y213" s="222"/>
      <c r="Z213" s="218"/>
      <c r="AA213" s="218"/>
      <c r="AB213" s="218"/>
      <c r="AC213" s="218"/>
      <c r="AD213" s="58"/>
      <c r="AE213" s="58"/>
      <c r="AF213" s="58"/>
      <c r="AG213" s="58"/>
      <c r="AH213" s="58"/>
      <c r="AI213" s="58"/>
      <c r="AJ213" s="58"/>
      <c r="AK213" s="58"/>
      <c r="AL213" s="58"/>
      <c r="AM213" s="58"/>
      <c r="AN213" s="58"/>
      <c r="AO213" s="58"/>
      <c r="AP213" s="58"/>
      <c r="AQ213" s="58"/>
      <c r="AR213" s="58"/>
      <c r="AS213" s="58"/>
    </row>
    <row r="214" spans="1:45" ht="15" customHeight="1" x14ac:dyDescent="0.3">
      <c r="C214" s="2" t="s">
        <v>593</v>
      </c>
      <c r="D214" s="20"/>
      <c r="E214" s="142"/>
      <c r="F214" s="142"/>
      <c r="G214" s="142"/>
      <c r="H214" s="183"/>
      <c r="I214" s="183"/>
      <c r="K214" s="58"/>
      <c r="L214" s="58"/>
      <c r="M214" s="58"/>
      <c r="N214" s="58"/>
      <c r="O214" s="58"/>
      <c r="P214" s="58"/>
      <c r="Q214" s="58"/>
      <c r="R214" s="58"/>
      <c r="S214" s="58"/>
      <c r="T214" s="58"/>
      <c r="U214" s="58"/>
      <c r="V214" s="58"/>
      <c r="W214" s="58"/>
      <c r="X214" s="222"/>
      <c r="Y214" s="222"/>
      <c r="Z214" s="218"/>
      <c r="AA214" s="218"/>
      <c r="AB214" s="218"/>
      <c r="AC214" s="218"/>
      <c r="AD214" s="58"/>
      <c r="AE214" s="58"/>
      <c r="AF214" s="58"/>
      <c r="AG214" s="58"/>
      <c r="AH214" s="58"/>
      <c r="AI214" s="58"/>
      <c r="AJ214" s="58"/>
      <c r="AK214" s="58"/>
      <c r="AL214" s="58"/>
      <c r="AM214" s="58"/>
      <c r="AN214" s="58"/>
      <c r="AO214" s="58"/>
      <c r="AP214" s="58"/>
      <c r="AQ214" s="58"/>
      <c r="AR214" s="58"/>
      <c r="AS214" s="58"/>
    </row>
    <row r="215" spans="1:45" ht="15" customHeight="1" x14ac:dyDescent="0.3">
      <c r="D215" s="20"/>
      <c r="E215" s="340" t="s">
        <v>640</v>
      </c>
      <c r="F215" s="340"/>
      <c r="G215" s="340" t="s">
        <v>321</v>
      </c>
      <c r="H215" s="183" t="str">
        <f xml:space="preserve"> Sources!I$27</f>
        <v>XXII</v>
      </c>
      <c r="I215" s="183"/>
      <c r="K215" s="630"/>
      <c r="L215" s="630"/>
      <c r="M215" s="630"/>
      <c r="N215" s="630"/>
      <c r="O215" s="630">
        <v>39983.248918128658</v>
      </c>
      <c r="P215" s="630">
        <v>35297.148283904207</v>
      </c>
      <c r="Q215" s="630">
        <v>28942.914961873637</v>
      </c>
      <c r="R215" s="630">
        <v>27123.206303954332</v>
      </c>
      <c r="S215" s="630">
        <v>30801.474472639933</v>
      </c>
      <c r="T215" s="630">
        <v>28475.138962234018</v>
      </c>
      <c r="U215" s="630">
        <v>25457.973813352826</v>
      </c>
      <c r="V215" s="630">
        <v>55812.918144319126</v>
      </c>
      <c r="W215" s="630">
        <v>72880.813571715247</v>
      </c>
      <c r="X215" s="630">
        <v>33212.65432671352</v>
      </c>
      <c r="Y215" s="630">
        <v>31488.751904155153</v>
      </c>
      <c r="Z215" s="630">
        <v>51247.136222782749</v>
      </c>
      <c r="AA215" s="630">
        <v>63782.640008927956</v>
      </c>
      <c r="AB215" s="630">
        <v>34357.907638366058</v>
      </c>
      <c r="AC215" s="630">
        <v>26377.481795872256</v>
      </c>
      <c r="AD215" s="630"/>
      <c r="AE215" s="630"/>
      <c r="AF215" s="630"/>
      <c r="AG215" s="630"/>
      <c r="AH215" s="630"/>
      <c r="AI215" s="630"/>
      <c r="AJ215" s="630"/>
      <c r="AK215" s="630"/>
      <c r="AL215" s="630"/>
      <c r="AM215" s="630"/>
      <c r="AN215" s="630"/>
      <c r="AO215" s="630"/>
      <c r="AP215" s="630"/>
      <c r="AQ215" s="630"/>
      <c r="AR215" s="630"/>
      <c r="AS215" s="630"/>
    </row>
    <row r="216" spans="1:45" ht="15" customHeight="1" x14ac:dyDescent="0.3">
      <c r="D216" s="20"/>
      <c r="E216" s="340" t="s">
        <v>641</v>
      </c>
      <c r="F216" s="340"/>
      <c r="G216" s="340" t="s">
        <v>321</v>
      </c>
      <c r="H216" s="183" t="str">
        <f xml:space="preserve"> Sources!I$28</f>
        <v>XXIII</v>
      </c>
      <c r="I216" s="183"/>
      <c r="K216" s="631"/>
      <c r="L216" s="631"/>
      <c r="M216" s="631"/>
      <c r="N216" s="631"/>
      <c r="O216" s="631"/>
      <c r="P216" s="631"/>
      <c r="Q216" s="631"/>
      <c r="R216" s="631"/>
      <c r="S216" s="631"/>
      <c r="T216" s="631"/>
      <c r="U216" s="631"/>
      <c r="V216" s="631"/>
      <c r="W216" s="631">
        <v>82933.533333333326</v>
      </c>
      <c r="X216" s="631">
        <v>38740.14</v>
      </c>
      <c r="Y216" s="631">
        <v>34843.676666666666</v>
      </c>
      <c r="Z216" s="631"/>
      <c r="AA216" s="631"/>
      <c r="AB216" s="631"/>
      <c r="AC216" s="631"/>
      <c r="AD216" s="631"/>
      <c r="AE216" s="631"/>
      <c r="AF216" s="631"/>
      <c r="AG216" s="631"/>
      <c r="AH216" s="631"/>
      <c r="AI216" s="631"/>
      <c r="AJ216" s="631"/>
      <c r="AK216" s="631"/>
      <c r="AL216" s="631"/>
      <c r="AM216" s="631"/>
      <c r="AN216" s="631"/>
      <c r="AO216" s="631"/>
      <c r="AP216" s="631"/>
      <c r="AQ216" s="631"/>
      <c r="AR216" s="631"/>
      <c r="AS216" s="631"/>
    </row>
    <row r="217" spans="1:45" ht="15" customHeight="1" x14ac:dyDescent="0.3">
      <c r="A217" s="139"/>
      <c r="B217" s="139"/>
      <c r="C217" s="140"/>
      <c r="D217" s="141"/>
      <c r="E217" s="142" t="s">
        <v>322</v>
      </c>
      <c r="F217" s="142"/>
      <c r="G217" s="142" t="s">
        <v>321</v>
      </c>
      <c r="H217" s="183" t="str">
        <f xml:space="preserve"> Sources!I$29</f>
        <v>XXIV</v>
      </c>
      <c r="I217" s="183"/>
      <c r="K217" s="630">
        <v>31172.303428077401</v>
      </c>
      <c r="L217" s="630">
        <v>54341.499809881199</v>
      </c>
      <c r="M217" s="630">
        <v>70839.254468594096</v>
      </c>
      <c r="N217" s="630">
        <v>32088.124664743598</v>
      </c>
      <c r="O217" s="630">
        <v>39368.276123773197</v>
      </c>
      <c r="P217" s="630">
        <v>35344.638635317999</v>
      </c>
      <c r="Q217" s="630">
        <v>28930.686530122199</v>
      </c>
      <c r="R217" s="630">
        <v>27090.822506313099</v>
      </c>
      <c r="S217" s="79">
        <v>30780.7319565531</v>
      </c>
      <c r="T217" s="79">
        <v>28451.660698559601</v>
      </c>
      <c r="U217" s="79">
        <v>25463.3685425685</v>
      </c>
      <c r="V217" s="79">
        <v>55832.1709807429</v>
      </c>
      <c r="W217" s="79">
        <v>72911.236898013303</v>
      </c>
      <c r="X217" s="79">
        <v>33177.6323053909</v>
      </c>
      <c r="Y217" s="79">
        <v>31444.926902256499</v>
      </c>
      <c r="Z217" s="79">
        <v>51235.518379838803</v>
      </c>
      <c r="AA217" s="79">
        <v>63764.719304065497</v>
      </c>
      <c r="AB217" s="79">
        <v>34275.041504525099</v>
      </c>
      <c r="AC217" s="79">
        <v>26326.827560543301</v>
      </c>
      <c r="AD217" s="79"/>
      <c r="AE217" s="79"/>
      <c r="AF217" s="79"/>
      <c r="AG217" s="79"/>
      <c r="AH217" s="79"/>
      <c r="AI217" s="79"/>
      <c r="AJ217" s="79"/>
      <c r="AK217" s="79"/>
      <c r="AL217" s="79"/>
      <c r="AM217" s="79"/>
      <c r="AN217" s="79"/>
      <c r="AO217" s="79"/>
      <c r="AP217" s="79"/>
      <c r="AQ217" s="79"/>
      <c r="AR217" s="79"/>
      <c r="AS217" s="79"/>
    </row>
    <row r="218" spans="1:45" ht="15" customHeight="1" x14ac:dyDescent="0.3">
      <c r="A218" s="197"/>
      <c r="B218" s="197"/>
      <c r="C218" s="241"/>
      <c r="D218" s="242"/>
      <c r="E218" s="184"/>
      <c r="F218" s="184"/>
      <c r="G218" s="184"/>
      <c r="H218" s="183"/>
      <c r="I218" s="183"/>
      <c r="J218" s="246"/>
      <c r="K218" s="198"/>
      <c r="L218" s="198"/>
      <c r="M218" s="198"/>
      <c r="N218" s="198"/>
      <c r="O218" s="198"/>
      <c r="P218" s="198"/>
      <c r="Q218" s="198"/>
      <c r="R218" s="198"/>
      <c r="S218" s="198"/>
      <c r="T218" s="198"/>
      <c r="U218" s="198"/>
      <c r="V218" s="198"/>
      <c r="W218" s="198"/>
      <c r="X218" s="198"/>
      <c r="Y218" s="198"/>
      <c r="Z218" s="198"/>
      <c r="AA218" s="198"/>
      <c r="AB218" s="198"/>
      <c r="AC218" s="198"/>
      <c r="AD218" s="198"/>
      <c r="AE218" s="198"/>
      <c r="AF218" s="198"/>
      <c r="AG218" s="198"/>
      <c r="AH218" s="198"/>
      <c r="AI218" s="198"/>
      <c r="AJ218" s="198"/>
      <c r="AK218" s="198"/>
      <c r="AL218" s="198"/>
      <c r="AM218" s="198"/>
      <c r="AN218" s="198"/>
      <c r="AO218" s="198"/>
      <c r="AP218" s="198"/>
      <c r="AQ218" s="198"/>
      <c r="AR218" s="198"/>
      <c r="AS218" s="198"/>
    </row>
    <row r="219" spans="1:45" ht="15" customHeight="1" x14ac:dyDescent="0.3">
      <c r="A219" s="197"/>
      <c r="B219" s="197"/>
      <c r="C219" s="241" t="s">
        <v>642</v>
      </c>
      <c r="D219" s="242"/>
      <c r="E219" s="184"/>
      <c r="F219" s="184"/>
      <c r="G219" s="184"/>
      <c r="H219" s="183"/>
      <c r="I219" s="183"/>
      <c r="J219" s="246"/>
      <c r="K219" s="198"/>
      <c r="L219" s="198"/>
      <c r="M219" s="198"/>
      <c r="N219" s="198"/>
      <c r="O219" s="198"/>
      <c r="P219" s="198"/>
      <c r="Q219" s="198"/>
      <c r="R219" s="198"/>
      <c r="S219" s="198"/>
      <c r="T219" s="198"/>
      <c r="U219" s="198"/>
      <c r="V219" s="198"/>
      <c r="W219" s="198"/>
      <c r="X219" s="198"/>
      <c r="Y219" s="198"/>
      <c r="Z219" s="198"/>
      <c r="AA219" s="198"/>
      <c r="AB219" s="198"/>
      <c r="AC219" s="198"/>
      <c r="AD219" s="198"/>
      <c r="AE219" s="198"/>
      <c r="AF219" s="198"/>
      <c r="AG219" s="198"/>
      <c r="AH219" s="198"/>
      <c r="AI219" s="198"/>
      <c r="AJ219" s="198"/>
      <c r="AK219" s="198"/>
      <c r="AL219" s="198"/>
      <c r="AM219" s="198"/>
      <c r="AN219" s="198"/>
      <c r="AO219" s="198"/>
      <c r="AP219" s="198"/>
      <c r="AQ219" s="198"/>
      <c r="AR219" s="198"/>
      <c r="AS219" s="198"/>
    </row>
    <row r="220" spans="1:45" ht="15" customHeight="1" x14ac:dyDescent="0.3">
      <c r="A220" s="197"/>
      <c r="B220" s="197"/>
      <c r="C220" s="241"/>
      <c r="D220" s="242"/>
      <c r="E220" s="21" t="str">
        <f xml:space="preserve"> E$168</f>
        <v>IMF WEO April 2024 Copper, grade A cathode, LME spot price, CIF European ports,</v>
      </c>
      <c r="F220" s="21">
        <f t="shared" ref="F220:R220" si="81" xml:space="preserve"> F$168</f>
        <v>0</v>
      </c>
      <c r="G220" s="21" t="str">
        <f t="shared" si="81"/>
        <v>$ / tonne</v>
      </c>
      <c r="H220" s="21" t="str">
        <f t="shared" si="81"/>
        <v>to add, from WEO file</v>
      </c>
      <c r="I220" s="21">
        <f t="shared" si="81"/>
        <v>0</v>
      </c>
      <c r="J220" s="21">
        <f t="shared" si="81"/>
        <v>0</v>
      </c>
      <c r="K220" s="21">
        <f t="shared" si="81"/>
        <v>6731.3519999999999</v>
      </c>
      <c r="L220" s="21">
        <f t="shared" si="81"/>
        <v>7131.63</v>
      </c>
      <c r="M220" s="21">
        <f t="shared" si="81"/>
        <v>6963.482</v>
      </c>
      <c r="N220" s="21">
        <f t="shared" si="81"/>
        <v>5164.1589999999997</v>
      </c>
      <c r="O220" s="21">
        <f t="shared" si="81"/>
        <v>7538.3620000000001</v>
      </c>
      <c r="P220" s="21">
        <f t="shared" si="81"/>
        <v>8823.4539999999997</v>
      </c>
      <c r="Q220" s="21">
        <f t="shared" si="81"/>
        <v>7958.9250000000002</v>
      </c>
      <c r="R220" s="21">
        <f t="shared" si="81"/>
        <v>7331.491</v>
      </c>
      <c r="S220" s="21">
        <f t="shared" ref="S220:AN220" si="82" xml:space="preserve"> S$168</f>
        <v>6863.3969999999999</v>
      </c>
      <c r="T220" s="21">
        <f t="shared" si="82"/>
        <v>5510.4570000000003</v>
      </c>
      <c r="U220" s="21">
        <f t="shared" si="82"/>
        <v>4867.8969999999999</v>
      </c>
      <c r="V220" s="21">
        <f t="shared" si="82"/>
        <v>6169.94</v>
      </c>
      <c r="W220" s="21">
        <f t="shared" si="82"/>
        <v>6529.7979999999998</v>
      </c>
      <c r="X220" s="21">
        <f t="shared" si="82"/>
        <v>6010.1450000000004</v>
      </c>
      <c r="Y220" s="21">
        <f t="shared" si="82"/>
        <v>6174.558</v>
      </c>
      <c r="Z220" s="21">
        <f t="shared" si="82"/>
        <v>9317.4089999999997</v>
      </c>
      <c r="AA220" s="21">
        <f t="shared" si="82"/>
        <v>8828.9169999999995</v>
      </c>
      <c r="AB220" s="21">
        <f t="shared" si="82"/>
        <v>8490.7620000000006</v>
      </c>
      <c r="AC220" s="21">
        <f t="shared" si="82"/>
        <v>8550.723</v>
      </c>
      <c r="AD220" s="21">
        <f t="shared" si="82"/>
        <v>0</v>
      </c>
      <c r="AE220" s="21">
        <f t="shared" si="82"/>
        <v>0</v>
      </c>
      <c r="AF220" s="21">
        <f t="shared" si="82"/>
        <v>0</v>
      </c>
      <c r="AG220" s="21">
        <f t="shared" si="82"/>
        <v>0</v>
      </c>
      <c r="AH220" s="21">
        <f t="shared" si="82"/>
        <v>0</v>
      </c>
      <c r="AI220" s="21">
        <f t="shared" si="82"/>
        <v>0</v>
      </c>
      <c r="AJ220" s="21">
        <f t="shared" si="82"/>
        <v>0</v>
      </c>
      <c r="AK220" s="21">
        <f t="shared" si="82"/>
        <v>0</v>
      </c>
      <c r="AL220" s="21">
        <f t="shared" si="82"/>
        <v>0</v>
      </c>
      <c r="AM220" s="21">
        <f t="shared" si="82"/>
        <v>0</v>
      </c>
      <c r="AN220" s="21">
        <f t="shared" si="82"/>
        <v>0</v>
      </c>
      <c r="AO220" s="21"/>
      <c r="AP220" s="21"/>
      <c r="AQ220" s="21"/>
      <c r="AR220" s="21"/>
      <c r="AS220" s="21"/>
    </row>
    <row r="221" spans="1:45" ht="15" customHeight="1" x14ac:dyDescent="0.3">
      <c r="A221" s="398"/>
      <c r="B221" s="398"/>
      <c r="C221" s="421"/>
      <c r="D221" s="422"/>
      <c r="E221" s="423" t="s">
        <v>645</v>
      </c>
      <c r="F221" s="423"/>
      <c r="G221" s="423" t="s">
        <v>252</v>
      </c>
      <c r="H221" s="423"/>
      <c r="I221" s="423"/>
      <c r="J221" s="423"/>
      <c r="K221" s="675">
        <f t="shared" ref="K221" si="83" xml:space="preserve"> IFERROR(K217 / K220, 0)</f>
        <v>4.6309126945192292</v>
      </c>
      <c r="L221" s="675">
        <f t="shared" ref="L221" si="84" xml:space="preserve"> IFERROR(L217 / L220, 0)</f>
        <v>7.6197867542036253</v>
      </c>
      <c r="M221" s="675">
        <f t="shared" ref="M221" si="85" xml:space="preserve"> IFERROR(M217 / M220, 0)</f>
        <v>10.172964397494543</v>
      </c>
      <c r="N221" s="675">
        <f t="shared" ref="N221" si="86" xml:space="preserve"> IFERROR(N217 / N220, 0)</f>
        <v>6.2136205846380017</v>
      </c>
      <c r="O221" s="675">
        <f t="shared" ref="O221" si="87" xml:space="preserve"> IFERROR(O217 / O220, 0)</f>
        <v>5.2223912998305462</v>
      </c>
      <c r="P221" s="675">
        <f t="shared" ref="P221" si="88" xml:space="preserve"> IFERROR(P217 / P220, 0)</f>
        <v>4.0057599478977277</v>
      </c>
      <c r="Q221" s="675">
        <f t="shared" ref="Q221" si="89" xml:space="preserve"> IFERROR(Q217 / Q220, 0)</f>
        <v>3.6349992656196908</v>
      </c>
      <c r="R221" s="675">
        <f t="shared" ref="R221" si="90" xml:space="preserve"> IFERROR(R217 / R220, 0)</f>
        <v>3.6951313868233759</v>
      </c>
      <c r="S221" s="675">
        <f t="shared" ref="S221:AP221" si="91" xml:space="preserve"> IFERROR(S217 / S220, 0)</f>
        <v>4.4847663564490148</v>
      </c>
      <c r="T221" s="675">
        <f t="shared" si="91"/>
        <v>5.1632125427273268</v>
      </c>
      <c r="U221" s="675">
        <f t="shared" si="91"/>
        <v>5.230876606996512</v>
      </c>
      <c r="V221" s="675">
        <f t="shared" si="91"/>
        <v>9.0490622243883898</v>
      </c>
      <c r="W221" s="675">
        <f t="shared" si="91"/>
        <v>11.16592533153603</v>
      </c>
      <c r="X221" s="675">
        <f t="shared" si="91"/>
        <v>5.5202715251280789</v>
      </c>
      <c r="Y221" s="675">
        <f t="shared" si="91"/>
        <v>5.0926603818858771</v>
      </c>
      <c r="Z221" s="675">
        <f t="shared" si="91"/>
        <v>5.498901935059286</v>
      </c>
      <c r="AA221" s="675">
        <f t="shared" si="91"/>
        <v>7.2222583250092285</v>
      </c>
      <c r="AB221" s="675">
        <f t="shared" si="91"/>
        <v>4.0367450535682305</v>
      </c>
      <c r="AC221" s="675">
        <f t="shared" si="91"/>
        <v>3.078900762022498</v>
      </c>
      <c r="AD221" s="675">
        <f t="shared" si="91"/>
        <v>0</v>
      </c>
      <c r="AE221" s="675">
        <f t="shared" si="91"/>
        <v>0</v>
      </c>
      <c r="AF221" s="675">
        <f t="shared" si="91"/>
        <v>0</v>
      </c>
      <c r="AG221" s="675">
        <f t="shared" si="91"/>
        <v>0</v>
      </c>
      <c r="AH221" s="675">
        <f t="shared" si="91"/>
        <v>0</v>
      </c>
      <c r="AI221" s="675">
        <f t="shared" si="91"/>
        <v>0</v>
      </c>
      <c r="AJ221" s="675">
        <f t="shared" si="91"/>
        <v>0</v>
      </c>
      <c r="AK221" s="675">
        <f t="shared" si="91"/>
        <v>0</v>
      </c>
      <c r="AL221" s="675">
        <f t="shared" si="91"/>
        <v>0</v>
      </c>
      <c r="AM221" s="675">
        <f t="shared" si="91"/>
        <v>0</v>
      </c>
      <c r="AN221" s="675">
        <f t="shared" si="91"/>
        <v>0</v>
      </c>
      <c r="AO221" s="675">
        <f t="shared" si="91"/>
        <v>0</v>
      </c>
      <c r="AP221" s="675">
        <f t="shared" si="91"/>
        <v>0</v>
      </c>
      <c r="AQ221" s="675">
        <f t="shared" ref="AQ221:AS221" si="92" xml:space="preserve"> IFERROR(AQ217 / AQ220, 0)</f>
        <v>0</v>
      </c>
      <c r="AR221" s="675">
        <f t="shared" si="92"/>
        <v>0</v>
      </c>
      <c r="AS221" s="675">
        <f t="shared" si="92"/>
        <v>0</v>
      </c>
    </row>
    <row r="222" spans="1:45" ht="15" customHeight="1" x14ac:dyDescent="0.3">
      <c r="A222" s="398"/>
      <c r="B222" s="398"/>
      <c r="C222" s="421"/>
      <c r="D222" s="422"/>
      <c r="E222" s="423" t="str">
        <f>E221</f>
        <v>Cobalt price as multiple of Cu price</v>
      </c>
      <c r="F222" s="676">
        <f xml:space="preserve"> AVERAGEIF(T221:AV221, "&gt;0")</f>
        <v>6.1058814688321466</v>
      </c>
      <c r="G222" s="423" t="str">
        <f xml:space="preserve"> G221</f>
        <v>factor</v>
      </c>
      <c r="H222" s="423"/>
      <c r="I222" s="423"/>
      <c r="J222" s="423"/>
      <c r="K222" s="426"/>
      <c r="L222" s="426"/>
      <c r="M222" s="426"/>
      <c r="N222" s="426"/>
      <c r="O222" s="426"/>
      <c r="P222" s="426"/>
      <c r="Q222" s="426"/>
      <c r="R222" s="426"/>
      <c r="S222" s="426"/>
      <c r="T222" s="677"/>
      <c r="U222" s="677"/>
      <c r="V222" s="677"/>
      <c r="W222" s="677"/>
      <c r="X222" s="677"/>
      <c r="Y222" s="677"/>
      <c r="Z222" s="677"/>
      <c r="AA222" s="677"/>
      <c r="AB222" s="677"/>
      <c r="AC222" s="677"/>
      <c r="AD222" s="677"/>
      <c r="AE222" s="677"/>
      <c r="AF222" s="677"/>
      <c r="AG222" s="677"/>
      <c r="AH222" s="677"/>
      <c r="AI222" s="677"/>
      <c r="AJ222" s="677"/>
      <c r="AK222" s="677"/>
      <c r="AL222" s="677"/>
      <c r="AM222" s="677"/>
      <c r="AN222" s="677"/>
      <c r="AO222" s="677"/>
      <c r="AP222" s="677"/>
      <c r="AQ222" s="677"/>
      <c r="AR222" s="677"/>
      <c r="AS222" s="677"/>
    </row>
    <row r="223" spans="1:45" ht="15" customHeight="1" x14ac:dyDescent="0.3">
      <c r="A223" s="197"/>
      <c r="B223" s="197"/>
      <c r="C223" s="241"/>
      <c r="D223" s="242"/>
      <c r="E223" s="184"/>
      <c r="F223" s="184"/>
      <c r="G223" s="184"/>
      <c r="H223" s="183"/>
      <c r="I223" s="183"/>
      <c r="J223" s="246"/>
      <c r="K223" s="198"/>
      <c r="L223" s="198"/>
      <c r="M223" s="198"/>
      <c r="N223" s="198"/>
      <c r="O223" s="198"/>
      <c r="P223" s="198"/>
      <c r="Q223" s="198"/>
      <c r="R223" s="198"/>
      <c r="S223" s="198"/>
      <c r="T223" s="198"/>
      <c r="U223" s="198"/>
      <c r="V223" s="198"/>
      <c r="W223" s="198"/>
      <c r="X223" s="198"/>
      <c r="Y223" s="198"/>
      <c r="Z223" s="198"/>
      <c r="AA223" s="198"/>
      <c r="AB223" s="198"/>
      <c r="AC223" s="198"/>
      <c r="AD223" s="198"/>
      <c r="AE223" s="198"/>
      <c r="AF223" s="198"/>
      <c r="AG223" s="198"/>
      <c r="AH223" s="198"/>
      <c r="AI223" s="198"/>
      <c r="AJ223" s="198"/>
      <c r="AK223" s="198"/>
      <c r="AL223" s="198"/>
      <c r="AM223" s="198"/>
      <c r="AN223" s="198"/>
      <c r="AO223" s="198"/>
      <c r="AP223" s="198"/>
      <c r="AQ223" s="198"/>
      <c r="AR223" s="198"/>
      <c r="AS223" s="198"/>
    </row>
    <row r="224" spans="1:45" ht="15" customHeight="1" x14ac:dyDescent="0.3">
      <c r="A224" s="197"/>
      <c r="B224" s="197"/>
      <c r="C224" s="241" t="s">
        <v>643</v>
      </c>
      <c r="D224" s="242"/>
      <c r="E224" s="184"/>
      <c r="F224" s="184"/>
      <c r="G224" s="184"/>
      <c r="H224" s="183"/>
      <c r="I224" s="183"/>
      <c r="J224" s="246"/>
      <c r="K224" s="198"/>
      <c r="L224" s="198"/>
      <c r="M224" s="198"/>
      <c r="N224" s="198"/>
      <c r="O224" s="198"/>
      <c r="P224" s="198"/>
      <c r="Q224" s="198"/>
      <c r="R224" s="198"/>
      <c r="S224" s="198"/>
      <c r="T224" s="198"/>
      <c r="U224" s="198"/>
      <c r="V224" s="198"/>
      <c r="W224" s="198"/>
      <c r="X224" s="198"/>
      <c r="Y224" s="198"/>
      <c r="Z224" s="198"/>
      <c r="AA224" s="198"/>
      <c r="AB224" s="198"/>
      <c r="AC224" s="198"/>
      <c r="AD224" s="198"/>
      <c r="AE224" s="198"/>
      <c r="AF224" s="198"/>
      <c r="AG224" s="198"/>
      <c r="AH224" s="198"/>
      <c r="AI224" s="198"/>
      <c r="AJ224" s="198"/>
      <c r="AK224" s="198"/>
      <c r="AL224" s="198"/>
      <c r="AM224" s="198"/>
      <c r="AN224" s="198"/>
      <c r="AO224" s="198"/>
      <c r="AP224" s="198"/>
      <c r="AQ224" s="198"/>
      <c r="AR224" s="198"/>
      <c r="AS224" s="198"/>
    </row>
    <row r="225" spans="1:45" ht="15" customHeight="1" x14ac:dyDescent="0.3">
      <c r="A225" s="197"/>
      <c r="B225" s="197"/>
      <c r="C225" s="241"/>
      <c r="D225" s="242"/>
      <c r="E225" s="423" t="str">
        <f>"Co forecast: " &amp; F225</f>
        <v>Co forecast: Fut_17Apr25</v>
      </c>
      <c r="F225" s="678" t="s">
        <v>601</v>
      </c>
      <c r="G225" s="423" t="s">
        <v>602</v>
      </c>
      <c r="H225" s="495" t="s">
        <v>603</v>
      </c>
      <c r="I225" s="495"/>
      <c r="J225" s="246"/>
      <c r="K225" s="495"/>
      <c r="L225" s="495"/>
      <c r="M225" s="495"/>
      <c r="N225" s="495"/>
      <c r="O225" s="495"/>
      <c r="P225" s="495"/>
      <c r="Q225" s="495"/>
      <c r="R225" s="495"/>
      <c r="S225" s="495"/>
      <c r="T225" s="495"/>
      <c r="U225" s="495"/>
      <c r="V225" s="495"/>
      <c r="W225" s="495"/>
      <c r="X225" s="495"/>
      <c r="Y225" s="495"/>
      <c r="Z225" s="495"/>
      <c r="AA225" s="495"/>
      <c r="AB225" s="495"/>
      <c r="AC225" s="495"/>
      <c r="AD225" s="637">
        <v>16.3</v>
      </c>
      <c r="AE225" s="679">
        <v>17</v>
      </c>
      <c r="AF225" s="679">
        <v>18</v>
      </c>
      <c r="AG225" s="679">
        <v>18</v>
      </c>
      <c r="AH225" s="679">
        <v>18</v>
      </c>
      <c r="AI225" s="495"/>
      <c r="AJ225" s="495"/>
      <c r="AK225" s="495"/>
      <c r="AL225" s="495"/>
      <c r="AM225" s="495"/>
      <c r="AN225" s="495"/>
      <c r="AO225" s="495"/>
      <c r="AP225" s="495"/>
      <c r="AQ225" s="495"/>
      <c r="AR225" s="495"/>
      <c r="AS225" s="495"/>
    </row>
    <row r="226" spans="1:45" ht="15" customHeight="1" x14ac:dyDescent="0.3">
      <c r="A226" s="197"/>
      <c r="B226" s="197"/>
      <c r="C226" s="241"/>
      <c r="D226" s="242"/>
      <c r="E226" s="247" t="str">
        <f xml:space="preserve"> Inputs_Con!E$150</f>
        <v>Convert  lb / tonnes</v>
      </c>
      <c r="F226" s="680">
        <f xml:space="preserve"> Inputs_Con!F$150</f>
        <v>2204.62</v>
      </c>
      <c r="G226" s="247" t="str">
        <f xml:space="preserve"> Inputs_Con!G$150</f>
        <v>lb / tonne</v>
      </c>
      <c r="H226" s="183"/>
      <c r="I226" s="183"/>
      <c r="J226" s="246"/>
      <c r="K226" s="423"/>
      <c r="L226" s="423"/>
      <c r="M226" s="423"/>
      <c r="N226" s="423"/>
      <c r="O226" s="423"/>
      <c r="P226" s="423"/>
      <c r="Q226" s="423"/>
      <c r="R226" s="423"/>
      <c r="S226" s="423"/>
      <c r="T226" s="423"/>
      <c r="U226" s="423"/>
      <c r="V226" s="423"/>
      <c r="W226" s="423"/>
      <c r="X226" s="423"/>
      <c r="Y226" s="423"/>
      <c r="Z226" s="423"/>
      <c r="AA226" s="423"/>
      <c r="AB226" s="423"/>
      <c r="AC226" s="423"/>
      <c r="AD226" s="436" t="s">
        <v>644</v>
      </c>
      <c r="AE226" s="423"/>
      <c r="AF226" s="423"/>
      <c r="AG226" s="423"/>
      <c r="AH226" s="423"/>
      <c r="AI226" s="423"/>
      <c r="AJ226" s="423"/>
      <c r="AK226" s="423"/>
      <c r="AL226" s="423"/>
      <c r="AM226" s="423"/>
      <c r="AN226" s="423"/>
      <c r="AO226" s="423"/>
      <c r="AP226" s="423"/>
      <c r="AQ226" s="423"/>
      <c r="AR226" s="423"/>
      <c r="AS226" s="423"/>
    </row>
    <row r="227" spans="1:45" ht="15" customHeight="1" x14ac:dyDescent="0.3">
      <c r="A227" s="197"/>
      <c r="B227" s="197"/>
      <c r="C227" s="241"/>
      <c r="D227" s="242"/>
      <c r="E227" s="184"/>
      <c r="F227" s="184"/>
      <c r="G227" s="184"/>
      <c r="H227" s="183"/>
      <c r="I227" s="183"/>
      <c r="J227" s="246"/>
      <c r="K227" s="198"/>
      <c r="L227" s="198"/>
      <c r="M227" s="198"/>
      <c r="N227" s="198"/>
      <c r="O227" s="198"/>
      <c r="P227" s="198"/>
      <c r="Q227" s="198"/>
      <c r="R227" s="198"/>
      <c r="S227" s="198"/>
      <c r="T227" s="198"/>
      <c r="U227" s="198"/>
      <c r="V227" s="198"/>
      <c r="W227" s="198"/>
      <c r="X227" s="198"/>
      <c r="Y227" s="198"/>
      <c r="Z227" s="198"/>
      <c r="AA227" s="198"/>
      <c r="AB227" s="198"/>
      <c r="AC227" s="198"/>
      <c r="AD227" s="198"/>
      <c r="AE227" s="198"/>
      <c r="AF227" s="198"/>
      <c r="AG227" s="198"/>
      <c r="AH227" s="198"/>
      <c r="AI227" s="198"/>
      <c r="AJ227" s="198"/>
      <c r="AK227" s="198"/>
      <c r="AL227" s="198"/>
      <c r="AM227" s="198"/>
      <c r="AN227" s="198"/>
      <c r="AO227" s="198"/>
      <c r="AP227" s="198"/>
      <c r="AQ227" s="198"/>
      <c r="AR227" s="198"/>
      <c r="AS227" s="198"/>
    </row>
    <row r="228" spans="1:45" ht="15" customHeight="1" x14ac:dyDescent="0.3">
      <c r="A228" s="197"/>
      <c r="B228" s="197"/>
      <c r="C228" s="241"/>
      <c r="D228" s="242"/>
      <c r="E228" s="247" t="str">
        <f xml:space="preserve"> Inputs_Con!E$51</f>
        <v>Constant real terms Co price forecast</v>
      </c>
      <c r="F228" s="681">
        <f xml:space="preserve"> Inputs_Con!F$51</f>
        <v>35000</v>
      </c>
      <c r="G228" s="247" t="str">
        <f xml:space="preserve"> Inputs_Con!G$51</f>
        <v>$ / tonne</v>
      </c>
      <c r="H228" s="183"/>
      <c r="I228" s="183"/>
      <c r="J228" s="246"/>
      <c r="K228" s="198"/>
      <c r="L228" s="198"/>
      <c r="M228" s="198"/>
      <c r="N228" s="198"/>
      <c r="O228" s="198"/>
      <c r="P228" s="198"/>
      <c r="Q228" s="198"/>
      <c r="R228" s="198"/>
      <c r="S228" s="198"/>
      <c r="T228" s="198"/>
      <c r="U228" s="198"/>
      <c r="V228" s="198"/>
      <c r="W228" s="198"/>
      <c r="X228" s="198"/>
      <c r="Y228" s="198"/>
      <c r="Z228" s="198"/>
      <c r="AA228" s="198"/>
      <c r="AB228" s="198"/>
      <c r="AC228" s="198"/>
      <c r="AD228" s="198"/>
      <c r="AE228" s="198"/>
      <c r="AF228" s="198"/>
      <c r="AG228" s="198"/>
      <c r="AH228" s="198"/>
      <c r="AI228" s="198"/>
      <c r="AJ228" s="198"/>
      <c r="AK228" s="198"/>
      <c r="AL228" s="198"/>
      <c r="AM228" s="198"/>
      <c r="AN228" s="198"/>
      <c r="AO228" s="198"/>
      <c r="AP228" s="198"/>
      <c r="AQ228" s="198"/>
      <c r="AR228" s="198"/>
      <c r="AS228" s="198"/>
    </row>
    <row r="229" spans="1:45" ht="15" customHeight="1" x14ac:dyDescent="0.3">
      <c r="A229" s="197"/>
      <c r="B229" s="197"/>
      <c r="C229" s="241"/>
      <c r="D229" s="242"/>
      <c r="E229" s="21" t="str">
        <f xml:space="preserve"> E$222</f>
        <v>Cobalt price as multiple of Cu price</v>
      </c>
      <c r="F229" s="682">
        <f xml:space="preserve"> F$222</f>
        <v>6.1058814688321466</v>
      </c>
      <c r="G229" s="21" t="str">
        <f xml:space="preserve"> G$222</f>
        <v>factor</v>
      </c>
      <c r="H229" s="183"/>
      <c r="I229" s="183"/>
      <c r="J229" s="246"/>
      <c r="K229" s="198"/>
      <c r="L229" s="198"/>
      <c r="M229" s="198"/>
      <c r="N229" s="198"/>
      <c r="O229" s="198"/>
      <c r="P229" s="198"/>
      <c r="Q229" s="198"/>
      <c r="R229" s="198"/>
      <c r="S229" s="198"/>
      <c r="T229" s="198"/>
      <c r="U229" s="198"/>
      <c r="V229" s="198"/>
      <c r="W229" s="198"/>
      <c r="X229" s="198"/>
      <c r="Y229" s="198"/>
      <c r="Z229" s="198"/>
      <c r="AA229" s="198"/>
      <c r="AB229" s="198"/>
      <c r="AC229" s="198"/>
      <c r="AD229" s="198"/>
      <c r="AE229" s="198"/>
      <c r="AF229" s="198"/>
      <c r="AG229" s="198"/>
      <c r="AH229" s="198"/>
      <c r="AI229" s="198"/>
      <c r="AJ229" s="198"/>
      <c r="AK229" s="198"/>
      <c r="AL229" s="198"/>
      <c r="AM229" s="198"/>
      <c r="AN229" s="198"/>
      <c r="AO229" s="198"/>
      <c r="AP229" s="198"/>
      <c r="AQ229" s="198"/>
      <c r="AR229" s="198"/>
      <c r="AS229" s="198"/>
    </row>
    <row r="230" spans="1:45" ht="15" customHeight="1" x14ac:dyDescent="0.3">
      <c r="A230" s="197"/>
      <c r="B230" s="197"/>
      <c r="C230" s="241"/>
      <c r="D230" s="242"/>
      <c r="E230" s="184"/>
      <c r="F230" s="184"/>
      <c r="G230" s="184"/>
      <c r="H230" s="183"/>
      <c r="I230" s="183"/>
      <c r="J230" s="246"/>
      <c r="K230" s="198"/>
      <c r="L230" s="198"/>
      <c r="M230" s="198"/>
      <c r="N230" s="198"/>
      <c r="O230" s="198"/>
      <c r="P230" s="198"/>
      <c r="Q230" s="198"/>
      <c r="R230" s="198"/>
      <c r="S230" s="198"/>
      <c r="T230" s="198"/>
      <c r="U230" s="198"/>
      <c r="V230" s="198"/>
      <c r="W230" s="198"/>
      <c r="X230" s="198"/>
      <c r="Y230" s="198"/>
      <c r="Z230" s="198"/>
      <c r="AA230" s="198"/>
      <c r="AB230" s="198"/>
      <c r="AC230" s="198"/>
      <c r="AD230" s="198"/>
      <c r="AE230" s="198"/>
      <c r="AF230" s="198"/>
      <c r="AG230" s="198"/>
      <c r="AH230" s="198"/>
      <c r="AI230" s="198"/>
      <c r="AJ230" s="198"/>
      <c r="AK230" s="198"/>
      <c r="AL230" s="198"/>
      <c r="AM230" s="198"/>
      <c r="AN230" s="198"/>
      <c r="AO230" s="198"/>
      <c r="AP230" s="198"/>
      <c r="AQ230" s="198"/>
      <c r="AR230" s="198"/>
      <c r="AS230" s="198"/>
    </row>
    <row r="231" spans="1:45" ht="15" customHeight="1" x14ac:dyDescent="0.3">
      <c r="A231" s="398"/>
      <c r="B231" s="398"/>
      <c r="C231" s="421"/>
      <c r="D231" s="423"/>
      <c r="E231" s="641"/>
      <c r="F231" s="641" t="s">
        <v>606</v>
      </c>
      <c r="G231" s="641"/>
      <c r="H231" s="641"/>
      <c r="I231" s="641"/>
      <c r="J231" s="641"/>
      <c r="K231" s="641"/>
      <c r="L231" s="641"/>
      <c r="M231" s="641"/>
      <c r="N231" s="641"/>
      <c r="O231" s="641"/>
      <c r="P231" s="641"/>
      <c r="Q231" s="641"/>
      <c r="R231" s="641"/>
      <c r="S231" s="641"/>
      <c r="T231" s="641"/>
      <c r="U231" s="641"/>
      <c r="V231" s="641"/>
      <c r="W231" s="641"/>
      <c r="X231" s="641"/>
      <c r="Y231" s="641"/>
      <c r="Z231" s="641"/>
      <c r="AA231" s="641"/>
      <c r="AB231" s="641"/>
      <c r="AC231" s="641"/>
      <c r="AD231" s="641"/>
      <c r="AE231" s="641"/>
      <c r="AF231" s="641"/>
      <c r="AG231" s="641"/>
      <c r="AH231" s="641"/>
      <c r="AI231" s="641"/>
      <c r="AJ231" s="641"/>
      <c r="AK231" s="641"/>
      <c r="AL231" s="641"/>
      <c r="AM231" s="641"/>
      <c r="AN231" s="641"/>
      <c r="AO231" s="641"/>
      <c r="AP231" s="641"/>
      <c r="AQ231" s="641"/>
      <c r="AR231" s="641"/>
      <c r="AS231" s="641"/>
    </row>
    <row r="232" spans="1:45" ht="15" customHeight="1" x14ac:dyDescent="0.3">
      <c r="A232" s="197"/>
      <c r="B232" s="197"/>
      <c r="C232" s="241"/>
      <c r="D232" s="242"/>
      <c r="E232" s="88" t="str">
        <f>"Co forecast: " &amp; F232</f>
        <v>Co forecast: Fut_17Apr25</v>
      </c>
      <c r="F232" s="636" t="s">
        <v>601</v>
      </c>
      <c r="G232" s="88" t="s">
        <v>321</v>
      </c>
      <c r="H232" s="636" t="s">
        <v>603</v>
      </c>
      <c r="I232" s="636"/>
      <c r="J232" s="246"/>
      <c r="K232" s="636">
        <v>0</v>
      </c>
      <c r="L232" s="636">
        <v>0</v>
      </c>
      <c r="M232" s="636">
        <v>0</v>
      </c>
      <c r="N232" s="636">
        <v>0</v>
      </c>
      <c r="O232" s="636">
        <v>0</v>
      </c>
      <c r="P232" s="636">
        <v>0</v>
      </c>
      <c r="Q232" s="636">
        <v>0</v>
      </c>
      <c r="R232" s="636">
        <v>0</v>
      </c>
      <c r="S232" s="636">
        <v>0</v>
      </c>
      <c r="T232" s="636">
        <v>0</v>
      </c>
      <c r="U232" s="636">
        <v>0</v>
      </c>
      <c r="V232" s="636">
        <v>0</v>
      </c>
      <c r="W232" s="636">
        <v>0</v>
      </c>
      <c r="X232" s="636">
        <v>0</v>
      </c>
      <c r="Y232" s="636">
        <v>0</v>
      </c>
      <c r="Z232" s="636">
        <v>0</v>
      </c>
      <c r="AA232" s="636">
        <v>0</v>
      </c>
      <c r="AB232" s="636">
        <v>0</v>
      </c>
      <c r="AC232" s="636">
        <v>0</v>
      </c>
      <c r="AD232" s="636">
        <f xml:space="preserve"> AD225 * $F226</f>
        <v>35935.305999999997</v>
      </c>
      <c r="AE232" s="636">
        <f xml:space="preserve"> AE225 * $F226</f>
        <v>37478.54</v>
      </c>
      <c r="AF232" s="636">
        <f xml:space="preserve"> AF225 * $F226</f>
        <v>39683.159999999996</v>
      </c>
      <c r="AG232" s="636">
        <f xml:space="preserve"> AG225 * $F226</f>
        <v>39683.159999999996</v>
      </c>
      <c r="AH232" s="636">
        <f xml:space="preserve"> AH225 * $F226</f>
        <v>39683.159999999996</v>
      </c>
      <c r="AI232" s="636"/>
      <c r="AJ232" s="636"/>
      <c r="AK232" s="636"/>
      <c r="AL232" s="636"/>
      <c r="AM232" s="636"/>
      <c r="AN232" s="636"/>
      <c r="AO232" s="636"/>
      <c r="AP232" s="636"/>
      <c r="AQ232" s="636"/>
      <c r="AR232" s="636"/>
      <c r="AS232" s="636"/>
    </row>
    <row r="233" spans="1:45" ht="15" customHeight="1" x14ac:dyDescent="0.3">
      <c r="A233" s="197"/>
      <c r="B233" s="197"/>
      <c r="C233" s="241"/>
      <c r="D233" s="242"/>
      <c r="E233" s="88" t="str">
        <f>"Co forecast: " &amp; F233</f>
        <v>Co forecast: IMF_WEO</v>
      </c>
      <c r="F233" s="636" t="s">
        <v>500</v>
      </c>
      <c r="G233" s="88" t="s">
        <v>321</v>
      </c>
      <c r="H233" s="636" t="s">
        <v>603</v>
      </c>
      <c r="I233" s="636"/>
      <c r="J233" s="246"/>
      <c r="K233" s="636"/>
      <c r="L233" s="636"/>
      <c r="M233" s="636"/>
      <c r="N233" s="636"/>
      <c r="O233" s="636"/>
      <c r="P233" s="636"/>
      <c r="Q233" s="636"/>
      <c r="R233" s="636"/>
      <c r="S233" s="636"/>
      <c r="T233" s="636"/>
      <c r="U233" s="636"/>
      <c r="V233" s="636"/>
      <c r="W233" s="636"/>
      <c r="X233" s="636"/>
      <c r="Y233" s="636"/>
      <c r="Z233" s="636"/>
      <c r="AA233" s="636"/>
      <c r="AB233" s="636"/>
      <c r="AC233" s="636"/>
      <c r="AD233" s="636">
        <v>40000</v>
      </c>
      <c r="AE233" s="636">
        <v>40000</v>
      </c>
      <c r="AF233" s="636">
        <v>40000</v>
      </c>
      <c r="AG233" s="636">
        <v>40000</v>
      </c>
      <c r="AH233" s="636">
        <v>40000</v>
      </c>
      <c r="AI233" s="636"/>
      <c r="AJ233" s="636"/>
      <c r="AK233" s="636"/>
      <c r="AL233" s="636"/>
      <c r="AM233" s="636"/>
      <c r="AN233" s="636"/>
      <c r="AO233" s="636"/>
      <c r="AP233" s="636"/>
      <c r="AQ233" s="636"/>
      <c r="AR233" s="636"/>
      <c r="AS233" s="636"/>
    </row>
    <row r="234" spans="1:45" ht="15" customHeight="1" x14ac:dyDescent="0.3">
      <c r="A234" s="197"/>
      <c r="B234" s="197"/>
      <c r="C234" s="241"/>
      <c r="D234" s="242"/>
      <c r="E234" s="88" t="str">
        <f>"Co forecast: " &amp; F234</f>
        <v>Co forecast: ConstReal</v>
      </c>
      <c r="F234" s="636" t="s">
        <v>607</v>
      </c>
      <c r="G234" s="88" t="s">
        <v>321</v>
      </c>
      <c r="H234" s="636" t="s">
        <v>608</v>
      </c>
      <c r="I234" s="636"/>
      <c r="J234" s="246"/>
      <c r="K234" s="636">
        <v>0</v>
      </c>
      <c r="L234" s="636">
        <v>0</v>
      </c>
      <c r="M234" s="636">
        <v>0</v>
      </c>
      <c r="N234" s="636">
        <v>0</v>
      </c>
      <c r="O234" s="636">
        <v>0</v>
      </c>
      <c r="P234" s="636">
        <v>0</v>
      </c>
      <c r="Q234" s="636">
        <v>0</v>
      </c>
      <c r="R234" s="636">
        <v>0</v>
      </c>
      <c r="S234" s="636">
        <v>0</v>
      </c>
      <c r="T234" s="636">
        <v>0</v>
      </c>
      <c r="U234" s="636">
        <v>0</v>
      </c>
      <c r="V234" s="636">
        <v>0</v>
      </c>
      <c r="W234" s="636">
        <v>0</v>
      </c>
      <c r="X234" s="636">
        <v>0</v>
      </c>
      <c r="Y234" s="636">
        <v>0</v>
      </c>
      <c r="Z234" s="636">
        <v>0</v>
      </c>
      <c r="AA234" s="636">
        <v>0</v>
      </c>
      <c r="AB234" s="636">
        <v>0</v>
      </c>
      <c r="AC234" s="636">
        <v>0</v>
      </c>
      <c r="AD234" s="642">
        <f xml:space="preserve"> Inputs_Con!F$51</f>
        <v>35000</v>
      </c>
      <c r="AE234" s="642">
        <f xml:space="preserve"> Inputs_Con!F$51</f>
        <v>35000</v>
      </c>
      <c r="AF234" s="642">
        <f xml:space="preserve"> Inputs_Con!F$51</f>
        <v>35000</v>
      </c>
      <c r="AG234" s="642">
        <f xml:space="preserve"> Inputs_Con!F$51</f>
        <v>35000</v>
      </c>
      <c r="AH234" s="642">
        <f xml:space="preserve"> Inputs_Con!F$51</f>
        <v>35000</v>
      </c>
      <c r="AI234" s="636"/>
      <c r="AJ234" s="636"/>
      <c r="AK234" s="636"/>
      <c r="AL234" s="636"/>
      <c r="AM234" s="636"/>
      <c r="AN234" s="636"/>
      <c r="AO234" s="636"/>
      <c r="AP234" s="636"/>
      <c r="AQ234" s="636"/>
      <c r="AR234" s="636"/>
      <c r="AS234" s="636"/>
    </row>
    <row r="235" spans="1:45" ht="15" customHeight="1" x14ac:dyDescent="0.3">
      <c r="A235" s="197"/>
      <c r="B235" s="197"/>
      <c r="C235" s="241"/>
      <c r="D235" s="242"/>
      <c r="E235" s="88" t="str">
        <f>"Co forecast: " &amp; F235</f>
        <v>Co forecast: Downside</v>
      </c>
      <c r="F235" s="495" t="s">
        <v>1030</v>
      </c>
      <c r="G235" s="423" t="s">
        <v>321</v>
      </c>
      <c r="H235" s="636" t="s">
        <v>608</v>
      </c>
      <c r="I235" s="636"/>
      <c r="J235" s="246"/>
      <c r="K235" s="642">
        <v>0</v>
      </c>
      <c r="L235" s="642">
        <v>0</v>
      </c>
      <c r="M235" s="642">
        <v>0</v>
      </c>
      <c r="N235" s="642">
        <v>0</v>
      </c>
      <c r="O235" s="642">
        <v>0</v>
      </c>
      <c r="P235" s="642">
        <v>0</v>
      </c>
      <c r="Q235" s="642">
        <v>0</v>
      </c>
      <c r="R235" s="642">
        <v>0</v>
      </c>
      <c r="S235" s="642">
        <v>0</v>
      </c>
      <c r="T235" s="642">
        <v>0</v>
      </c>
      <c r="U235" s="642">
        <v>0</v>
      </c>
      <c r="V235" s="642">
        <v>0</v>
      </c>
      <c r="W235" s="642">
        <v>0</v>
      </c>
      <c r="X235" s="642">
        <v>0</v>
      </c>
      <c r="Y235" s="642">
        <v>0</v>
      </c>
      <c r="Z235" s="642">
        <v>0</v>
      </c>
      <c r="AA235" s="642">
        <v>0</v>
      </c>
      <c r="AB235" s="642">
        <v>0</v>
      </c>
      <c r="AC235" s="642">
        <v>0</v>
      </c>
      <c r="AD235" s="642">
        <v>40000</v>
      </c>
      <c r="AE235" s="642">
        <v>35000</v>
      </c>
      <c r="AF235" s="642">
        <v>30000</v>
      </c>
      <c r="AG235" s="642">
        <v>25000</v>
      </c>
      <c r="AH235" s="642">
        <v>20000</v>
      </c>
      <c r="AI235" s="642"/>
      <c r="AJ235" s="642"/>
      <c r="AK235" s="642"/>
      <c r="AL235" s="642"/>
      <c r="AM235" s="642"/>
      <c r="AN235" s="642"/>
      <c r="AO235" s="642"/>
      <c r="AP235" s="642"/>
      <c r="AQ235" s="642"/>
      <c r="AR235" s="642"/>
      <c r="AS235" s="642"/>
    </row>
    <row r="236" spans="1:45" ht="15" customHeight="1" x14ac:dyDescent="0.3">
      <c r="A236" s="197"/>
      <c r="B236" s="197"/>
      <c r="C236" s="241"/>
      <c r="D236" s="242"/>
      <c r="E236" s="88" t="str">
        <f>"Co forecast: " &amp; F236</f>
        <v>Co forecast: Other3</v>
      </c>
      <c r="F236" s="495" t="s">
        <v>610</v>
      </c>
      <c r="G236" s="423" t="s">
        <v>321</v>
      </c>
      <c r="H236" s="636" t="s">
        <v>608</v>
      </c>
      <c r="I236" s="636"/>
      <c r="J236" s="246"/>
      <c r="K236" s="642">
        <v>0</v>
      </c>
      <c r="L236" s="642">
        <v>0</v>
      </c>
      <c r="M236" s="642">
        <v>0</v>
      </c>
      <c r="N236" s="642">
        <v>0</v>
      </c>
      <c r="O236" s="642">
        <v>0</v>
      </c>
      <c r="P236" s="642">
        <v>0</v>
      </c>
      <c r="Q236" s="642">
        <v>0</v>
      </c>
      <c r="R236" s="642">
        <v>0</v>
      </c>
      <c r="S236" s="642">
        <v>0</v>
      </c>
      <c r="T236" s="642">
        <v>0</v>
      </c>
      <c r="U236" s="642">
        <v>0</v>
      </c>
      <c r="V236" s="642">
        <v>0</v>
      </c>
      <c r="W236" s="642">
        <v>0</v>
      </c>
      <c r="X236" s="642">
        <v>0</v>
      </c>
      <c r="Y236" s="642">
        <v>0</v>
      </c>
      <c r="Z236" s="642">
        <v>0</v>
      </c>
      <c r="AA236" s="642">
        <v>0</v>
      </c>
      <c r="AB236" s="642">
        <v>0</v>
      </c>
      <c r="AC236" s="642">
        <v>0</v>
      </c>
      <c r="AD236" s="642">
        <v>25000</v>
      </c>
      <c r="AE236" s="642">
        <v>25000</v>
      </c>
      <c r="AF236" s="642">
        <v>25000</v>
      </c>
      <c r="AG236" s="642">
        <v>25000</v>
      </c>
      <c r="AH236" s="642">
        <v>25000</v>
      </c>
      <c r="AI236" s="642"/>
      <c r="AJ236" s="642"/>
      <c r="AK236" s="642"/>
      <c r="AL236" s="642"/>
      <c r="AM236" s="642"/>
      <c r="AN236" s="642"/>
      <c r="AO236" s="642"/>
      <c r="AP236" s="642"/>
      <c r="AQ236" s="642"/>
      <c r="AR236" s="642"/>
      <c r="AS236" s="642"/>
    </row>
    <row r="237" spans="1:45" ht="15" customHeight="1" x14ac:dyDescent="0.3">
      <c r="A237" s="398"/>
      <c r="B237" s="398"/>
      <c r="C237" s="421"/>
      <c r="D237" s="423"/>
      <c r="E237" s="641" t="str">
        <f>"Cu forecast: " &amp; F237</f>
        <v>Cu forecast: last</v>
      </c>
      <c r="F237" s="641" t="s">
        <v>611</v>
      </c>
      <c r="G237" s="641"/>
      <c r="H237" s="444"/>
      <c r="I237" s="444"/>
      <c r="J237" s="641"/>
      <c r="K237" s="643"/>
      <c r="L237" s="643"/>
      <c r="M237" s="643"/>
      <c r="N237" s="643"/>
      <c r="O237" s="643"/>
      <c r="P237" s="643"/>
      <c r="Q237" s="643"/>
      <c r="R237" s="643"/>
      <c r="S237" s="643"/>
      <c r="T237" s="643"/>
      <c r="U237" s="643"/>
      <c r="V237" s="643"/>
      <c r="W237" s="643"/>
      <c r="X237" s="643"/>
      <c r="Y237" s="643"/>
      <c r="Z237" s="643"/>
      <c r="AA237" s="643"/>
      <c r="AB237" s="643"/>
      <c r="AC237" s="643"/>
      <c r="AD237" s="643"/>
      <c r="AE237" s="643"/>
      <c r="AF237" s="643"/>
      <c r="AG237" s="643"/>
      <c r="AH237" s="643"/>
      <c r="AI237" s="643"/>
      <c r="AJ237" s="643"/>
      <c r="AK237" s="643"/>
      <c r="AL237" s="643"/>
      <c r="AM237" s="643"/>
      <c r="AN237" s="643"/>
      <c r="AO237" s="643"/>
      <c r="AP237" s="643"/>
      <c r="AQ237" s="643"/>
      <c r="AR237" s="643"/>
      <c r="AS237" s="643"/>
    </row>
    <row r="238" spans="1:45" ht="15" customHeight="1" x14ac:dyDescent="0.3">
      <c r="A238" s="197"/>
      <c r="B238" s="197"/>
      <c r="C238" s="241"/>
      <c r="D238" s="242"/>
      <c r="E238" s="424"/>
      <c r="F238" s="654"/>
      <c r="G238" s="654"/>
      <c r="H238" s="424"/>
      <c r="I238" s="424"/>
      <c r="J238" s="246"/>
      <c r="S238" s="198"/>
      <c r="T238" s="198"/>
      <c r="U238" s="198"/>
      <c r="V238" s="198"/>
      <c r="W238" s="198"/>
      <c r="X238" s="198"/>
      <c r="Y238" s="198"/>
      <c r="Z238" s="198"/>
      <c r="AA238" s="198"/>
      <c r="AB238" s="198"/>
      <c r="AC238" s="198"/>
      <c r="AD238" s="198"/>
      <c r="AE238" s="198"/>
      <c r="AF238" s="198"/>
      <c r="AG238" s="198"/>
      <c r="AH238" s="198"/>
      <c r="AI238" s="198"/>
      <c r="AJ238" s="198"/>
      <c r="AK238" s="198"/>
      <c r="AL238" s="198"/>
      <c r="AM238" s="198"/>
      <c r="AN238" s="198"/>
      <c r="AO238" s="198"/>
      <c r="AP238" s="198"/>
      <c r="AQ238" s="198"/>
      <c r="AR238" s="198"/>
      <c r="AS238" s="198"/>
    </row>
    <row r="239" spans="1:45" ht="15" customHeight="1" x14ac:dyDescent="0.3">
      <c r="A239" s="197"/>
      <c r="B239" s="197"/>
      <c r="C239" s="241"/>
      <c r="D239" s="242"/>
      <c r="E239" s="423" t="s">
        <v>612</v>
      </c>
      <c r="F239" s="1035" t="str">
        <f xml:space="preserve"> Inputs_Con!F$60</f>
        <v>nominal</v>
      </c>
      <c r="G239" s="497" t="str">
        <f xml:space="preserve"> Inputs_Con!G$60</f>
        <v>option</v>
      </c>
      <c r="H239" s="424"/>
      <c r="I239" s="424"/>
      <c r="J239" s="246"/>
      <c r="S239" s="198"/>
      <c r="T239" s="198"/>
      <c r="U239" s="198"/>
      <c r="V239" s="198"/>
      <c r="W239" s="198"/>
      <c r="X239" s="198"/>
      <c r="Y239" s="198"/>
      <c r="Z239" s="198"/>
      <c r="AA239" s="198"/>
      <c r="AB239" s="198"/>
      <c r="AC239" s="198"/>
      <c r="AD239" s="198"/>
      <c r="AE239" s="198"/>
      <c r="AF239" s="198"/>
      <c r="AG239" s="198"/>
      <c r="AH239" s="198"/>
      <c r="AI239" s="198"/>
      <c r="AJ239" s="198"/>
      <c r="AK239" s="198"/>
      <c r="AL239" s="198"/>
      <c r="AM239" s="198"/>
      <c r="AN239" s="198"/>
      <c r="AO239" s="198"/>
      <c r="AP239" s="198"/>
      <c r="AQ239" s="198"/>
      <c r="AR239" s="198"/>
      <c r="AS239" s="198"/>
    </row>
    <row r="240" spans="1:45" ht="15" customHeight="1" x14ac:dyDescent="0.3">
      <c r="A240" s="197"/>
      <c r="B240" s="197"/>
      <c r="C240" s="241"/>
      <c r="D240" s="242"/>
      <c r="E240" s="423" t="s">
        <v>612</v>
      </c>
      <c r="F240" s="1035" t="str">
        <f xml:space="preserve"> Inputs_Con!F$61</f>
        <v>real</v>
      </c>
      <c r="G240" s="497" t="str">
        <f xml:space="preserve"> Inputs_Con!G$61</f>
        <v>option</v>
      </c>
      <c r="H240" s="424"/>
      <c r="I240" s="424"/>
      <c r="J240" s="246"/>
      <c r="S240" s="198"/>
      <c r="T240" s="198"/>
      <c r="U240" s="198"/>
      <c r="V240" s="198"/>
      <c r="W240" s="198"/>
      <c r="X240" s="198"/>
      <c r="Y240" s="198"/>
      <c r="Z240" s="198"/>
      <c r="AA240" s="198"/>
      <c r="AB240" s="198"/>
      <c r="AC240" s="198"/>
      <c r="AD240" s="198"/>
      <c r="AE240" s="198"/>
      <c r="AF240" s="198"/>
      <c r="AG240" s="198"/>
      <c r="AH240" s="198"/>
      <c r="AI240" s="198"/>
      <c r="AJ240" s="198"/>
      <c r="AK240" s="198"/>
      <c r="AL240" s="198"/>
      <c r="AM240" s="198"/>
      <c r="AN240" s="198"/>
      <c r="AO240" s="198"/>
      <c r="AP240" s="198"/>
      <c r="AQ240" s="198"/>
      <c r="AR240" s="198"/>
      <c r="AS240" s="198"/>
    </row>
    <row r="241" spans="1:45" ht="15" customHeight="1" x14ac:dyDescent="0.3">
      <c r="A241" s="197"/>
      <c r="B241" s="197"/>
      <c r="C241" s="241"/>
      <c r="D241" s="242"/>
      <c r="E241" s="424"/>
      <c r="F241" s="654"/>
      <c r="G241" s="654"/>
      <c r="H241" s="424"/>
      <c r="I241" s="424"/>
      <c r="J241" s="246"/>
      <c r="S241" s="198"/>
      <c r="T241" s="198"/>
      <c r="U241" s="198"/>
      <c r="V241" s="198"/>
      <c r="W241" s="198"/>
      <c r="X241" s="198"/>
      <c r="Y241" s="198"/>
      <c r="Z241" s="198"/>
      <c r="AA241" s="198"/>
      <c r="AB241" s="198"/>
      <c r="AC241" s="198"/>
      <c r="AD241" s="198"/>
      <c r="AE241" s="198"/>
      <c r="AF241" s="198"/>
      <c r="AG241" s="198"/>
      <c r="AH241" s="198"/>
      <c r="AI241" s="198"/>
      <c r="AJ241" s="198"/>
      <c r="AK241" s="198"/>
      <c r="AL241" s="198"/>
      <c r="AM241" s="198"/>
      <c r="AN241" s="198"/>
      <c r="AO241" s="198"/>
      <c r="AP241" s="198"/>
      <c r="AQ241" s="198"/>
      <c r="AR241" s="198"/>
      <c r="AS241" s="198"/>
    </row>
    <row r="242" spans="1:45" ht="15" customHeight="1" x14ac:dyDescent="0.3">
      <c r="A242" s="197"/>
      <c r="B242" s="197"/>
      <c r="C242" s="241"/>
      <c r="D242" s="242"/>
      <c r="E242" s="1016" t="str">
        <f xml:space="preserve"> 'T&amp;E'!E$14</f>
        <v>Base year for real terms forecast</v>
      </c>
      <c r="F242" s="1002">
        <f xml:space="preserve"> 'T&amp;E'!F$14</f>
        <v>2023</v>
      </c>
      <c r="G242" s="1016" t="str">
        <f xml:space="preserve"> 'T&amp;E'!G$14</f>
        <v>year</v>
      </c>
      <c r="H242" s="424"/>
      <c r="I242" s="424"/>
      <c r="J242" s="246"/>
      <c r="S242" s="198"/>
      <c r="T242" s="198"/>
      <c r="U242" s="198"/>
      <c r="V242" s="198"/>
      <c r="W242" s="198"/>
      <c r="X242" s="198"/>
      <c r="Y242" s="198"/>
      <c r="Z242" s="198"/>
      <c r="AA242" s="198"/>
      <c r="AB242" s="198"/>
      <c r="AC242" s="198"/>
      <c r="AD242" s="198"/>
      <c r="AE242" s="198"/>
      <c r="AF242" s="198"/>
      <c r="AG242" s="198"/>
      <c r="AH242" s="198"/>
      <c r="AI242" s="198"/>
      <c r="AJ242" s="198"/>
      <c r="AK242" s="198"/>
      <c r="AL242" s="198"/>
      <c r="AM242" s="198"/>
      <c r="AN242" s="198"/>
      <c r="AO242" s="198"/>
      <c r="AP242" s="198"/>
      <c r="AQ242" s="198"/>
      <c r="AR242" s="198"/>
      <c r="AS242" s="198"/>
    </row>
    <row r="243" spans="1:45" ht="15" customHeight="1" x14ac:dyDescent="0.3">
      <c r="A243" s="197"/>
      <c r="B243" s="197"/>
      <c r="C243" s="241"/>
      <c r="D243" s="242"/>
      <c r="E243" s="1016" t="str">
        <f xml:space="preserve"> 'T&amp;E'!E$15</f>
        <v>Forecast prices start from</v>
      </c>
      <c r="F243" s="1002">
        <f xml:space="preserve"> 'T&amp;E'!F$15</f>
        <v>2025</v>
      </c>
      <c r="G243" s="1016" t="str">
        <f xml:space="preserve"> 'T&amp;E'!G$15</f>
        <v>year</v>
      </c>
      <c r="H243" s="424"/>
      <c r="I243" s="424"/>
      <c r="J243" s="246"/>
      <c r="S243" s="198"/>
      <c r="T243" s="198"/>
      <c r="U243" s="198"/>
      <c r="V243" s="198"/>
      <c r="W243" s="198"/>
      <c r="X243" s="198"/>
      <c r="Y243" s="198"/>
      <c r="Z243" s="198"/>
      <c r="AA243" s="198"/>
      <c r="AB243" s="198"/>
      <c r="AC243" s="198"/>
      <c r="AD243" s="198"/>
      <c r="AE243" s="198"/>
      <c r="AF243" s="198"/>
      <c r="AG243" s="198"/>
      <c r="AH243" s="198"/>
      <c r="AI243" s="198"/>
      <c r="AJ243" s="198"/>
      <c r="AK243" s="198"/>
      <c r="AL243" s="198"/>
      <c r="AM243" s="198"/>
      <c r="AN243" s="198"/>
      <c r="AO243" s="198"/>
      <c r="AP243" s="198"/>
      <c r="AQ243" s="198"/>
      <c r="AR243" s="198"/>
      <c r="AS243" s="198"/>
    </row>
    <row r="244" spans="1:45" ht="15" customHeight="1" x14ac:dyDescent="0.3">
      <c r="A244" s="197"/>
      <c r="B244" s="197"/>
      <c r="C244" s="241"/>
      <c r="D244" s="242"/>
      <c r="E244" s="424"/>
      <c r="F244" s="654"/>
      <c r="G244" s="654"/>
      <c r="H244" s="424"/>
      <c r="I244" s="424"/>
      <c r="J244" s="246"/>
      <c r="S244" s="198"/>
      <c r="T244" s="198"/>
      <c r="U244" s="198"/>
      <c r="V244" s="198"/>
      <c r="W244" s="198"/>
      <c r="X244" s="198"/>
      <c r="Y244" s="198"/>
      <c r="Z244" s="198"/>
      <c r="AA244" s="198"/>
      <c r="AB244" s="198"/>
      <c r="AC244" s="198"/>
      <c r="AD244" s="198"/>
      <c r="AE244" s="198"/>
      <c r="AF244" s="198"/>
      <c r="AG244" s="198"/>
      <c r="AH244" s="198"/>
      <c r="AI244" s="198"/>
      <c r="AJ244" s="198"/>
      <c r="AK244" s="198"/>
      <c r="AL244" s="198"/>
      <c r="AM244" s="198"/>
      <c r="AN244" s="198"/>
      <c r="AO244" s="198"/>
      <c r="AP244" s="198"/>
      <c r="AQ244" s="198"/>
      <c r="AR244" s="198"/>
      <c r="AS244" s="198"/>
    </row>
    <row r="245" spans="1:45" ht="15" customHeight="1" x14ac:dyDescent="0.3">
      <c r="A245" s="398"/>
      <c r="B245" s="398"/>
      <c r="C245" s="421" t="s">
        <v>615</v>
      </c>
      <c r="D245" s="423"/>
      <c r="E245" s="423"/>
      <c r="F245" s="88"/>
      <c r="G245" s="423"/>
      <c r="H245" s="423"/>
      <c r="I245" s="423" t="s">
        <v>646</v>
      </c>
      <c r="J245" s="423"/>
      <c r="S245" s="426"/>
      <c r="T245" s="423"/>
      <c r="U245" s="423"/>
      <c r="V245" s="423"/>
      <c r="W245" s="423"/>
      <c r="X245" s="423"/>
      <c r="Y245" s="423"/>
      <c r="Z245" s="423"/>
      <c r="AA245" s="423"/>
      <c r="AB245" s="423"/>
      <c r="AC245" s="423"/>
      <c r="AD245" s="423"/>
      <c r="AE245" s="423"/>
      <c r="AF245" s="423"/>
      <c r="AG245" s="423"/>
      <c r="AH245" s="423"/>
      <c r="AI245" s="423"/>
      <c r="AJ245" s="423"/>
      <c r="AK245" s="423"/>
      <c r="AL245" s="423"/>
      <c r="AM245" s="423"/>
      <c r="AN245" s="423"/>
      <c r="AO245" s="423"/>
      <c r="AP245" s="423"/>
      <c r="AQ245" s="423"/>
      <c r="AR245" s="423"/>
      <c r="AS245" s="423"/>
    </row>
    <row r="246" spans="1:45" ht="15" customHeight="1" x14ac:dyDescent="0.3">
      <c r="A246" s="139"/>
      <c r="B246" s="139"/>
      <c r="C246" s="140"/>
      <c r="D246" s="141"/>
      <c r="E246" s="61" t="str">
        <f xml:space="preserve"> 'T&amp;E'!E$9</f>
        <v>Model calendar year</v>
      </c>
      <c r="F246" s="61">
        <f xml:space="preserve"> 'T&amp;E'!F$9</f>
        <v>0</v>
      </c>
      <c r="G246" s="61" t="str">
        <f xml:space="preserve"> 'T&amp;E'!G$9</f>
        <v>year</v>
      </c>
      <c r="H246" s="61">
        <f xml:space="preserve"> 'T&amp;E'!H$9</f>
        <v>0</v>
      </c>
      <c r="I246" s="61">
        <f xml:space="preserve"> 'T&amp;E'!I$9</f>
        <v>0</v>
      </c>
      <c r="J246" s="61">
        <f xml:space="preserve"> 'T&amp;E'!J$9</f>
        <v>0</v>
      </c>
      <c r="K246" s="61">
        <f xml:space="preserve"> 'T&amp;E'!K$9</f>
        <v>2006</v>
      </c>
      <c r="L246" s="61">
        <f xml:space="preserve"> 'T&amp;E'!L$9</f>
        <v>2007</v>
      </c>
      <c r="M246" s="61">
        <f xml:space="preserve"> 'T&amp;E'!M$9</f>
        <v>2008</v>
      </c>
      <c r="N246" s="61">
        <f xml:space="preserve"> 'T&amp;E'!N$9</f>
        <v>2009</v>
      </c>
      <c r="O246" s="61">
        <f xml:space="preserve"> 'T&amp;E'!O$9</f>
        <v>2010</v>
      </c>
      <c r="P246" s="61">
        <f xml:space="preserve"> 'T&amp;E'!P$9</f>
        <v>2011</v>
      </c>
      <c r="Q246" s="61">
        <f xml:space="preserve"> 'T&amp;E'!Q$9</f>
        <v>2012</v>
      </c>
      <c r="R246" s="61">
        <f xml:space="preserve"> 'T&amp;E'!R$9</f>
        <v>2013</v>
      </c>
      <c r="S246" s="61">
        <f xml:space="preserve"> 'T&amp;E'!S$9</f>
        <v>2014</v>
      </c>
      <c r="T246" s="61">
        <f xml:space="preserve"> 'T&amp;E'!T$9</f>
        <v>2015</v>
      </c>
      <c r="U246" s="61">
        <f xml:space="preserve"> 'T&amp;E'!U$9</f>
        <v>2016</v>
      </c>
      <c r="V246" s="61">
        <f xml:space="preserve"> 'T&amp;E'!V$9</f>
        <v>2017</v>
      </c>
      <c r="W246" s="61">
        <f xml:space="preserve"> 'T&amp;E'!W$9</f>
        <v>2018</v>
      </c>
      <c r="X246" s="61">
        <f xml:space="preserve"> 'T&amp;E'!X$9</f>
        <v>2019</v>
      </c>
      <c r="Y246" s="61">
        <f xml:space="preserve"> 'T&amp;E'!Y$9</f>
        <v>2020</v>
      </c>
      <c r="Z246" s="61">
        <f xml:space="preserve"> 'T&amp;E'!Z$9</f>
        <v>2021</v>
      </c>
      <c r="AA246" s="61">
        <f xml:space="preserve"> 'T&amp;E'!AA$9</f>
        <v>2022</v>
      </c>
      <c r="AB246" s="61">
        <f xml:space="preserve"> 'T&amp;E'!AB$9</f>
        <v>2023</v>
      </c>
      <c r="AC246" s="61">
        <f xml:space="preserve"> 'T&amp;E'!AC$9</f>
        <v>2024</v>
      </c>
      <c r="AD246" s="61">
        <f xml:space="preserve"> 'T&amp;E'!AD$9</f>
        <v>2025</v>
      </c>
      <c r="AE246" s="61">
        <f xml:space="preserve"> 'T&amp;E'!AE$9</f>
        <v>2026</v>
      </c>
      <c r="AF246" s="61">
        <f xml:space="preserve"> 'T&amp;E'!AF$9</f>
        <v>2027</v>
      </c>
      <c r="AG246" s="61">
        <f xml:space="preserve"> 'T&amp;E'!AG$9</f>
        <v>2028</v>
      </c>
      <c r="AH246" s="61">
        <f xml:space="preserve"> 'T&amp;E'!AH$9</f>
        <v>2029</v>
      </c>
      <c r="AI246" s="61">
        <f xml:space="preserve"> 'T&amp;E'!AI$9</f>
        <v>2030</v>
      </c>
      <c r="AJ246" s="61">
        <f xml:space="preserve"> 'T&amp;E'!AJ$9</f>
        <v>2031</v>
      </c>
      <c r="AK246" s="61">
        <f xml:space="preserve"> 'T&amp;E'!AK$9</f>
        <v>2032</v>
      </c>
      <c r="AL246" s="61">
        <f xml:space="preserve"> 'T&amp;E'!AL$9</f>
        <v>2033</v>
      </c>
      <c r="AM246" s="61">
        <f xml:space="preserve"> 'T&amp;E'!AM$9</f>
        <v>2034</v>
      </c>
      <c r="AN246" s="61">
        <f xml:space="preserve"> 'T&amp;E'!AN$9</f>
        <v>2035</v>
      </c>
      <c r="AO246" s="61">
        <f xml:space="preserve"> 'T&amp;E'!AO$9</f>
        <v>2036</v>
      </c>
      <c r="AP246" s="61">
        <f xml:space="preserve"> 'T&amp;E'!AP$9</f>
        <v>2037</v>
      </c>
      <c r="AQ246" s="61">
        <f xml:space="preserve"> 'T&amp;E'!AQ$9</f>
        <v>2038</v>
      </c>
      <c r="AR246" s="61">
        <f xml:space="preserve"> 'T&amp;E'!AR$9</f>
        <v>2039</v>
      </c>
      <c r="AS246" s="61">
        <f xml:space="preserve"> 'T&amp;E'!AS$9</f>
        <v>2040</v>
      </c>
    </row>
    <row r="247" spans="1:45" ht="15" customHeight="1" x14ac:dyDescent="0.3">
      <c r="A247" s="683"/>
      <c r="B247" s="683"/>
      <c r="C247" s="684"/>
      <c r="D247" s="51"/>
      <c r="E247" s="51" t="str">
        <f xml:space="preserve"> E$10</f>
        <v>US Inflation, average consumer prices Act + forecast</v>
      </c>
      <c r="F247" s="51">
        <f xml:space="preserve"> F$10</f>
        <v>0</v>
      </c>
      <c r="G247" s="51" t="str">
        <f xml:space="preserve"> G$10</f>
        <v>index</v>
      </c>
      <c r="H247" s="51">
        <f xml:space="preserve"> H$10</f>
        <v>0</v>
      </c>
      <c r="I247" s="51"/>
      <c r="J247" s="51">
        <f t="shared" ref="J247" si="93" xml:space="preserve"> J$10</f>
        <v>0</v>
      </c>
      <c r="K247" s="3">
        <v>219.923</v>
      </c>
      <c r="L247" s="3">
        <v>220.923</v>
      </c>
      <c r="M247" s="3">
        <v>221.923</v>
      </c>
      <c r="N247" s="3">
        <v>222.923</v>
      </c>
      <c r="O247" s="3">
        <v>223.923</v>
      </c>
      <c r="P247" s="3">
        <v>224.923</v>
      </c>
      <c r="Q247" s="3">
        <v>229.58600000000001</v>
      </c>
      <c r="R247" s="3">
        <v>232.952</v>
      </c>
      <c r="S247" s="45">
        <f t="shared" ref="S247:AS247" si="94" xml:space="preserve"> S$10</f>
        <v>236.715</v>
      </c>
      <c r="T247" s="51">
        <f t="shared" si="94"/>
        <v>237.00200000000001</v>
      </c>
      <c r="U247" s="51">
        <f t="shared" si="94"/>
        <v>240.005</v>
      </c>
      <c r="V247" s="51">
        <f t="shared" si="94"/>
        <v>245.12100000000001</v>
      </c>
      <c r="W247" s="51">
        <f t="shared" si="94"/>
        <v>251.1</v>
      </c>
      <c r="X247" s="51">
        <f t="shared" si="94"/>
        <v>255.65299999999999</v>
      </c>
      <c r="Y247" s="51">
        <f t="shared" si="94"/>
        <v>258.846</v>
      </c>
      <c r="Z247" s="51">
        <f t="shared" si="94"/>
        <v>270.96600000000001</v>
      </c>
      <c r="AA247" s="51">
        <f t="shared" si="94"/>
        <v>292.62099999999998</v>
      </c>
      <c r="AB247" s="51">
        <f t="shared" si="94"/>
        <v>304.70100000000002</v>
      </c>
      <c r="AC247" s="51">
        <f t="shared" si="94"/>
        <v>313.55900000000003</v>
      </c>
      <c r="AD247" s="51">
        <f t="shared" si="94"/>
        <v>319.83100000000002</v>
      </c>
      <c r="AE247" s="51">
        <f t="shared" si="94"/>
        <v>326.416</v>
      </c>
      <c r="AF247" s="51">
        <f t="shared" si="94"/>
        <v>333.27</v>
      </c>
      <c r="AG247" s="51">
        <f t="shared" si="94"/>
        <v>340.32400000000001</v>
      </c>
      <c r="AH247" s="51">
        <f t="shared" si="94"/>
        <v>347.61700000000002</v>
      </c>
      <c r="AI247" s="51">
        <f t="shared" si="94"/>
        <v>0</v>
      </c>
      <c r="AJ247" s="51">
        <f t="shared" si="94"/>
        <v>0</v>
      </c>
      <c r="AK247" s="51">
        <f t="shared" si="94"/>
        <v>0</v>
      </c>
      <c r="AL247" s="51">
        <f t="shared" si="94"/>
        <v>0</v>
      </c>
      <c r="AM247" s="51">
        <f t="shared" si="94"/>
        <v>0</v>
      </c>
      <c r="AN247" s="51">
        <f t="shared" si="94"/>
        <v>0</v>
      </c>
      <c r="AO247" s="51">
        <f t="shared" si="94"/>
        <v>0</v>
      </c>
      <c r="AP247" s="51">
        <f t="shared" si="94"/>
        <v>0</v>
      </c>
      <c r="AQ247" s="51">
        <f t="shared" si="94"/>
        <v>0</v>
      </c>
      <c r="AR247" s="51">
        <f t="shared" si="94"/>
        <v>0</v>
      </c>
      <c r="AS247" s="51">
        <f t="shared" si="94"/>
        <v>0</v>
      </c>
    </row>
    <row r="248" spans="1:45" ht="15" customHeight="1" x14ac:dyDescent="0.3">
      <c r="A248" s="398"/>
      <c r="B248" s="398"/>
      <c r="C248" s="421"/>
      <c r="D248" s="423"/>
      <c r="E248" s="51" t="s">
        <v>616</v>
      </c>
      <c r="F248" s="51" cm="1">
        <f t="array" ref="F248" xml:space="preserve"> INDEX(T247:AV247,, MATCH(F242, T246:AV246, 0))</f>
        <v>304.70100000000002</v>
      </c>
      <c r="G248" s="51" t="str">
        <f xml:space="preserve"> G247</f>
        <v>index</v>
      </c>
      <c r="H248" s="51"/>
      <c r="I248" s="51"/>
      <c r="J248" s="51"/>
      <c r="S248" s="685"/>
      <c r="T248" s="51"/>
      <c r="U248" s="51"/>
      <c r="V248" s="51"/>
      <c r="W248" s="51"/>
      <c r="X248" s="51"/>
      <c r="Y248" s="51"/>
      <c r="Z248" s="51"/>
      <c r="AA248" s="51"/>
      <c r="AB248" s="51"/>
      <c r="AC248" s="51"/>
      <c r="AD248" s="51"/>
      <c r="AE248" s="51"/>
      <c r="AF248" s="51"/>
      <c r="AG248" s="51"/>
      <c r="AH248" s="51"/>
      <c r="AI248" s="51"/>
      <c r="AJ248" s="51"/>
      <c r="AK248" s="51"/>
      <c r="AL248" s="51"/>
      <c r="AM248" s="51"/>
      <c r="AN248" s="51"/>
      <c r="AO248" s="51"/>
      <c r="AP248" s="51"/>
      <c r="AQ248" s="51"/>
      <c r="AR248" s="51"/>
      <c r="AS248" s="51"/>
    </row>
    <row r="249" spans="1:45" ht="15" customHeight="1" x14ac:dyDescent="0.3">
      <c r="A249" s="398"/>
      <c r="B249" s="398"/>
      <c r="C249" s="421"/>
      <c r="D249" s="423"/>
      <c r="E249" s="980" t="str">
        <f xml:space="preserve"> 'T&amp;E'!E$38</f>
        <v>USD CPI Inflation (incl forecast) from 2025</v>
      </c>
      <c r="F249" s="980">
        <f xml:space="preserve"> 'T&amp;E'!F$38</f>
        <v>0</v>
      </c>
      <c r="G249" s="980" t="str">
        <f xml:space="preserve"> 'T&amp;E'!G$38</f>
        <v>index</v>
      </c>
      <c r="H249" s="980">
        <f xml:space="preserve"> 'T&amp;E'!H$38</f>
        <v>0</v>
      </c>
      <c r="I249" s="980">
        <f xml:space="preserve"> 'T&amp;E'!I$38</f>
        <v>0</v>
      </c>
      <c r="J249" s="980">
        <f xml:space="preserve"> 'T&amp;E'!J$38</f>
        <v>0</v>
      </c>
      <c r="K249" s="1036">
        <f xml:space="preserve"> 'T&amp;E'!K$38</f>
        <v>1</v>
      </c>
      <c r="L249" s="1036">
        <f xml:space="preserve"> 'T&amp;E'!L$38</f>
        <v>1</v>
      </c>
      <c r="M249" s="1036">
        <f xml:space="preserve"> 'T&amp;E'!M$38</f>
        <v>1</v>
      </c>
      <c r="N249" s="1036">
        <f xml:space="preserve"> 'T&amp;E'!N$38</f>
        <v>1</v>
      </c>
      <c r="O249" s="1036">
        <f xml:space="preserve"> 'T&amp;E'!O$38</f>
        <v>1</v>
      </c>
      <c r="P249" s="1036">
        <f xml:space="preserve"> 'T&amp;E'!P$38</f>
        <v>1</v>
      </c>
      <c r="Q249" s="1036">
        <f xml:space="preserve"> 'T&amp;E'!Q$38</f>
        <v>1</v>
      </c>
      <c r="R249" s="1036">
        <f xml:space="preserve"> 'T&amp;E'!R$38</f>
        <v>1</v>
      </c>
      <c r="S249" s="1036">
        <f xml:space="preserve"> 'T&amp;E'!S$38</f>
        <v>1</v>
      </c>
      <c r="T249" s="1036">
        <f xml:space="preserve"> 'T&amp;E'!T$38</f>
        <v>1</v>
      </c>
      <c r="U249" s="1036">
        <f xml:space="preserve"> 'T&amp;E'!U$38</f>
        <v>1</v>
      </c>
      <c r="V249" s="1036">
        <f xml:space="preserve"> 'T&amp;E'!V$38</f>
        <v>1</v>
      </c>
      <c r="W249" s="1036">
        <f xml:space="preserve"> 'T&amp;E'!W$38</f>
        <v>1</v>
      </c>
      <c r="X249" s="1036">
        <f xml:space="preserve"> 'T&amp;E'!X$38</f>
        <v>1</v>
      </c>
      <c r="Y249" s="1036">
        <f xml:space="preserve"> 'T&amp;E'!Y$38</f>
        <v>1</v>
      </c>
      <c r="Z249" s="1036">
        <f xml:space="preserve"> 'T&amp;E'!Z$38</f>
        <v>1</v>
      </c>
      <c r="AA249" s="1036">
        <f xml:space="preserve"> 'T&amp;E'!AA$38</f>
        <v>1</v>
      </c>
      <c r="AB249" s="1036">
        <f xml:space="preserve"> 'T&amp;E'!AB$38</f>
        <v>1</v>
      </c>
      <c r="AC249" s="1036">
        <f xml:space="preserve"> 'T&amp;E'!AC$38</f>
        <v>1</v>
      </c>
      <c r="AD249" s="1036">
        <f xml:space="preserve"> 'T&amp;E'!AD$38</f>
        <v>1</v>
      </c>
      <c r="AE249" s="1036">
        <f xml:space="preserve"> 'T&amp;E'!AE$38</f>
        <v>1.0246540997307085</v>
      </c>
      <c r="AF249" s="1036">
        <f xml:space="preserve"> 'T&amp;E'!AF$38</f>
        <v>1.0462778964311141</v>
      </c>
      <c r="AG249" s="1036">
        <f xml:space="preserve"> 'T&amp;E'!AG$38</f>
        <v>1.0688302844584765</v>
      </c>
      <c r="AH249" s="1036">
        <f xml:space="preserve"> 'T&amp;E'!AH$38</f>
        <v>1.0920141145881699</v>
      </c>
      <c r="AI249" s="1036">
        <f xml:space="preserve"> 'T&amp;E'!AI$38</f>
        <v>1.1157643854273069</v>
      </c>
      <c r="AJ249" s="1036">
        <f xml:space="preserve"> 'T&amp;E'!AJ$38</f>
        <v>1.1380796731358531</v>
      </c>
      <c r="AK249" s="1036">
        <f xml:space="preserve"> 'T&amp;E'!AK$38</f>
        <v>1.1608412665985701</v>
      </c>
      <c r="AL249" s="1036">
        <f xml:space="preserve"> 'T&amp;E'!AL$38</f>
        <v>1.1840580919305417</v>
      </c>
      <c r="AM249" s="1036">
        <f xml:space="preserve"> 'T&amp;E'!AM$38</f>
        <v>1.2077392537691523</v>
      </c>
      <c r="AN249" s="1036">
        <f xml:space="preserve"> 'T&amp;E'!AN$38</f>
        <v>1.2318940388445354</v>
      </c>
      <c r="AO249" s="1036">
        <f xml:space="preserve"> 'T&amp;E'!AO$38</f>
        <v>1.2565319196214262</v>
      </c>
      <c r="AP249" s="1036">
        <f xml:space="preserve"> 'T&amp;E'!AP$38</f>
        <v>1.2816625580138548</v>
      </c>
      <c r="AQ249" s="1036">
        <f xml:space="preserve"> 'T&amp;E'!AQ$38</f>
        <v>1.307295809174132</v>
      </c>
      <c r="AR249" s="1036">
        <f xml:space="preserve"> 'T&amp;E'!AR$38</f>
        <v>1.3334417253576147</v>
      </c>
      <c r="AS249" s="1036">
        <f xml:space="preserve"> 'T&amp;E'!AS$38</f>
        <v>1.3601105598647669</v>
      </c>
    </row>
    <row r="250" spans="1:45" ht="15" customHeight="1" x14ac:dyDescent="0.3">
      <c r="A250" s="197"/>
      <c r="B250" s="197"/>
      <c r="C250" s="241"/>
      <c r="D250" s="242"/>
      <c r="E250" s="424"/>
      <c r="F250" s="654"/>
      <c r="G250" s="654"/>
      <c r="H250" s="424"/>
      <c r="I250" s="424"/>
      <c r="J250" s="246"/>
      <c r="S250" s="198"/>
      <c r="T250" s="198"/>
      <c r="U250" s="198"/>
      <c r="V250" s="198"/>
      <c r="W250" s="198"/>
      <c r="X250" s="198"/>
      <c r="Y250" s="198"/>
      <c r="Z250" s="198"/>
      <c r="AA250" s="198"/>
      <c r="AB250" s="198"/>
      <c r="AC250" s="198"/>
      <c r="AD250" s="198"/>
      <c r="AE250" s="198"/>
      <c r="AF250" s="198"/>
      <c r="AG250" s="198"/>
      <c r="AH250" s="198"/>
      <c r="AI250" s="198"/>
      <c r="AJ250" s="198"/>
      <c r="AK250" s="198"/>
      <c r="AL250" s="198"/>
      <c r="AM250" s="198"/>
      <c r="AN250" s="198"/>
      <c r="AO250" s="198"/>
      <c r="AP250" s="198"/>
      <c r="AQ250" s="198"/>
      <c r="AR250" s="198"/>
      <c r="AS250" s="198"/>
    </row>
    <row r="251" spans="1:45" ht="15" customHeight="1" x14ac:dyDescent="0.3">
      <c r="A251" s="398"/>
      <c r="B251" s="398"/>
      <c r="C251" s="421" t="s">
        <v>647</v>
      </c>
      <c r="D251" s="423"/>
      <c r="E251" s="423"/>
      <c r="F251" s="423"/>
      <c r="G251" s="423"/>
      <c r="H251" s="423"/>
      <c r="I251" s="423"/>
      <c r="J251" s="423"/>
      <c r="S251" s="426"/>
      <c r="T251" s="423"/>
      <c r="U251" s="423"/>
      <c r="V251" s="423"/>
      <c r="W251" s="423"/>
      <c r="X251" s="423"/>
      <c r="Y251" s="423"/>
      <c r="Z251" s="423"/>
      <c r="AA251" s="423"/>
      <c r="AB251" s="423"/>
      <c r="AC251" s="423"/>
      <c r="AD251" s="423"/>
      <c r="AE251" s="423"/>
      <c r="AF251" s="423"/>
      <c r="AG251" s="423"/>
      <c r="AH251" s="423"/>
      <c r="AI251" s="423"/>
      <c r="AJ251" s="423"/>
      <c r="AK251" s="423"/>
      <c r="AL251" s="423"/>
      <c r="AM251" s="423"/>
      <c r="AN251" s="423"/>
      <c r="AO251" s="423"/>
      <c r="AP251" s="423"/>
      <c r="AQ251" s="423"/>
      <c r="AR251" s="423"/>
      <c r="AS251" s="423"/>
    </row>
    <row r="252" spans="1:45" ht="15" customHeight="1" x14ac:dyDescent="0.3">
      <c r="A252" s="139"/>
      <c r="B252" s="139"/>
      <c r="C252" s="140"/>
      <c r="D252" s="141"/>
      <c r="E252" s="61" t="str">
        <f xml:space="preserve"> 'T&amp;E'!E$9</f>
        <v>Model calendar year</v>
      </c>
      <c r="F252" s="61">
        <f xml:space="preserve"> 'T&amp;E'!F$9</f>
        <v>0</v>
      </c>
      <c r="G252" s="61" t="str">
        <f xml:space="preserve"> 'T&amp;E'!G$9</f>
        <v>year</v>
      </c>
      <c r="H252" s="61">
        <f xml:space="preserve"> 'T&amp;E'!H$9</f>
        <v>0</v>
      </c>
      <c r="I252" s="61">
        <f xml:space="preserve"> 'T&amp;E'!I$9</f>
        <v>0</v>
      </c>
      <c r="J252" s="61">
        <f xml:space="preserve"> 'T&amp;E'!J$9</f>
        <v>0</v>
      </c>
      <c r="K252" s="61">
        <f xml:space="preserve"> 'T&amp;E'!K$9</f>
        <v>2006</v>
      </c>
      <c r="L252" s="61">
        <f xml:space="preserve"> 'T&amp;E'!L$9</f>
        <v>2007</v>
      </c>
      <c r="M252" s="61">
        <f xml:space="preserve"> 'T&amp;E'!M$9</f>
        <v>2008</v>
      </c>
      <c r="N252" s="61">
        <f xml:space="preserve"> 'T&amp;E'!N$9</f>
        <v>2009</v>
      </c>
      <c r="O252" s="61">
        <f xml:space="preserve"> 'T&amp;E'!O$9</f>
        <v>2010</v>
      </c>
      <c r="P252" s="61">
        <f xml:space="preserve"> 'T&amp;E'!P$9</f>
        <v>2011</v>
      </c>
      <c r="Q252" s="61">
        <f xml:space="preserve"> 'T&amp;E'!Q$9</f>
        <v>2012</v>
      </c>
      <c r="R252" s="61">
        <f xml:space="preserve"> 'T&amp;E'!R$9</f>
        <v>2013</v>
      </c>
      <c r="S252" s="61">
        <f xml:space="preserve"> 'T&amp;E'!S$9</f>
        <v>2014</v>
      </c>
      <c r="T252" s="61">
        <f xml:space="preserve"> 'T&amp;E'!T$9</f>
        <v>2015</v>
      </c>
      <c r="U252" s="61">
        <f xml:space="preserve"> 'T&amp;E'!U$9</f>
        <v>2016</v>
      </c>
      <c r="V252" s="61">
        <f xml:space="preserve"> 'T&amp;E'!V$9</f>
        <v>2017</v>
      </c>
      <c r="W252" s="61">
        <f xml:space="preserve"> 'T&amp;E'!W$9</f>
        <v>2018</v>
      </c>
      <c r="X252" s="61">
        <f xml:space="preserve"> 'T&amp;E'!X$9</f>
        <v>2019</v>
      </c>
      <c r="Y252" s="61">
        <f xml:space="preserve"> 'T&amp;E'!Y$9</f>
        <v>2020</v>
      </c>
      <c r="Z252" s="61">
        <f xml:space="preserve"> 'T&amp;E'!Z$9</f>
        <v>2021</v>
      </c>
      <c r="AA252" s="61">
        <f xml:space="preserve"> 'T&amp;E'!AA$9</f>
        <v>2022</v>
      </c>
      <c r="AB252" s="61">
        <f xml:space="preserve"> 'T&amp;E'!AB$9</f>
        <v>2023</v>
      </c>
      <c r="AC252" s="61">
        <f xml:space="preserve"> 'T&amp;E'!AC$9</f>
        <v>2024</v>
      </c>
      <c r="AD252" s="61">
        <f xml:space="preserve"> 'T&amp;E'!AD$9</f>
        <v>2025</v>
      </c>
      <c r="AE252" s="61">
        <f xml:space="preserve"> 'T&amp;E'!AE$9</f>
        <v>2026</v>
      </c>
      <c r="AF252" s="61">
        <f xml:space="preserve"> 'T&amp;E'!AF$9</f>
        <v>2027</v>
      </c>
      <c r="AG252" s="61">
        <f xml:space="preserve"> 'T&amp;E'!AG$9</f>
        <v>2028</v>
      </c>
      <c r="AH252" s="61">
        <f xml:space="preserve"> 'T&amp;E'!AH$9</f>
        <v>2029</v>
      </c>
      <c r="AI252" s="61">
        <f xml:space="preserve"> 'T&amp;E'!AI$9</f>
        <v>2030</v>
      </c>
      <c r="AJ252" s="61">
        <f xml:space="preserve"> 'T&amp;E'!AJ$9</f>
        <v>2031</v>
      </c>
      <c r="AK252" s="61">
        <f xml:space="preserve"> 'T&amp;E'!AK$9</f>
        <v>2032</v>
      </c>
      <c r="AL252" s="61">
        <f xml:space="preserve"> 'T&amp;E'!AL$9</f>
        <v>2033</v>
      </c>
      <c r="AM252" s="61">
        <f xml:space="preserve"> 'T&amp;E'!AM$9</f>
        <v>2034</v>
      </c>
      <c r="AN252" s="61">
        <f xml:space="preserve"> 'T&amp;E'!AN$9</f>
        <v>2035</v>
      </c>
      <c r="AO252" s="61">
        <f xml:space="preserve"> 'T&amp;E'!AO$9</f>
        <v>2036</v>
      </c>
      <c r="AP252" s="61">
        <f xml:space="preserve"> 'T&amp;E'!AP$9</f>
        <v>2037</v>
      </c>
      <c r="AQ252" s="61">
        <f xml:space="preserve"> 'T&amp;E'!AQ$9</f>
        <v>2038</v>
      </c>
      <c r="AR252" s="61">
        <f xml:space="preserve"> 'T&amp;E'!AR$9</f>
        <v>2039</v>
      </c>
      <c r="AS252" s="61">
        <f xml:space="preserve"> 'T&amp;E'!AS$9</f>
        <v>2040</v>
      </c>
    </row>
    <row r="253" spans="1:45" ht="15" customHeight="1" x14ac:dyDescent="0.3">
      <c r="A253" s="649"/>
      <c r="B253" s="649"/>
      <c r="C253" s="650"/>
      <c r="D253" s="497"/>
      <c r="E253" s="651"/>
      <c r="F253" s="652" t="s">
        <v>606</v>
      </c>
      <c r="G253" s="651"/>
      <c r="H253" s="651"/>
      <c r="I253" s="651"/>
      <c r="J253" s="651"/>
      <c r="K253" s="651"/>
      <c r="L253" s="651"/>
      <c r="M253" s="651"/>
      <c r="N253" s="651"/>
      <c r="O253" s="651"/>
      <c r="P253" s="651"/>
      <c r="Q253" s="651"/>
      <c r="R253" s="651"/>
      <c r="S253" s="651"/>
      <c r="T253" s="651"/>
      <c r="U253" s="651"/>
      <c r="V253" s="651"/>
      <c r="W253" s="651"/>
      <c r="X253" s="651"/>
      <c r="Y253" s="651"/>
      <c r="Z253" s="651"/>
      <c r="AA253" s="651"/>
      <c r="AB253" s="651"/>
      <c r="AC253" s="651"/>
      <c r="AD253" s="651"/>
      <c r="AE253" s="651"/>
      <c r="AF253" s="651"/>
      <c r="AG253" s="651"/>
      <c r="AH253" s="651"/>
      <c r="AI253" s="651"/>
      <c r="AJ253" s="651"/>
      <c r="AK253" s="651"/>
      <c r="AL253" s="651"/>
      <c r="AM253" s="651"/>
      <c r="AN253" s="651"/>
      <c r="AO253" s="651"/>
      <c r="AP253" s="651"/>
      <c r="AQ253" s="651"/>
      <c r="AR253" s="651"/>
      <c r="AS253" s="651"/>
    </row>
    <row r="254" spans="1:45" ht="15" customHeight="1" x14ac:dyDescent="0.3">
      <c r="A254" s="197"/>
      <c r="B254" s="197"/>
      <c r="C254" s="241"/>
      <c r="D254" s="242"/>
      <c r="E254" s="423" t="str">
        <f t="shared" ref="E254:F258" si="95" xml:space="preserve"> E232</f>
        <v>Co forecast: Fut_17Apr25</v>
      </c>
      <c r="F254" s="423" t="str">
        <f t="shared" si="95"/>
        <v>Fut_17Apr25</v>
      </c>
      <c r="G254" s="423" t="s">
        <v>321</v>
      </c>
      <c r="H254" s="424"/>
      <c r="I254" s="424"/>
      <c r="J254" s="246"/>
      <c r="K254" s="88">
        <f xml:space="preserve"> IF($H232 = $F$239, IF(K232 = 0, J254 * K$249 / MAX(1, J$249), K232), IF(K232 = 0, J254 * K$249 / MAX(1,J$249), K232 * K$249))</f>
        <v>0</v>
      </c>
      <c r="L254" s="88">
        <f t="shared" ref="L254:AS258" si="96" xml:space="preserve"> IF($H232 = $F$239, IF(L232 = 0, K254 * L$249 / MAX(1, K$249), L232), IF(L232 = 0, K254 * L$249 / MAX(1,K$249), L232 * L$249))</f>
        <v>0</v>
      </c>
      <c r="M254" s="88">
        <f t="shared" si="96"/>
        <v>0</v>
      </c>
      <c r="N254" s="88">
        <f t="shared" si="96"/>
        <v>0</v>
      </c>
      <c r="O254" s="88">
        <f t="shared" si="96"/>
        <v>0</v>
      </c>
      <c r="P254" s="88">
        <f t="shared" si="96"/>
        <v>0</v>
      </c>
      <c r="Q254" s="88">
        <f t="shared" si="96"/>
        <v>0</v>
      </c>
      <c r="R254" s="88">
        <f t="shared" si="96"/>
        <v>0</v>
      </c>
      <c r="S254" s="88">
        <f t="shared" si="96"/>
        <v>0</v>
      </c>
      <c r="T254" s="88">
        <f t="shared" si="96"/>
        <v>0</v>
      </c>
      <c r="U254" s="88">
        <f t="shared" si="96"/>
        <v>0</v>
      </c>
      <c r="V254" s="88">
        <f t="shared" si="96"/>
        <v>0</v>
      </c>
      <c r="W254" s="88">
        <f t="shared" si="96"/>
        <v>0</v>
      </c>
      <c r="X254" s="88">
        <f t="shared" si="96"/>
        <v>0</v>
      </c>
      <c r="Y254" s="88">
        <f t="shared" si="96"/>
        <v>0</v>
      </c>
      <c r="Z254" s="88">
        <f t="shared" si="96"/>
        <v>0</v>
      </c>
      <c r="AA254" s="88">
        <f t="shared" si="96"/>
        <v>0</v>
      </c>
      <c r="AB254" s="88">
        <f t="shared" si="96"/>
        <v>0</v>
      </c>
      <c r="AC254" s="88">
        <f t="shared" si="96"/>
        <v>0</v>
      </c>
      <c r="AD254" s="88">
        <f t="shared" si="96"/>
        <v>35935.305999999997</v>
      </c>
      <c r="AE254" s="88">
        <f t="shared" si="96"/>
        <v>37478.54</v>
      </c>
      <c r="AF254" s="88">
        <f t="shared" si="96"/>
        <v>39683.159999999996</v>
      </c>
      <c r="AG254" s="88">
        <f t="shared" si="96"/>
        <v>39683.159999999996</v>
      </c>
      <c r="AH254" s="88">
        <f t="shared" si="96"/>
        <v>39683.159999999996</v>
      </c>
      <c r="AI254" s="88">
        <f t="shared" si="96"/>
        <v>40546.231076794866</v>
      </c>
      <c r="AJ254" s="88">
        <f t="shared" si="96"/>
        <v>41357.155698330767</v>
      </c>
      <c r="AK254" s="88">
        <f t="shared" si="96"/>
        <v>42184.298812297377</v>
      </c>
      <c r="AL254" s="88">
        <f t="shared" si="96"/>
        <v>43027.984788543334</v>
      </c>
      <c r="AM254" s="88">
        <f t="shared" si="96"/>
        <v>43888.544484314189</v>
      </c>
      <c r="AN254" s="88">
        <f t="shared" si="96"/>
        <v>44766.315374000478</v>
      </c>
      <c r="AO254" s="88">
        <f t="shared" si="96"/>
        <v>45661.641681480491</v>
      </c>
      <c r="AP254" s="88">
        <f t="shared" si="96"/>
        <v>46574.874515110103</v>
      </c>
      <c r="AQ254" s="88">
        <f t="shared" si="96"/>
        <v>47506.372005412311</v>
      </c>
      <c r="AR254" s="88">
        <f t="shared" si="96"/>
        <v>48456.49944552056</v>
      </c>
      <c r="AS254" s="88">
        <f t="shared" si="96"/>
        <v>49425.629434430964</v>
      </c>
    </row>
    <row r="255" spans="1:45" ht="15" customHeight="1" x14ac:dyDescent="0.3">
      <c r="A255" s="197"/>
      <c r="B255" s="197"/>
      <c r="C255" s="241"/>
      <c r="D255" s="242"/>
      <c r="E255" s="423" t="str">
        <f t="shared" si="95"/>
        <v>Co forecast: IMF_WEO</v>
      </c>
      <c r="F255" s="423" t="str">
        <f t="shared" si="95"/>
        <v>IMF_WEO</v>
      </c>
      <c r="G255" s="423" t="s">
        <v>321</v>
      </c>
      <c r="H255" s="424"/>
      <c r="I255" s="424"/>
      <c r="J255" s="246"/>
      <c r="K255" s="88">
        <f t="shared" ref="K255:Z258" si="97" xml:space="preserve"> IF($H233 = $F$239, IF(K233 = 0, J255 * K$249 / MAX(1, J$249), K233), IF(K233 = 0, J255 * K$249 / MAX(1,J$249), K233 * K$249))</f>
        <v>0</v>
      </c>
      <c r="L255" s="88">
        <f t="shared" si="97"/>
        <v>0</v>
      </c>
      <c r="M255" s="88">
        <f t="shared" si="97"/>
        <v>0</v>
      </c>
      <c r="N255" s="88">
        <f t="shared" si="97"/>
        <v>0</v>
      </c>
      <c r="O255" s="88">
        <f t="shared" si="97"/>
        <v>0</v>
      </c>
      <c r="P255" s="88">
        <f t="shared" si="97"/>
        <v>0</v>
      </c>
      <c r="Q255" s="88">
        <f t="shared" si="97"/>
        <v>0</v>
      </c>
      <c r="R255" s="88">
        <f t="shared" si="97"/>
        <v>0</v>
      </c>
      <c r="S255" s="88">
        <f t="shared" si="97"/>
        <v>0</v>
      </c>
      <c r="T255" s="88">
        <f t="shared" si="97"/>
        <v>0</v>
      </c>
      <c r="U255" s="88">
        <f t="shared" si="97"/>
        <v>0</v>
      </c>
      <c r="V255" s="88">
        <f t="shared" si="97"/>
        <v>0</v>
      </c>
      <c r="W255" s="88">
        <f t="shared" si="97"/>
        <v>0</v>
      </c>
      <c r="X255" s="88">
        <f t="shared" si="97"/>
        <v>0</v>
      </c>
      <c r="Y255" s="88">
        <f t="shared" si="97"/>
        <v>0</v>
      </c>
      <c r="Z255" s="88">
        <f t="shared" si="97"/>
        <v>0</v>
      </c>
      <c r="AA255" s="88">
        <f t="shared" si="96"/>
        <v>0</v>
      </c>
      <c r="AB255" s="88">
        <f t="shared" si="96"/>
        <v>0</v>
      </c>
      <c r="AC255" s="88">
        <f t="shared" si="96"/>
        <v>0</v>
      </c>
      <c r="AD255" s="88">
        <f t="shared" si="96"/>
        <v>40000</v>
      </c>
      <c r="AE255" s="88">
        <f t="shared" si="96"/>
        <v>40000</v>
      </c>
      <c r="AF255" s="88">
        <f t="shared" si="96"/>
        <v>40000</v>
      </c>
      <c r="AG255" s="88">
        <f t="shared" si="96"/>
        <v>40000</v>
      </c>
      <c r="AH255" s="88">
        <f t="shared" si="96"/>
        <v>40000</v>
      </c>
      <c r="AI255" s="88">
        <f t="shared" si="96"/>
        <v>40869.962046162531</v>
      </c>
      <c r="AJ255" s="88">
        <f t="shared" si="96"/>
        <v>41687.361287085783</v>
      </c>
      <c r="AK255" s="88">
        <f t="shared" si="96"/>
        <v>42521.108512827494</v>
      </c>
      <c r="AL255" s="88">
        <f t="shared" si="96"/>
        <v>43371.530683084049</v>
      </c>
      <c r="AM255" s="88">
        <f t="shared" si="96"/>
        <v>44238.961296745721</v>
      </c>
      <c r="AN255" s="88">
        <f t="shared" si="96"/>
        <v>45123.740522680637</v>
      </c>
      <c r="AO255" s="88">
        <f t="shared" si="96"/>
        <v>46026.215333134256</v>
      </c>
      <c r="AP255" s="88">
        <f t="shared" si="96"/>
        <v>46946.739639796942</v>
      </c>
      <c r="AQ255" s="88">
        <f t="shared" si="96"/>
        <v>47885.674432592888</v>
      </c>
      <c r="AR255" s="88">
        <f t="shared" si="96"/>
        <v>48843.38792124475</v>
      </c>
      <c r="AS255" s="88">
        <f t="shared" si="96"/>
        <v>49820.255679669637</v>
      </c>
    </row>
    <row r="256" spans="1:45" ht="15" customHeight="1" x14ac:dyDescent="0.3">
      <c r="A256" s="197"/>
      <c r="B256" s="197"/>
      <c r="C256" s="241"/>
      <c r="D256" s="242"/>
      <c r="E256" s="423" t="str">
        <f t="shared" si="95"/>
        <v>Co forecast: ConstReal</v>
      </c>
      <c r="F256" s="423" t="str">
        <f t="shared" si="95"/>
        <v>ConstReal</v>
      </c>
      <c r="G256" s="423" t="s">
        <v>321</v>
      </c>
      <c r="H256" s="424"/>
      <c r="I256" s="424"/>
      <c r="J256" s="246"/>
      <c r="K256" s="88">
        <f t="shared" si="97"/>
        <v>0</v>
      </c>
      <c r="L256" s="88">
        <f t="shared" si="96"/>
        <v>0</v>
      </c>
      <c r="M256" s="88">
        <f t="shared" si="96"/>
        <v>0</v>
      </c>
      <c r="N256" s="88">
        <f t="shared" si="96"/>
        <v>0</v>
      </c>
      <c r="O256" s="88">
        <f t="shared" si="96"/>
        <v>0</v>
      </c>
      <c r="P256" s="88">
        <f t="shared" si="96"/>
        <v>0</v>
      </c>
      <c r="Q256" s="88">
        <f t="shared" si="96"/>
        <v>0</v>
      </c>
      <c r="R256" s="88">
        <f t="shared" si="96"/>
        <v>0</v>
      </c>
      <c r="S256" s="88">
        <f t="shared" si="96"/>
        <v>0</v>
      </c>
      <c r="T256" s="88">
        <f t="shared" si="96"/>
        <v>0</v>
      </c>
      <c r="U256" s="88">
        <f t="shared" si="96"/>
        <v>0</v>
      </c>
      <c r="V256" s="88">
        <f t="shared" si="96"/>
        <v>0</v>
      </c>
      <c r="W256" s="88">
        <f t="shared" si="96"/>
        <v>0</v>
      </c>
      <c r="X256" s="88">
        <f t="shared" si="96"/>
        <v>0</v>
      </c>
      <c r="Y256" s="88">
        <f t="shared" si="96"/>
        <v>0</v>
      </c>
      <c r="Z256" s="88">
        <f t="shared" si="96"/>
        <v>0</v>
      </c>
      <c r="AA256" s="88">
        <f t="shared" si="96"/>
        <v>0</v>
      </c>
      <c r="AB256" s="88">
        <f t="shared" si="96"/>
        <v>0</v>
      </c>
      <c r="AC256" s="88">
        <f t="shared" si="96"/>
        <v>0</v>
      </c>
      <c r="AD256" s="88">
        <f t="shared" si="96"/>
        <v>35000</v>
      </c>
      <c r="AE256" s="88">
        <f t="shared" si="96"/>
        <v>35862.893490574796</v>
      </c>
      <c r="AF256" s="88">
        <f t="shared" si="96"/>
        <v>36619.726375088998</v>
      </c>
      <c r="AG256" s="88">
        <f t="shared" si="96"/>
        <v>37409.05995604668</v>
      </c>
      <c r="AH256" s="88">
        <f t="shared" si="96"/>
        <v>38220.494010585942</v>
      </c>
      <c r="AI256" s="88">
        <f t="shared" si="96"/>
        <v>39051.753489955736</v>
      </c>
      <c r="AJ256" s="88">
        <f t="shared" si="96"/>
        <v>39832.788559754852</v>
      </c>
      <c r="AK256" s="88">
        <f t="shared" si="96"/>
        <v>40629.444330949947</v>
      </c>
      <c r="AL256" s="88">
        <f t="shared" si="96"/>
        <v>41442.033217568955</v>
      </c>
      <c r="AM256" s="88">
        <f t="shared" si="96"/>
        <v>42270.873881920328</v>
      </c>
      <c r="AN256" s="88">
        <f t="shared" si="96"/>
        <v>43116.291359558738</v>
      </c>
      <c r="AO256" s="88">
        <f t="shared" si="96"/>
        <v>43978.617186749914</v>
      </c>
      <c r="AP256" s="88">
        <f t="shared" si="96"/>
        <v>44858.189530484909</v>
      </c>
      <c r="AQ256" s="88">
        <f t="shared" si="96"/>
        <v>45755.353321094612</v>
      </c>
      <c r="AR256" s="88">
        <f t="shared" si="96"/>
        <v>46670.460387516512</v>
      </c>
      <c r="AS256" s="88">
        <f t="shared" si="96"/>
        <v>47603.869595266835</v>
      </c>
    </row>
    <row r="257" spans="1:45" ht="15" customHeight="1" x14ac:dyDescent="0.3">
      <c r="A257" s="197"/>
      <c r="B257" s="197"/>
      <c r="C257" s="241"/>
      <c r="D257" s="242"/>
      <c r="E257" s="423" t="str">
        <f t="shared" si="95"/>
        <v>Co forecast: Downside</v>
      </c>
      <c r="F257" s="423" t="str">
        <f t="shared" si="95"/>
        <v>Downside</v>
      </c>
      <c r="G257" s="423" t="s">
        <v>321</v>
      </c>
      <c r="H257" s="424"/>
      <c r="I257" s="424"/>
      <c r="J257" s="246"/>
      <c r="K257" s="88">
        <f t="shared" si="97"/>
        <v>0</v>
      </c>
      <c r="L257" s="88">
        <f t="shared" si="96"/>
        <v>0</v>
      </c>
      <c r="M257" s="88">
        <f t="shared" si="96"/>
        <v>0</v>
      </c>
      <c r="N257" s="88">
        <f t="shared" si="96"/>
        <v>0</v>
      </c>
      <c r="O257" s="88">
        <f t="shared" si="96"/>
        <v>0</v>
      </c>
      <c r="P257" s="88">
        <f t="shared" si="96"/>
        <v>0</v>
      </c>
      <c r="Q257" s="88">
        <f t="shared" si="96"/>
        <v>0</v>
      </c>
      <c r="R257" s="88">
        <f t="shared" si="96"/>
        <v>0</v>
      </c>
      <c r="S257" s="88">
        <f t="shared" si="96"/>
        <v>0</v>
      </c>
      <c r="T257" s="88">
        <f t="shared" si="96"/>
        <v>0</v>
      </c>
      <c r="U257" s="88">
        <f t="shared" si="96"/>
        <v>0</v>
      </c>
      <c r="V257" s="88">
        <f t="shared" si="96"/>
        <v>0</v>
      </c>
      <c r="W257" s="88">
        <f t="shared" si="96"/>
        <v>0</v>
      </c>
      <c r="X257" s="88">
        <f t="shared" si="96"/>
        <v>0</v>
      </c>
      <c r="Y257" s="88">
        <f t="shared" si="96"/>
        <v>0</v>
      </c>
      <c r="Z257" s="88">
        <f t="shared" si="96"/>
        <v>0</v>
      </c>
      <c r="AA257" s="88">
        <f t="shared" si="96"/>
        <v>0</v>
      </c>
      <c r="AB257" s="88">
        <f t="shared" si="96"/>
        <v>0</v>
      </c>
      <c r="AC257" s="88">
        <f t="shared" si="96"/>
        <v>0</v>
      </c>
      <c r="AD257" s="88">
        <f t="shared" si="96"/>
        <v>40000</v>
      </c>
      <c r="AE257" s="88">
        <f t="shared" si="96"/>
        <v>35862.893490574796</v>
      </c>
      <c r="AF257" s="88">
        <f t="shared" si="96"/>
        <v>31388.336892933425</v>
      </c>
      <c r="AG257" s="88">
        <f t="shared" si="96"/>
        <v>26720.757111461913</v>
      </c>
      <c r="AH257" s="88">
        <f t="shared" si="96"/>
        <v>21840.282291763397</v>
      </c>
      <c r="AI257" s="88">
        <f t="shared" si="96"/>
        <v>22315.287708546137</v>
      </c>
      <c r="AJ257" s="88">
        <f t="shared" si="96"/>
        <v>22761.593462717061</v>
      </c>
      <c r="AK257" s="88">
        <f t="shared" si="96"/>
        <v>23216.825331971399</v>
      </c>
      <c r="AL257" s="88">
        <f t="shared" si="96"/>
        <v>23681.161838610828</v>
      </c>
      <c r="AM257" s="88">
        <f t="shared" si="96"/>
        <v>24154.785075383039</v>
      </c>
      <c r="AN257" s="88">
        <f t="shared" si="96"/>
        <v>24637.880776890699</v>
      </c>
      <c r="AO257" s="88">
        <f t="shared" si="96"/>
        <v>25130.638392428515</v>
      </c>
      <c r="AP257" s="88">
        <f t="shared" si="96"/>
        <v>25633.251160277086</v>
      </c>
      <c r="AQ257" s="88">
        <f t="shared" si="96"/>
        <v>26145.916183482634</v>
      </c>
      <c r="AR257" s="88">
        <f t="shared" si="96"/>
        <v>26668.834507152289</v>
      </c>
      <c r="AS257" s="88">
        <f t="shared" si="96"/>
        <v>27202.211197295332</v>
      </c>
    </row>
    <row r="258" spans="1:45" ht="15" customHeight="1" x14ac:dyDescent="0.3">
      <c r="A258" s="197"/>
      <c r="B258" s="197"/>
      <c r="C258" s="241"/>
      <c r="D258" s="242"/>
      <c r="E258" s="423" t="str">
        <f t="shared" si="95"/>
        <v>Co forecast: Other3</v>
      </c>
      <c r="F258" s="423" t="str">
        <f t="shared" si="95"/>
        <v>Other3</v>
      </c>
      <c r="G258" s="423" t="s">
        <v>321</v>
      </c>
      <c r="H258" s="424"/>
      <c r="I258" s="424"/>
      <c r="J258" s="246"/>
      <c r="K258" s="88">
        <f t="shared" si="97"/>
        <v>0</v>
      </c>
      <c r="L258" s="88">
        <f t="shared" si="96"/>
        <v>0</v>
      </c>
      <c r="M258" s="88">
        <f t="shared" si="96"/>
        <v>0</v>
      </c>
      <c r="N258" s="88">
        <f t="shared" si="96"/>
        <v>0</v>
      </c>
      <c r="O258" s="88">
        <f t="shared" si="96"/>
        <v>0</v>
      </c>
      <c r="P258" s="88">
        <f t="shared" si="96"/>
        <v>0</v>
      </c>
      <c r="Q258" s="88">
        <f t="shared" si="96"/>
        <v>0</v>
      </c>
      <c r="R258" s="88">
        <f t="shared" si="96"/>
        <v>0</v>
      </c>
      <c r="S258" s="88">
        <f t="shared" si="96"/>
        <v>0</v>
      </c>
      <c r="T258" s="88">
        <f t="shared" si="96"/>
        <v>0</v>
      </c>
      <c r="U258" s="88">
        <f t="shared" si="96"/>
        <v>0</v>
      </c>
      <c r="V258" s="88">
        <f t="shared" si="96"/>
        <v>0</v>
      </c>
      <c r="W258" s="88">
        <f t="shared" si="96"/>
        <v>0</v>
      </c>
      <c r="X258" s="88">
        <f t="shared" si="96"/>
        <v>0</v>
      </c>
      <c r="Y258" s="88">
        <f t="shared" si="96"/>
        <v>0</v>
      </c>
      <c r="Z258" s="88">
        <f t="shared" si="96"/>
        <v>0</v>
      </c>
      <c r="AA258" s="88">
        <f t="shared" si="96"/>
        <v>0</v>
      </c>
      <c r="AB258" s="88">
        <f t="shared" si="96"/>
        <v>0</v>
      </c>
      <c r="AC258" s="88">
        <f t="shared" si="96"/>
        <v>0</v>
      </c>
      <c r="AD258" s="88">
        <f t="shared" si="96"/>
        <v>25000</v>
      </c>
      <c r="AE258" s="88">
        <f t="shared" si="96"/>
        <v>25616.352493267714</v>
      </c>
      <c r="AF258" s="88">
        <f t="shared" si="96"/>
        <v>26156.947410777851</v>
      </c>
      <c r="AG258" s="88">
        <f t="shared" si="96"/>
        <v>26720.757111461913</v>
      </c>
      <c r="AH258" s="88">
        <f t="shared" si="96"/>
        <v>27300.352864704248</v>
      </c>
      <c r="AI258" s="88">
        <f t="shared" si="96"/>
        <v>27894.109635682675</v>
      </c>
      <c r="AJ258" s="88">
        <f t="shared" si="96"/>
        <v>28451.991828396331</v>
      </c>
      <c r="AK258" s="88">
        <f t="shared" si="96"/>
        <v>29021.031664964255</v>
      </c>
      <c r="AL258" s="88">
        <f t="shared" si="96"/>
        <v>29601.452298263543</v>
      </c>
      <c r="AM258" s="88">
        <f t="shared" si="96"/>
        <v>30193.481344228807</v>
      </c>
      <c r="AN258" s="88">
        <f t="shared" si="96"/>
        <v>30797.350971113385</v>
      </c>
      <c r="AO258" s="88">
        <f t="shared" si="96"/>
        <v>31413.297990535655</v>
      </c>
      <c r="AP258" s="88">
        <f t="shared" si="96"/>
        <v>32041.563950346368</v>
      </c>
      <c r="AQ258" s="88">
        <f t="shared" si="96"/>
        <v>32682.395229353297</v>
      </c>
      <c r="AR258" s="88">
        <f t="shared" si="96"/>
        <v>33336.043133940366</v>
      </c>
      <c r="AS258" s="88">
        <f t="shared" si="96"/>
        <v>34002.763996619171</v>
      </c>
    </row>
    <row r="259" spans="1:45" ht="15" customHeight="1" x14ac:dyDescent="0.3">
      <c r="A259" s="398"/>
      <c r="B259" s="398"/>
      <c r="C259" s="421"/>
      <c r="D259" s="423"/>
      <c r="E259" s="641"/>
      <c r="F259" s="641" t="s">
        <v>611</v>
      </c>
      <c r="G259" s="641"/>
      <c r="H259" s="641"/>
      <c r="I259" s="641"/>
      <c r="J259" s="641"/>
      <c r="K259" s="444"/>
      <c r="L259" s="444"/>
      <c r="M259" s="444"/>
      <c r="N259" s="444"/>
      <c r="O259" s="444"/>
      <c r="P259" s="444"/>
      <c r="Q259" s="444"/>
      <c r="R259" s="444"/>
      <c r="S259" s="444"/>
      <c r="T259" s="444"/>
      <c r="U259" s="444"/>
      <c r="V259" s="444"/>
      <c r="W259" s="444"/>
      <c r="X259" s="444"/>
      <c r="Y259" s="444"/>
      <c r="Z259" s="444"/>
      <c r="AA259" s="444"/>
      <c r="AB259" s="444"/>
      <c r="AC259" s="444"/>
      <c r="AD259" s="444"/>
      <c r="AE259" s="444"/>
      <c r="AF259" s="444"/>
      <c r="AG259" s="444"/>
      <c r="AH259" s="444"/>
      <c r="AI259" s="444"/>
      <c r="AJ259" s="444"/>
      <c r="AK259" s="444"/>
      <c r="AL259" s="444"/>
      <c r="AM259" s="444"/>
      <c r="AN259" s="444"/>
      <c r="AO259" s="444"/>
      <c r="AP259" s="444"/>
      <c r="AQ259" s="444"/>
      <c r="AR259" s="444"/>
      <c r="AS259" s="444"/>
    </row>
    <row r="260" spans="1:45" ht="15" customHeight="1" x14ac:dyDescent="0.3">
      <c r="A260" s="197"/>
      <c r="B260" s="197"/>
      <c r="C260" s="241"/>
      <c r="D260" s="242"/>
      <c r="E260" s="424"/>
      <c r="F260" s="654"/>
      <c r="G260" s="654"/>
      <c r="H260" s="424"/>
      <c r="I260" s="424"/>
      <c r="J260" s="246"/>
      <c r="S260" s="198"/>
      <c r="T260" s="198"/>
      <c r="U260" s="198"/>
      <c r="V260" s="198"/>
      <c r="W260" s="198"/>
      <c r="X260" s="198"/>
      <c r="Y260" s="198"/>
      <c r="Z260" s="198"/>
      <c r="AA260" s="198"/>
      <c r="AB260" s="198"/>
      <c r="AC260" s="198"/>
      <c r="AD260" s="198"/>
      <c r="AE260" s="198"/>
      <c r="AF260" s="198"/>
      <c r="AG260" s="198"/>
      <c r="AH260" s="198"/>
      <c r="AI260" s="198"/>
      <c r="AJ260" s="198"/>
      <c r="AK260" s="198"/>
      <c r="AL260" s="198"/>
      <c r="AM260" s="198"/>
      <c r="AN260" s="198"/>
      <c r="AO260" s="198"/>
      <c r="AP260" s="198"/>
      <c r="AQ260" s="198"/>
      <c r="AR260" s="198"/>
      <c r="AS260" s="198"/>
    </row>
    <row r="261" spans="1:45" ht="15" customHeight="1" x14ac:dyDescent="0.3">
      <c r="A261" s="197"/>
      <c r="B261" s="197"/>
      <c r="C261" s="241"/>
      <c r="D261" s="242"/>
      <c r="E261" s="655" t="str">
        <f xml:space="preserve"> Inputs_Con!E$41</f>
        <v>Cobalt forecast price</v>
      </c>
      <c r="F261" s="655" t="str">
        <f xml:space="preserve"> Inputs_Con!F$41</f>
        <v>IMF_WEO</v>
      </c>
      <c r="G261" s="655" t="str">
        <f xml:space="preserve"> Inputs_Con!G$41</f>
        <v>option selected</v>
      </c>
      <c r="H261" s="424"/>
      <c r="I261" s="424"/>
      <c r="J261" s="246"/>
      <c r="S261" s="198"/>
      <c r="T261" s="198"/>
      <c r="U261" s="198"/>
      <c r="V261" s="198"/>
      <c r="W261" s="198"/>
      <c r="X261" s="198"/>
      <c r="Y261" s="198"/>
      <c r="Z261" s="198"/>
      <c r="AA261" s="198"/>
      <c r="AB261" s="198"/>
      <c r="AC261" s="198"/>
      <c r="AD261" s="198"/>
      <c r="AE261" s="198"/>
      <c r="AF261" s="198"/>
      <c r="AG261" s="198"/>
      <c r="AH261" s="198"/>
      <c r="AI261" s="198"/>
      <c r="AJ261" s="198"/>
      <c r="AK261" s="198"/>
      <c r="AL261" s="198"/>
      <c r="AM261" s="198"/>
      <c r="AN261" s="198"/>
      <c r="AO261" s="198"/>
      <c r="AP261" s="198"/>
      <c r="AQ261" s="198"/>
      <c r="AR261" s="198"/>
      <c r="AS261" s="198"/>
    </row>
    <row r="262" spans="1:45" ht="15" customHeight="1" x14ac:dyDescent="0.3">
      <c r="A262" s="464"/>
      <c r="B262" s="464"/>
      <c r="C262" s="496"/>
      <c r="D262" s="470"/>
      <c r="E262" s="168" t="str">
        <f t="shared" ref="E262:O262" si="98" xml:space="preserve"> INDEX(E253:E259, MATCH($F261, $F253:$F259, 0))</f>
        <v>Co forecast: IMF_WEO</v>
      </c>
      <c r="F262" s="168" t="str">
        <f t="shared" si="98"/>
        <v>IMF_WEO</v>
      </c>
      <c r="G262" s="168" t="str">
        <f t="shared" si="98"/>
        <v>$ / tonne</v>
      </c>
      <c r="H262" s="168">
        <f t="shared" si="98"/>
        <v>0</v>
      </c>
      <c r="I262" s="168">
        <f t="shared" si="98"/>
        <v>0</v>
      </c>
      <c r="J262" s="168">
        <f t="shared" si="98"/>
        <v>0</v>
      </c>
      <c r="K262" s="465">
        <f t="shared" si="98"/>
        <v>0</v>
      </c>
      <c r="L262" s="465">
        <f t="shared" si="98"/>
        <v>0</v>
      </c>
      <c r="M262" s="465">
        <f t="shared" si="98"/>
        <v>0</v>
      </c>
      <c r="N262" s="465">
        <f t="shared" si="98"/>
        <v>0</v>
      </c>
      <c r="O262" s="465">
        <f t="shared" si="98"/>
        <v>0</v>
      </c>
      <c r="P262" s="465">
        <f t="shared" ref="P262:AS262" si="99" xml:space="preserve"> INDEX(P253:P259, MATCH($F261, $F253:$F259, 0))</f>
        <v>0</v>
      </c>
      <c r="Q262" s="465">
        <f t="shared" si="99"/>
        <v>0</v>
      </c>
      <c r="R262" s="465">
        <f t="shared" si="99"/>
        <v>0</v>
      </c>
      <c r="S262" s="465">
        <f t="shared" si="99"/>
        <v>0</v>
      </c>
      <c r="T262" s="168">
        <f t="shared" si="99"/>
        <v>0</v>
      </c>
      <c r="U262" s="168">
        <f t="shared" si="99"/>
        <v>0</v>
      </c>
      <c r="V262" s="168">
        <f t="shared" si="99"/>
        <v>0</v>
      </c>
      <c r="W262" s="168">
        <f t="shared" si="99"/>
        <v>0</v>
      </c>
      <c r="X262" s="168">
        <f t="shared" si="99"/>
        <v>0</v>
      </c>
      <c r="Y262" s="168">
        <f t="shared" si="99"/>
        <v>0</v>
      </c>
      <c r="Z262" s="168">
        <f t="shared" si="99"/>
        <v>0</v>
      </c>
      <c r="AA262" s="168">
        <f t="shared" si="99"/>
        <v>0</v>
      </c>
      <c r="AB262" s="168">
        <f t="shared" si="99"/>
        <v>0</v>
      </c>
      <c r="AC262" s="168">
        <f t="shared" si="99"/>
        <v>0</v>
      </c>
      <c r="AD262" s="168">
        <f t="shared" si="99"/>
        <v>40000</v>
      </c>
      <c r="AE262" s="168">
        <f t="shared" si="99"/>
        <v>40000</v>
      </c>
      <c r="AF262" s="168">
        <f t="shared" si="99"/>
        <v>40000</v>
      </c>
      <c r="AG262" s="168">
        <f t="shared" si="99"/>
        <v>40000</v>
      </c>
      <c r="AH262" s="168">
        <f t="shared" si="99"/>
        <v>40000</v>
      </c>
      <c r="AI262" s="168">
        <f t="shared" si="99"/>
        <v>40869.962046162531</v>
      </c>
      <c r="AJ262" s="168">
        <f t="shared" si="99"/>
        <v>41687.361287085783</v>
      </c>
      <c r="AK262" s="168">
        <f t="shared" si="99"/>
        <v>42521.108512827494</v>
      </c>
      <c r="AL262" s="168">
        <f t="shared" si="99"/>
        <v>43371.530683084049</v>
      </c>
      <c r="AM262" s="168">
        <f t="shared" si="99"/>
        <v>44238.961296745721</v>
      </c>
      <c r="AN262" s="168">
        <f t="shared" si="99"/>
        <v>45123.740522680637</v>
      </c>
      <c r="AO262" s="168">
        <f t="shared" si="99"/>
        <v>46026.215333134256</v>
      </c>
      <c r="AP262" s="168">
        <f t="shared" si="99"/>
        <v>46946.739639796942</v>
      </c>
      <c r="AQ262" s="168">
        <f t="shared" si="99"/>
        <v>47885.674432592888</v>
      </c>
      <c r="AR262" s="168">
        <f t="shared" si="99"/>
        <v>48843.38792124475</v>
      </c>
      <c r="AS262" s="168">
        <f t="shared" si="99"/>
        <v>49820.255679669637</v>
      </c>
    </row>
    <row r="263" spans="1:45" ht="15" customHeight="1" x14ac:dyDescent="0.3">
      <c r="A263" s="197"/>
      <c r="B263" s="197"/>
      <c r="C263" s="241"/>
      <c r="D263" s="242"/>
      <c r="E263" s="424"/>
      <c r="F263" s="654"/>
      <c r="G263" s="654"/>
      <c r="H263" s="424"/>
      <c r="I263" s="424"/>
      <c r="J263" s="246"/>
      <c r="K263" s="198"/>
      <c r="L263" s="198"/>
      <c r="M263" s="198"/>
      <c r="N263" s="198"/>
      <c r="O263" s="198"/>
      <c r="P263" s="198"/>
      <c r="Q263" s="198"/>
      <c r="R263" s="198"/>
      <c r="S263" s="198"/>
      <c r="T263" s="198"/>
      <c r="U263" s="198"/>
      <c r="V263" s="198"/>
      <c r="W263" s="198"/>
      <c r="X263" s="198"/>
      <c r="Y263" s="198"/>
      <c r="Z263" s="198"/>
      <c r="AA263" s="198"/>
      <c r="AB263" s="198"/>
      <c r="AC263" s="198"/>
      <c r="AD263" s="198"/>
      <c r="AE263" s="198"/>
      <c r="AF263" s="198"/>
      <c r="AG263" s="198"/>
      <c r="AH263" s="198"/>
      <c r="AI263" s="198"/>
      <c r="AJ263" s="198"/>
      <c r="AK263" s="198"/>
      <c r="AL263" s="198"/>
      <c r="AM263" s="198"/>
      <c r="AN263" s="198"/>
      <c r="AO263" s="198"/>
      <c r="AP263" s="198"/>
      <c r="AQ263" s="198"/>
      <c r="AR263" s="198"/>
      <c r="AS263" s="198"/>
    </row>
    <row r="264" spans="1:45" ht="15" customHeight="1" x14ac:dyDescent="0.3">
      <c r="A264" s="15" t="s">
        <v>40</v>
      </c>
      <c r="B264" s="16"/>
      <c r="C264" s="17"/>
      <c r="D264" s="18"/>
      <c r="E264" s="196"/>
      <c r="F264" s="196"/>
      <c r="G264" s="196"/>
      <c r="H264" s="196"/>
      <c r="I264" s="196"/>
      <c r="J264" s="16"/>
      <c r="K264" s="16"/>
      <c r="L264" s="16"/>
      <c r="M264" s="16"/>
      <c r="N264" s="16"/>
      <c r="O264" s="16"/>
      <c r="P264" s="16"/>
      <c r="Q264" s="16"/>
      <c r="R264" s="16"/>
      <c r="S264" s="16"/>
      <c r="T264" s="16"/>
      <c r="U264" s="16"/>
      <c r="V264" s="16"/>
      <c r="W264" s="16"/>
      <c r="X264" s="16"/>
      <c r="Y264" s="16"/>
      <c r="Z264" s="16"/>
      <c r="AA264" s="16"/>
      <c r="AB264" s="16"/>
      <c r="AC264" s="16"/>
      <c r="AD264" s="16"/>
      <c r="AE264" s="16"/>
      <c r="AF264" s="16"/>
      <c r="AG264" s="16"/>
      <c r="AH264" s="16"/>
      <c r="AI264" s="16"/>
      <c r="AJ264" s="16"/>
      <c r="AK264" s="16"/>
      <c r="AL264" s="16"/>
      <c r="AM264" s="16"/>
      <c r="AN264" s="16"/>
      <c r="AO264" s="16"/>
      <c r="AP264" s="16"/>
      <c r="AQ264" s="16"/>
      <c r="AR264" s="16"/>
      <c r="AS264" s="16"/>
    </row>
    <row r="265" spans="1:45" ht="15" customHeight="1" x14ac:dyDescent="0.3">
      <c r="D265" s="20"/>
      <c r="E265" s="142"/>
      <c r="F265" s="142"/>
      <c r="G265" s="142"/>
      <c r="H265" s="142"/>
      <c r="I265" s="142"/>
      <c r="AL265" s="3"/>
      <c r="AM265" s="3"/>
      <c r="AN265" s="3"/>
      <c r="AO265" s="3"/>
      <c r="AP265" s="3"/>
      <c r="AQ265" s="3"/>
      <c r="AR265" s="3"/>
      <c r="AS265" s="3"/>
    </row>
    <row r="266" spans="1:45" ht="15" customHeight="1" x14ac:dyDescent="0.3">
      <c r="B266" s="1" t="s">
        <v>273</v>
      </c>
      <c r="D266" s="20"/>
      <c r="E266" s="142"/>
      <c r="F266" s="142"/>
      <c r="G266" s="142"/>
      <c r="H266" s="142"/>
      <c r="I266" s="142"/>
      <c r="AL266" s="3"/>
      <c r="AM266" s="3"/>
      <c r="AN266" s="3"/>
      <c r="AO266" s="3"/>
      <c r="AP266" s="3"/>
      <c r="AQ266" s="3"/>
      <c r="AR266" s="3"/>
      <c r="AS266" s="3"/>
    </row>
    <row r="267" spans="1:45" ht="15" customHeight="1" x14ac:dyDescent="0.3">
      <c r="A267" s="91"/>
      <c r="B267" s="91"/>
      <c r="C267" s="92"/>
      <c r="D267" s="103"/>
      <c r="E267" s="36" t="s">
        <v>206</v>
      </c>
      <c r="F267" s="189">
        <v>0.6</v>
      </c>
      <c r="G267" s="36" t="s">
        <v>34</v>
      </c>
      <c r="H267" s="183" t="str">
        <f xml:space="preserve"> Sources!I$23</f>
        <v>XVIII</v>
      </c>
      <c r="I267" s="183"/>
      <c r="S267" s="93"/>
      <c r="T267" s="93"/>
      <c r="U267" s="93"/>
      <c r="V267" s="93"/>
      <c r="W267" s="93"/>
      <c r="X267" s="93"/>
      <c r="Y267" s="93"/>
      <c r="Z267" s="93"/>
      <c r="AA267" s="93"/>
      <c r="AB267" s="93"/>
      <c r="AC267" s="93"/>
      <c r="AD267" s="93"/>
      <c r="AE267" s="93"/>
      <c r="AF267" s="93"/>
      <c r="AG267" s="93"/>
      <c r="AH267" s="93"/>
      <c r="AI267" s="93"/>
      <c r="AJ267" s="93"/>
      <c r="AK267" s="93"/>
      <c r="AL267" s="93"/>
      <c r="AM267" s="93"/>
      <c r="AN267" s="93"/>
      <c r="AO267" s="93"/>
      <c r="AP267" s="93"/>
      <c r="AQ267" s="93"/>
      <c r="AR267" s="93"/>
      <c r="AS267" s="93"/>
    </row>
    <row r="268" spans="1:45" ht="15" customHeight="1" x14ac:dyDescent="0.3">
      <c r="A268" s="91"/>
      <c r="B268" s="91"/>
      <c r="C268" s="92"/>
      <c r="D268" s="103"/>
      <c r="E268" s="36" t="s">
        <v>207</v>
      </c>
      <c r="F268" s="188">
        <v>0.3</v>
      </c>
      <c r="G268" s="36" t="s">
        <v>34</v>
      </c>
      <c r="H268" s="183" t="str">
        <f xml:space="preserve"> Sources!I$23</f>
        <v>XVIII</v>
      </c>
      <c r="I268" s="183"/>
      <c r="J268" s="61"/>
      <c r="S268" s="93"/>
      <c r="T268" s="93"/>
      <c r="U268" s="93"/>
      <c r="V268" s="93"/>
      <c r="W268" s="93"/>
      <c r="X268" s="93"/>
      <c r="Y268" s="93"/>
      <c r="Z268" s="93"/>
      <c r="AA268" s="93"/>
      <c r="AB268" s="93"/>
      <c r="AC268" s="93"/>
      <c r="AD268" s="93"/>
      <c r="AE268" s="93"/>
      <c r="AF268" s="93"/>
      <c r="AG268" s="93"/>
      <c r="AH268" s="93"/>
      <c r="AI268" s="93"/>
      <c r="AJ268" s="93"/>
      <c r="AK268" s="93"/>
      <c r="AL268" s="93"/>
      <c r="AM268" s="93"/>
      <c r="AN268" s="93"/>
      <c r="AO268" s="93"/>
      <c r="AP268" s="93"/>
      <c r="AQ268" s="93"/>
      <c r="AR268" s="93"/>
      <c r="AS268" s="93"/>
    </row>
    <row r="269" spans="1:45" ht="15" customHeight="1" x14ac:dyDescent="0.3">
      <c r="D269" s="20"/>
      <c r="E269" s="142"/>
      <c r="F269" s="142"/>
      <c r="G269" s="142"/>
      <c r="H269" s="142"/>
      <c r="I269" s="142"/>
      <c r="AL269" s="3"/>
      <c r="AM269" s="3"/>
      <c r="AN269" s="3"/>
      <c r="AO269" s="3"/>
      <c r="AP269" s="3"/>
      <c r="AQ269" s="3"/>
      <c r="AR269" s="3"/>
      <c r="AS269" s="3"/>
    </row>
    <row r="270" spans="1:45" ht="15" customHeight="1" x14ac:dyDescent="0.3">
      <c r="B270" s="1" t="s">
        <v>81</v>
      </c>
      <c r="D270" s="20"/>
      <c r="E270" s="142"/>
      <c r="F270" s="142"/>
      <c r="G270" s="142"/>
      <c r="H270" s="142"/>
      <c r="I270" s="142"/>
      <c r="AL270" s="3"/>
      <c r="AM270" s="3"/>
      <c r="AN270" s="3"/>
      <c r="AO270" s="3"/>
      <c r="AP270" s="3"/>
      <c r="AQ270" s="3"/>
      <c r="AR270" s="3"/>
      <c r="AS270" s="3"/>
    </row>
    <row r="271" spans="1:45" ht="15" customHeight="1" x14ac:dyDescent="0.3">
      <c r="D271" s="20"/>
      <c r="E271" s="142" t="s">
        <v>102</v>
      </c>
      <c r="F271" s="76">
        <v>194315930</v>
      </c>
      <c r="G271" s="142" t="s">
        <v>82</v>
      </c>
      <c r="H271" s="183" t="str">
        <f xml:space="preserve"> Sources!I$13</f>
        <v>IX</v>
      </c>
      <c r="I271" s="183"/>
      <c r="AL271" s="3"/>
      <c r="AM271" s="3"/>
      <c r="AN271" s="3"/>
      <c r="AO271" s="3"/>
      <c r="AP271" s="3"/>
      <c r="AQ271" s="3"/>
      <c r="AR271" s="3"/>
      <c r="AS271" s="3"/>
    </row>
    <row r="272" spans="1:45" ht="15" customHeight="1" x14ac:dyDescent="0.3">
      <c r="D272" s="20"/>
      <c r="E272" s="142" t="s">
        <v>95</v>
      </c>
      <c r="F272" s="200">
        <v>7.1268000000000002</v>
      </c>
      <c r="G272" s="142" t="s">
        <v>96</v>
      </c>
      <c r="H272" s="183" t="str">
        <f xml:space="preserve"> Sources!I$13</f>
        <v>IX</v>
      </c>
      <c r="I272" s="183"/>
      <c r="J272" s="61"/>
      <c r="AL272" s="3"/>
      <c r="AM272" s="3"/>
      <c r="AN272" s="3"/>
      <c r="AO272" s="3"/>
      <c r="AP272" s="3"/>
      <c r="AQ272" s="3"/>
      <c r="AR272" s="3"/>
      <c r="AS272" s="3"/>
    </row>
    <row r="273" spans="1:45" ht="15" customHeight="1" x14ac:dyDescent="0.3">
      <c r="A273" s="91"/>
      <c r="B273" s="91"/>
      <c r="C273" s="92"/>
      <c r="D273" s="103"/>
      <c r="E273" s="142" t="s">
        <v>81</v>
      </c>
      <c r="F273" s="201">
        <f>F271/F272 * 10^-6</f>
        <v>27.265523095919626</v>
      </c>
      <c r="G273" s="142" t="s">
        <v>346</v>
      </c>
      <c r="H273" s="183"/>
      <c r="I273" s="183"/>
      <c r="S273" s="93"/>
      <c r="T273" s="93"/>
      <c r="U273" s="93"/>
      <c r="V273" s="93"/>
      <c r="W273" s="93"/>
      <c r="X273" s="93"/>
      <c r="Y273" s="93"/>
      <c r="Z273" s="93"/>
      <c r="AA273" s="93"/>
      <c r="AB273" s="93"/>
      <c r="AC273" s="93"/>
      <c r="AD273" s="93"/>
      <c r="AE273" s="93"/>
      <c r="AF273" s="93"/>
      <c r="AG273" s="93"/>
      <c r="AH273" s="93"/>
      <c r="AI273" s="93"/>
      <c r="AJ273" s="93"/>
      <c r="AK273" s="93"/>
      <c r="AL273" s="93"/>
      <c r="AM273" s="93"/>
      <c r="AN273" s="93"/>
      <c r="AO273" s="93"/>
      <c r="AP273" s="93"/>
      <c r="AQ273" s="93"/>
      <c r="AR273" s="93"/>
      <c r="AS273" s="93"/>
    </row>
    <row r="274" spans="1:45" ht="15" customHeight="1" x14ac:dyDescent="0.3">
      <c r="D274" s="20"/>
      <c r="E274" s="142"/>
      <c r="F274" s="201"/>
      <c r="G274" s="142"/>
      <c r="H274" s="183"/>
      <c r="I274" s="183"/>
      <c r="AL274" s="3"/>
      <c r="AM274" s="3"/>
      <c r="AN274" s="3"/>
      <c r="AO274" s="3"/>
      <c r="AP274" s="3"/>
      <c r="AQ274" s="3"/>
      <c r="AR274" s="3"/>
      <c r="AS274" s="3"/>
    </row>
    <row r="275" spans="1:45" ht="15" customHeight="1" x14ac:dyDescent="0.3">
      <c r="B275" s="1" t="s">
        <v>150</v>
      </c>
      <c r="D275" s="20"/>
      <c r="E275" s="142"/>
      <c r="F275" s="201"/>
      <c r="G275" s="142"/>
      <c r="H275" s="183"/>
      <c r="I275" s="183"/>
      <c r="AL275" s="3"/>
      <c r="AM275" s="3"/>
      <c r="AN275" s="3"/>
      <c r="AO275" s="3"/>
      <c r="AP275" s="3"/>
      <c r="AQ275" s="3"/>
      <c r="AR275" s="3"/>
      <c r="AS275" s="3"/>
    </row>
    <row r="276" spans="1:45" ht="15" customHeight="1" x14ac:dyDescent="0.3">
      <c r="A276" s="91"/>
      <c r="B276" s="91"/>
      <c r="C276" s="92"/>
      <c r="D276" s="103"/>
      <c r="E276" s="142" t="s">
        <v>151</v>
      </c>
      <c r="F276" s="200">
        <v>22.69415</v>
      </c>
      <c r="G276" s="142" t="s">
        <v>346</v>
      </c>
      <c r="H276" s="183" t="str">
        <f xml:space="preserve"> Sources!I$7</f>
        <v>III</v>
      </c>
      <c r="I276" s="183"/>
      <c r="J276" s="61"/>
      <c r="S276" s="93"/>
      <c r="T276" s="93"/>
      <c r="U276" s="93"/>
      <c r="V276" s="93"/>
      <c r="W276" s="93"/>
      <c r="X276" s="93"/>
      <c r="Y276" s="93"/>
      <c r="Z276" s="93"/>
      <c r="AA276" s="93"/>
      <c r="AB276" s="93"/>
      <c r="AC276" s="93"/>
      <c r="AD276" s="93"/>
      <c r="AE276" s="93"/>
      <c r="AF276" s="93"/>
      <c r="AG276" s="93"/>
      <c r="AH276" s="93"/>
      <c r="AI276" s="93"/>
      <c r="AJ276" s="93"/>
      <c r="AK276" s="93"/>
      <c r="AL276" s="93"/>
      <c r="AM276" s="93"/>
      <c r="AN276" s="93"/>
      <c r="AO276" s="93"/>
      <c r="AP276" s="93"/>
      <c r="AQ276" s="93"/>
      <c r="AR276" s="93"/>
      <c r="AS276" s="93"/>
    </row>
    <row r="277" spans="1:45" ht="15" customHeight="1" x14ac:dyDescent="0.3">
      <c r="D277" s="20"/>
      <c r="E277" s="142"/>
      <c r="F277" s="201"/>
      <c r="G277" s="142"/>
      <c r="H277" s="183"/>
      <c r="I277" s="183"/>
      <c r="AL277" s="3"/>
      <c r="AM277" s="3"/>
      <c r="AN277" s="3"/>
      <c r="AO277" s="3"/>
      <c r="AP277" s="3"/>
      <c r="AQ277" s="3"/>
      <c r="AR277" s="3"/>
      <c r="AS277" s="3"/>
    </row>
    <row r="278" spans="1:45" ht="15" customHeight="1" x14ac:dyDescent="0.3">
      <c r="B278" s="1" t="s">
        <v>143</v>
      </c>
      <c r="D278" s="20"/>
      <c r="E278" s="142"/>
      <c r="F278" s="201"/>
      <c r="G278" s="142"/>
      <c r="H278" s="183"/>
      <c r="I278" s="183"/>
      <c r="AL278" s="3"/>
      <c r="AM278" s="3"/>
      <c r="AN278" s="3"/>
      <c r="AO278" s="3"/>
      <c r="AP278" s="3"/>
      <c r="AQ278" s="3"/>
      <c r="AR278" s="3"/>
      <c r="AS278" s="3"/>
    </row>
    <row r="279" spans="1:45" ht="15" customHeight="1" x14ac:dyDescent="0.3">
      <c r="D279" s="20"/>
      <c r="E279" s="142" t="s">
        <v>137</v>
      </c>
      <c r="F279" s="187">
        <v>0.12470000000000001</v>
      </c>
      <c r="G279" s="142" t="s">
        <v>140</v>
      </c>
      <c r="H279" s="183" t="str">
        <f xml:space="preserve"> Sources!I$13</f>
        <v>IX</v>
      </c>
      <c r="I279" s="183"/>
      <c r="S279" s="87"/>
      <c r="T279" s="87"/>
      <c r="U279" s="87"/>
      <c r="V279" s="87"/>
      <c r="W279" s="87"/>
      <c r="X279" s="87"/>
      <c r="Y279" s="87"/>
      <c r="Z279" s="87"/>
      <c r="AA279" s="87"/>
      <c r="AB279" s="87"/>
      <c r="AC279" s="87"/>
      <c r="AD279" s="87"/>
      <c r="AE279" s="87"/>
      <c r="AF279" s="87"/>
      <c r="AG279" s="87"/>
      <c r="AH279" s="87"/>
      <c r="AI279" s="87"/>
      <c r="AJ279" s="87"/>
      <c r="AK279" s="87"/>
      <c r="AL279" s="87"/>
      <c r="AM279" s="87"/>
      <c r="AN279" s="87"/>
      <c r="AO279" s="87"/>
      <c r="AP279" s="87"/>
      <c r="AQ279" s="87"/>
      <c r="AR279" s="87"/>
      <c r="AS279" s="87"/>
    </row>
    <row r="280" spans="1:45" ht="15" customHeight="1" x14ac:dyDescent="0.3">
      <c r="D280" s="20"/>
      <c r="E280" s="142" t="s">
        <v>138</v>
      </c>
      <c r="F280" s="187">
        <v>0.98499999999999999</v>
      </c>
      <c r="G280" s="142" t="s">
        <v>140</v>
      </c>
      <c r="H280" s="183" t="str">
        <f xml:space="preserve"> Sources!I$13</f>
        <v>IX</v>
      </c>
      <c r="I280" s="183"/>
      <c r="J280" s="61"/>
      <c r="AL280" s="3"/>
      <c r="AM280" s="3"/>
      <c r="AN280" s="3"/>
      <c r="AO280" s="3"/>
      <c r="AP280" s="3"/>
      <c r="AQ280" s="3"/>
      <c r="AR280" s="3"/>
      <c r="AS280" s="3"/>
    </row>
    <row r="281" spans="1:45" ht="15" customHeight="1" x14ac:dyDescent="0.3">
      <c r="D281" s="20"/>
      <c r="E281" s="142" t="s">
        <v>139</v>
      </c>
      <c r="F281" s="200">
        <v>1.8171554999999999</v>
      </c>
      <c r="G281" s="142" t="s">
        <v>140</v>
      </c>
      <c r="H281" s="183" t="str">
        <f xml:space="preserve"> Sources!I$13</f>
        <v>IX</v>
      </c>
      <c r="I281" s="183"/>
      <c r="AL281" s="3"/>
      <c r="AM281" s="3"/>
      <c r="AN281" s="3"/>
      <c r="AO281" s="3"/>
      <c r="AP281" s="3"/>
      <c r="AQ281" s="3"/>
      <c r="AR281" s="3"/>
      <c r="AS281" s="3"/>
    </row>
    <row r="282" spans="1:45" ht="15" customHeight="1" x14ac:dyDescent="0.3">
      <c r="D282" s="20"/>
      <c r="E282" s="142"/>
      <c r="F282" s="142"/>
      <c r="G282" s="142"/>
      <c r="H282" s="186"/>
      <c r="I282" s="186"/>
      <c r="AL282" s="3"/>
      <c r="AM282" s="3"/>
      <c r="AN282" s="3"/>
      <c r="AO282" s="3"/>
      <c r="AP282" s="3"/>
      <c r="AQ282" s="3"/>
      <c r="AR282" s="3"/>
      <c r="AS282" s="3"/>
    </row>
    <row r="283" spans="1:45" ht="15" customHeight="1" x14ac:dyDescent="0.3">
      <c r="D283" s="20"/>
      <c r="E283" s="142" t="s">
        <v>141</v>
      </c>
      <c r="F283" s="201">
        <f xml:space="preserve"> (F281 - (F279 + F280))/2</f>
        <v>0.35372775000000001</v>
      </c>
      <c r="G283" s="142" t="s">
        <v>140</v>
      </c>
      <c r="H283" s="183"/>
      <c r="I283" s="183"/>
      <c r="AL283" s="3"/>
      <c r="AM283" s="3"/>
      <c r="AN283" s="3"/>
      <c r="AO283" s="3"/>
      <c r="AP283" s="3"/>
      <c r="AQ283" s="3"/>
      <c r="AR283" s="3"/>
      <c r="AS283" s="3"/>
    </row>
    <row r="284" spans="1:45" ht="15" customHeight="1" x14ac:dyDescent="0.3">
      <c r="D284" s="20"/>
      <c r="E284" s="142" t="s">
        <v>142</v>
      </c>
      <c r="F284" s="200">
        <v>0.70483479999999998</v>
      </c>
      <c r="G284" s="142" t="s">
        <v>140</v>
      </c>
      <c r="H284" s="183" t="str">
        <f xml:space="preserve"> Sources!I$13</f>
        <v>IX</v>
      </c>
      <c r="I284" s="183"/>
      <c r="J284" s="61"/>
      <c r="AL284" s="3"/>
      <c r="AM284" s="3"/>
      <c r="AN284" s="3"/>
      <c r="AO284" s="3"/>
      <c r="AP284" s="3"/>
      <c r="AQ284" s="3"/>
      <c r="AR284" s="3"/>
      <c r="AS284" s="3"/>
    </row>
    <row r="285" spans="1:45" ht="15" customHeight="1" x14ac:dyDescent="0.3">
      <c r="D285" s="20"/>
      <c r="E285" s="142"/>
      <c r="F285" s="201"/>
      <c r="G285" s="142"/>
      <c r="H285" s="183"/>
      <c r="I285" s="183"/>
      <c r="S285" s="142"/>
      <c r="T285" s="142"/>
      <c r="U285" s="142"/>
      <c r="V285" s="142"/>
      <c r="W285" s="142"/>
      <c r="X285" s="142"/>
      <c r="Y285" s="142"/>
      <c r="Z285" s="142"/>
      <c r="AA285" s="142"/>
      <c r="AB285" s="142"/>
      <c r="AC285" s="142"/>
      <c r="AD285" s="142"/>
      <c r="AE285" s="142"/>
      <c r="AF285" s="142"/>
      <c r="AG285" s="142"/>
      <c r="AH285" s="142"/>
      <c r="AI285" s="142"/>
      <c r="AJ285" s="142"/>
      <c r="AK285" s="142"/>
      <c r="AL285" s="142"/>
      <c r="AM285" s="142"/>
      <c r="AN285" s="142"/>
      <c r="AO285" s="142"/>
      <c r="AP285" s="142"/>
      <c r="AQ285" s="142"/>
      <c r="AR285" s="142"/>
      <c r="AS285" s="142"/>
    </row>
    <row r="286" spans="1:45" ht="15" customHeight="1" x14ac:dyDescent="0.3">
      <c r="E286" s="142" t="s">
        <v>97</v>
      </c>
      <c r="F286" s="142"/>
      <c r="G286" s="142" t="s">
        <v>96</v>
      </c>
      <c r="H286" s="183" t="str">
        <f xml:space="preserve"> Sources!I$13</f>
        <v>IX</v>
      </c>
      <c r="I286" s="183"/>
      <c r="K286" s="200"/>
      <c r="L286" s="200"/>
      <c r="M286" s="200"/>
      <c r="N286" s="200"/>
      <c r="O286" s="200"/>
      <c r="P286" s="200"/>
      <c r="Q286" s="200"/>
      <c r="R286" s="200"/>
      <c r="S286" s="200"/>
      <c r="T286" s="200">
        <v>6.4935999999999998</v>
      </c>
      <c r="U286" s="200">
        <v>6.9370000000000003</v>
      </c>
      <c r="V286" s="200">
        <v>6.5342000000000002</v>
      </c>
      <c r="W286" s="200">
        <v>6.8632</v>
      </c>
      <c r="X286" s="200">
        <v>6.9762000000000004</v>
      </c>
      <c r="Y286" s="206">
        <v>6.5248999999999997</v>
      </c>
      <c r="Z286" s="206">
        <v>6.3757000000000001</v>
      </c>
      <c r="AA286" s="206">
        <v>6.9645999999999999</v>
      </c>
      <c r="AB286" s="206">
        <v>7.0827</v>
      </c>
      <c r="AC286" s="200">
        <v>7.18</v>
      </c>
      <c r="AD286" s="79"/>
      <c r="AE286" s="79"/>
      <c r="AF286" s="79"/>
      <c r="AG286" s="79"/>
      <c r="AH286" s="79"/>
      <c r="AI286" s="79"/>
      <c r="AJ286" s="79"/>
      <c r="AK286" s="79"/>
      <c r="AL286" s="79"/>
      <c r="AM286" s="79"/>
      <c r="AN286" s="79"/>
      <c r="AO286" s="79"/>
      <c r="AP286" s="79"/>
      <c r="AQ286" s="79"/>
      <c r="AR286" s="79"/>
      <c r="AS286" s="79"/>
    </row>
    <row r="287" spans="1:45" ht="15" customHeight="1" x14ac:dyDescent="0.3">
      <c r="D287" s="20"/>
      <c r="E287" s="142" t="s">
        <v>145</v>
      </c>
      <c r="F287" s="201"/>
      <c r="G287" s="142" t="s">
        <v>140</v>
      </c>
      <c r="H287" s="183"/>
      <c r="I287" s="183"/>
      <c r="K287" s="207"/>
      <c r="L287" s="207"/>
      <c r="M287" s="207"/>
      <c r="N287" s="207"/>
      <c r="O287" s="207"/>
      <c r="P287" s="207"/>
      <c r="Q287" s="207"/>
      <c r="R287" s="207"/>
      <c r="S287" s="207"/>
      <c r="T287" s="207">
        <v>0.12470000000000001</v>
      </c>
      <c r="U287" s="207">
        <f>F280</f>
        <v>0.98499999999999999</v>
      </c>
      <c r="V287" s="207">
        <f>F283</f>
        <v>0.35372775000000001</v>
      </c>
      <c r="W287" s="207">
        <f>F283</f>
        <v>0.35372775000000001</v>
      </c>
      <c r="X287" s="207">
        <f>F284</f>
        <v>0.70483479999999998</v>
      </c>
      <c r="Y287" s="207"/>
      <c r="Z287" s="207"/>
      <c r="AA287" s="207"/>
      <c r="AB287" s="207"/>
      <c r="AC287" s="207"/>
      <c r="AD287" s="207"/>
      <c r="AE287" s="207"/>
      <c r="AF287" s="207"/>
      <c r="AG287" s="207"/>
      <c r="AH287" s="207"/>
      <c r="AI287" s="207"/>
      <c r="AJ287" s="207"/>
      <c r="AK287" s="207"/>
      <c r="AL287" s="207"/>
      <c r="AM287" s="207"/>
      <c r="AN287" s="207"/>
      <c r="AO287" s="207"/>
      <c r="AP287" s="207"/>
      <c r="AQ287" s="207"/>
      <c r="AR287" s="207"/>
      <c r="AS287" s="207"/>
    </row>
    <row r="288" spans="1:45" ht="15" customHeight="1" x14ac:dyDescent="0.3">
      <c r="A288" s="91"/>
      <c r="B288" s="91"/>
      <c r="C288" s="92"/>
      <c r="D288" s="103"/>
      <c r="E288" s="142" t="s">
        <v>146</v>
      </c>
      <c r="F288" s="201"/>
      <c r="G288" s="142" t="s">
        <v>346</v>
      </c>
      <c r="H288" s="183"/>
      <c r="I288" s="183">
        <f>SUM(K288:AQ288)</f>
        <v>367.90453260487413</v>
      </c>
      <c r="J288" s="61"/>
      <c r="K288" s="208"/>
      <c r="L288" s="208"/>
      <c r="M288" s="208"/>
      <c r="N288" s="208"/>
      <c r="O288" s="208"/>
      <c r="P288" s="208"/>
      <c r="Q288" s="208"/>
      <c r="R288" s="208"/>
      <c r="S288" s="208"/>
      <c r="T288" s="208">
        <f>T287/T286 * 10^3</f>
        <v>19.203523469262041</v>
      </c>
      <c r="U288" s="208">
        <f>U287/U286 * 10^3</f>
        <v>141.99221565518235</v>
      </c>
      <c r="V288" s="208">
        <f>V287/V286 * 10^3</f>
        <v>54.134821401242689</v>
      </c>
      <c r="W288" s="208">
        <f>W287/W286 * 10^3</f>
        <v>51.539770078097682</v>
      </c>
      <c r="X288" s="208">
        <f>X287/X286 * 10^3</f>
        <v>101.03420200108941</v>
      </c>
      <c r="Y288" s="207"/>
      <c r="Z288" s="207"/>
      <c r="AA288" s="207"/>
      <c r="AB288" s="207"/>
      <c r="AC288" s="207"/>
      <c r="AD288" s="207"/>
      <c r="AE288" s="207"/>
      <c r="AF288" s="207"/>
      <c r="AG288" s="207"/>
      <c r="AH288" s="207"/>
      <c r="AI288" s="207"/>
      <c r="AJ288" s="207"/>
      <c r="AK288" s="207"/>
      <c r="AL288" s="207"/>
      <c r="AM288" s="207"/>
      <c r="AN288" s="207"/>
      <c r="AO288" s="207"/>
      <c r="AP288" s="207"/>
      <c r="AQ288" s="207"/>
      <c r="AR288" s="207"/>
      <c r="AS288" s="207"/>
    </row>
    <row r="289" spans="1:45" ht="15" customHeight="1" x14ac:dyDescent="0.3">
      <c r="D289" s="20"/>
      <c r="E289" s="142"/>
      <c r="F289" s="201"/>
      <c r="G289" s="142"/>
      <c r="H289" s="183"/>
      <c r="I289" s="183"/>
      <c r="K289" s="143"/>
      <c r="L289" s="143"/>
      <c r="M289" s="143"/>
      <c r="N289" s="143"/>
      <c r="O289" s="143"/>
      <c r="P289" s="143"/>
      <c r="Q289" s="143"/>
      <c r="R289" s="143"/>
      <c r="S289" s="143"/>
      <c r="T289" s="143"/>
      <c r="U289" s="208"/>
      <c r="V289" s="208"/>
      <c r="W289" s="208"/>
      <c r="X289" s="208"/>
      <c r="Y289" s="207"/>
      <c r="Z289" s="207"/>
      <c r="AA289" s="207"/>
      <c r="AB289" s="207"/>
      <c r="AC289" s="207"/>
      <c r="AD289" s="207"/>
      <c r="AE289" s="207"/>
      <c r="AF289" s="207"/>
      <c r="AG289" s="207"/>
      <c r="AH289" s="207"/>
      <c r="AI289" s="207"/>
      <c r="AJ289" s="207"/>
      <c r="AK289" s="207"/>
      <c r="AL289" s="207"/>
      <c r="AM289" s="207"/>
      <c r="AN289" s="207"/>
      <c r="AO289" s="207"/>
      <c r="AP289" s="207"/>
      <c r="AQ289" s="207"/>
      <c r="AR289" s="207"/>
      <c r="AS289" s="207"/>
    </row>
    <row r="290" spans="1:45" ht="15" customHeight="1" x14ac:dyDescent="0.3">
      <c r="B290" s="1" t="s">
        <v>144</v>
      </c>
      <c r="D290" s="20"/>
      <c r="E290" s="142"/>
      <c r="F290" s="201"/>
      <c r="G290" s="142"/>
      <c r="H290" s="183"/>
      <c r="I290" s="183"/>
      <c r="K290" s="143"/>
      <c r="L290" s="143"/>
      <c r="M290" s="143"/>
      <c r="N290" s="143"/>
      <c r="O290" s="143"/>
      <c r="P290" s="143"/>
      <c r="Q290" s="143"/>
      <c r="R290" s="143"/>
      <c r="S290" s="143"/>
      <c r="T290" s="143"/>
      <c r="U290" s="208"/>
      <c r="V290" s="208"/>
      <c r="W290" s="208"/>
      <c r="X290" s="208"/>
      <c r="Y290" s="207"/>
      <c r="Z290" s="207"/>
      <c r="AA290" s="207"/>
      <c r="AB290" s="207"/>
      <c r="AC290" s="207"/>
      <c r="AD290" s="207"/>
      <c r="AE290" s="207"/>
      <c r="AF290" s="207"/>
      <c r="AG290" s="207"/>
      <c r="AH290" s="207"/>
      <c r="AI290" s="207"/>
      <c r="AJ290" s="207"/>
      <c r="AK290" s="207"/>
      <c r="AL290" s="207"/>
      <c r="AM290" s="207"/>
      <c r="AN290" s="207"/>
      <c r="AO290" s="207"/>
      <c r="AP290" s="207"/>
      <c r="AQ290" s="207"/>
      <c r="AR290" s="207"/>
      <c r="AS290" s="207"/>
    </row>
    <row r="291" spans="1:45" ht="15" customHeight="1" x14ac:dyDescent="0.3">
      <c r="D291" s="20"/>
      <c r="E291" s="142" t="str">
        <f xml:space="preserve"> E$286</f>
        <v>RMB/USD exchange rate</v>
      </c>
      <c r="F291" s="142"/>
      <c r="G291" s="142" t="str">
        <f xml:space="preserve"> G$286</f>
        <v>RMB/USD</v>
      </c>
      <c r="H291" s="142" t="str">
        <f xml:space="preserve"> H$286</f>
        <v>IX</v>
      </c>
      <c r="I291" s="142">
        <f xml:space="preserve"> I$286</f>
        <v>0</v>
      </c>
      <c r="K291" s="209"/>
      <c r="L291" s="209"/>
      <c r="M291" s="209"/>
      <c r="N291" s="209"/>
      <c r="O291" s="209"/>
      <c r="P291" s="209"/>
      <c r="Q291" s="209"/>
      <c r="R291" s="209"/>
      <c r="S291" s="209"/>
      <c r="T291" s="209">
        <f t="shared" ref="T291:AS291" si="100" xml:space="preserve"> T$286</f>
        <v>6.4935999999999998</v>
      </c>
      <c r="U291" s="209">
        <f t="shared" si="100"/>
        <v>6.9370000000000003</v>
      </c>
      <c r="V291" s="209">
        <f t="shared" si="100"/>
        <v>6.5342000000000002</v>
      </c>
      <c r="W291" s="209">
        <f t="shared" si="100"/>
        <v>6.8632</v>
      </c>
      <c r="X291" s="209">
        <f t="shared" si="100"/>
        <v>6.9762000000000004</v>
      </c>
      <c r="Y291" s="209">
        <f t="shared" si="100"/>
        <v>6.5248999999999997</v>
      </c>
      <c r="Z291" s="209">
        <f t="shared" si="100"/>
        <v>6.3757000000000001</v>
      </c>
      <c r="AA291" s="209">
        <f t="shared" si="100"/>
        <v>6.9645999999999999</v>
      </c>
      <c r="AB291" s="209">
        <f t="shared" si="100"/>
        <v>7.0827</v>
      </c>
      <c r="AC291" s="209">
        <f t="shared" si="100"/>
        <v>7.18</v>
      </c>
      <c r="AD291" s="142">
        <f t="shared" si="100"/>
        <v>0</v>
      </c>
      <c r="AE291" s="142">
        <f t="shared" si="100"/>
        <v>0</v>
      </c>
      <c r="AF291" s="142">
        <f t="shared" si="100"/>
        <v>0</v>
      </c>
      <c r="AG291" s="142">
        <f t="shared" si="100"/>
        <v>0</v>
      </c>
      <c r="AH291" s="142">
        <f t="shared" si="100"/>
        <v>0</v>
      </c>
      <c r="AI291" s="142">
        <f t="shared" si="100"/>
        <v>0</v>
      </c>
      <c r="AJ291" s="142">
        <f t="shared" si="100"/>
        <v>0</v>
      </c>
      <c r="AK291" s="142">
        <f t="shared" si="100"/>
        <v>0</v>
      </c>
      <c r="AL291" s="142">
        <f t="shared" si="100"/>
        <v>0</v>
      </c>
      <c r="AM291" s="142">
        <f t="shared" si="100"/>
        <v>0</v>
      </c>
      <c r="AN291" s="142">
        <f t="shared" si="100"/>
        <v>0</v>
      </c>
      <c r="AO291" s="142">
        <f t="shared" si="100"/>
        <v>0</v>
      </c>
      <c r="AP291" s="142">
        <f t="shared" si="100"/>
        <v>0</v>
      </c>
      <c r="AQ291" s="142">
        <f t="shared" si="100"/>
        <v>0</v>
      </c>
      <c r="AR291" s="142">
        <f t="shared" si="100"/>
        <v>0</v>
      </c>
      <c r="AS291" s="142">
        <f t="shared" si="100"/>
        <v>0</v>
      </c>
    </row>
    <row r="292" spans="1:45" ht="15" customHeight="1" x14ac:dyDescent="0.3">
      <c r="D292" s="20"/>
      <c r="E292" s="142" t="s">
        <v>148</v>
      </c>
      <c r="F292" s="201"/>
      <c r="G292" s="142" t="s">
        <v>140</v>
      </c>
      <c r="H292" s="183" t="str">
        <f xml:space="preserve"> Sources!I$13</f>
        <v>IX</v>
      </c>
      <c r="I292" s="183"/>
      <c r="J292" s="61"/>
      <c r="K292" s="206"/>
      <c r="L292" s="206"/>
      <c r="M292" s="206"/>
      <c r="N292" s="206"/>
      <c r="O292" s="206"/>
      <c r="P292" s="206"/>
      <c r="Q292" s="206"/>
      <c r="R292" s="206"/>
      <c r="S292" s="206"/>
      <c r="T292" s="206">
        <v>0.14784485999999999</v>
      </c>
      <c r="U292" s="206">
        <v>0.54281307499999998</v>
      </c>
      <c r="V292" s="206">
        <v>0.27302808499999998</v>
      </c>
      <c r="W292" s="206">
        <v>0.37741170400000001</v>
      </c>
      <c r="X292" s="206">
        <v>1.2625958340000001</v>
      </c>
      <c r="Y292" s="206">
        <v>0.22526003999999999</v>
      </c>
      <c r="Z292" s="206">
        <v>0.31536467699999998</v>
      </c>
      <c r="AA292" s="206"/>
      <c r="AB292" s="206"/>
      <c r="AC292" s="206"/>
      <c r="AD292" s="206"/>
      <c r="AE292" s="206"/>
      <c r="AF292" s="206"/>
      <c r="AG292" s="206"/>
      <c r="AH292" s="206"/>
      <c r="AI292" s="206"/>
      <c r="AJ292" s="206"/>
      <c r="AK292" s="206"/>
      <c r="AL292" s="206"/>
      <c r="AM292" s="206"/>
      <c r="AN292" s="206"/>
      <c r="AO292" s="206"/>
      <c r="AP292" s="206"/>
      <c r="AQ292" s="206"/>
      <c r="AR292" s="206"/>
      <c r="AS292" s="206"/>
    </row>
    <row r="293" spans="1:45" ht="15" customHeight="1" x14ac:dyDescent="0.3">
      <c r="A293" s="91"/>
      <c r="B293" s="91"/>
      <c r="C293" s="92"/>
      <c r="D293" s="103"/>
      <c r="E293" s="142" t="s">
        <v>147</v>
      </c>
      <c r="F293" s="201"/>
      <c r="G293" s="142" t="s">
        <v>346</v>
      </c>
      <c r="H293" s="183"/>
      <c r="I293" s="183">
        <f>SUM(K293:AQ293)</f>
        <v>462.76471292061171</v>
      </c>
      <c r="K293" s="208"/>
      <c r="L293" s="208"/>
      <c r="M293" s="208"/>
      <c r="N293" s="208"/>
      <c r="O293" s="208"/>
      <c r="P293" s="208"/>
      <c r="Q293" s="208"/>
      <c r="R293" s="208"/>
      <c r="S293" s="208"/>
      <c r="T293" s="208">
        <f t="shared" ref="T293:Z293" si="101">T292/T291 * 10^3</f>
        <v>22.767780583959592</v>
      </c>
      <c r="U293" s="208">
        <f t="shared" si="101"/>
        <v>78.248965691220988</v>
      </c>
      <c r="V293" s="208">
        <f t="shared" si="101"/>
        <v>41.784470172324077</v>
      </c>
      <c r="W293" s="208">
        <f t="shared" si="101"/>
        <v>54.990631775265186</v>
      </c>
      <c r="X293" s="208">
        <f t="shared" si="101"/>
        <v>180.98618646254408</v>
      </c>
      <c r="Y293" s="208">
        <f t="shared" si="101"/>
        <v>34.523140584530026</v>
      </c>
      <c r="Z293" s="208">
        <f t="shared" si="101"/>
        <v>49.463537650767755</v>
      </c>
      <c r="AA293" s="207"/>
      <c r="AB293" s="207"/>
      <c r="AC293" s="207"/>
      <c r="AD293" s="207"/>
      <c r="AE293" s="207"/>
      <c r="AF293" s="207"/>
      <c r="AG293" s="207"/>
      <c r="AH293" s="207"/>
      <c r="AI293" s="207"/>
      <c r="AJ293" s="207"/>
      <c r="AK293" s="207"/>
      <c r="AL293" s="207"/>
      <c r="AM293" s="207"/>
      <c r="AN293" s="207"/>
      <c r="AO293" s="207"/>
      <c r="AP293" s="207"/>
      <c r="AQ293" s="207"/>
      <c r="AR293" s="207"/>
      <c r="AS293" s="207"/>
    </row>
    <row r="294" spans="1:45" ht="15" customHeight="1" x14ac:dyDescent="0.3">
      <c r="D294" s="20"/>
      <c r="E294" s="142"/>
      <c r="F294" s="201"/>
      <c r="G294" s="142"/>
      <c r="H294" s="183"/>
      <c r="I294" s="183"/>
      <c r="K294" s="143"/>
      <c r="L294" s="143"/>
      <c r="M294" s="143"/>
      <c r="N294" s="143"/>
      <c r="O294" s="143"/>
      <c r="P294" s="143"/>
      <c r="Q294" s="143"/>
      <c r="R294" s="143"/>
      <c r="S294" s="143"/>
      <c r="T294" s="143"/>
      <c r="U294" s="208"/>
      <c r="V294" s="208"/>
      <c r="W294" s="208"/>
      <c r="X294" s="208">
        <f>SUM(U287:X287)</f>
        <v>2.3972902999999999</v>
      </c>
      <c r="Y294" s="207"/>
      <c r="Z294" s="207"/>
      <c r="AA294" s="207"/>
      <c r="AB294" s="207"/>
      <c r="AC294" s="207"/>
      <c r="AD294" s="207"/>
      <c r="AE294" s="207"/>
      <c r="AF294" s="207"/>
      <c r="AG294" s="207"/>
      <c r="AH294" s="207"/>
      <c r="AI294" s="207"/>
      <c r="AJ294" s="207"/>
      <c r="AK294" s="207"/>
      <c r="AL294" s="207"/>
      <c r="AM294" s="207"/>
      <c r="AN294" s="207"/>
      <c r="AO294" s="207"/>
      <c r="AP294" s="207"/>
      <c r="AQ294" s="207"/>
      <c r="AR294" s="207"/>
      <c r="AS294" s="207"/>
    </row>
    <row r="295" spans="1:45" ht="15" customHeight="1" x14ac:dyDescent="0.3">
      <c r="B295" s="1" t="s">
        <v>149</v>
      </c>
      <c r="D295" s="20"/>
      <c r="E295" s="142"/>
      <c r="F295" s="201"/>
      <c r="G295" s="142"/>
      <c r="H295" s="183"/>
      <c r="I295" s="183"/>
      <c r="K295" s="143"/>
      <c r="L295" s="143"/>
      <c r="M295" s="143"/>
      <c r="N295" s="143"/>
      <c r="O295" s="143"/>
      <c r="P295" s="143"/>
      <c r="Q295" s="143"/>
      <c r="R295" s="143"/>
      <c r="S295" s="143"/>
      <c r="T295" s="143"/>
      <c r="U295" s="208"/>
      <c r="V295" s="208"/>
      <c r="W295" s="208"/>
      <c r="X295" s="208"/>
      <c r="Y295" s="207"/>
      <c r="Z295" s="207"/>
      <c r="AA295" s="207"/>
      <c r="AB295" s="207"/>
      <c r="AC295" s="207"/>
      <c r="AD295" s="207"/>
      <c r="AE295" s="207"/>
      <c r="AF295" s="207"/>
      <c r="AG295" s="207"/>
      <c r="AH295" s="207"/>
      <c r="AI295" s="207"/>
      <c r="AJ295" s="207"/>
      <c r="AK295" s="207"/>
      <c r="AL295" s="207"/>
      <c r="AM295" s="207"/>
      <c r="AN295" s="207"/>
      <c r="AO295" s="207"/>
      <c r="AP295" s="207"/>
      <c r="AQ295" s="207"/>
      <c r="AR295" s="207"/>
      <c r="AS295" s="207"/>
    </row>
    <row r="296" spans="1:45" ht="15" customHeight="1" x14ac:dyDescent="0.3">
      <c r="D296" s="20"/>
      <c r="E296" s="142" t="str">
        <f xml:space="preserve"> E$288</f>
        <v>Kolwezi capex</v>
      </c>
      <c r="F296" s="142"/>
      <c r="G296" s="142" t="str">
        <f xml:space="preserve"> G$288</f>
        <v>$ mn</v>
      </c>
      <c r="H296" s="142"/>
      <c r="I296" s="142">
        <f xml:space="preserve"> I$288</f>
        <v>367.90453260487413</v>
      </c>
      <c r="J296" s="61"/>
      <c r="K296" s="142"/>
      <c r="L296" s="142"/>
      <c r="M296" s="142"/>
      <c r="N296" s="142"/>
      <c r="O296" s="142"/>
      <c r="P296" s="142"/>
      <c r="Q296" s="142"/>
      <c r="R296" s="142"/>
      <c r="S296" s="142">
        <f t="shared" ref="S296:AS296" si="102" xml:space="preserve"> S$288</f>
        <v>0</v>
      </c>
      <c r="T296" s="142">
        <f t="shared" si="102"/>
        <v>19.203523469262041</v>
      </c>
      <c r="U296" s="142">
        <f t="shared" si="102"/>
        <v>141.99221565518235</v>
      </c>
      <c r="V296" s="142">
        <f t="shared" si="102"/>
        <v>54.134821401242689</v>
      </c>
      <c r="W296" s="142">
        <f t="shared" si="102"/>
        <v>51.539770078097682</v>
      </c>
      <c r="X296" s="142">
        <f t="shared" si="102"/>
        <v>101.03420200108941</v>
      </c>
      <c r="Y296" s="142">
        <f t="shared" si="102"/>
        <v>0</v>
      </c>
      <c r="Z296" s="142">
        <f t="shared" si="102"/>
        <v>0</v>
      </c>
      <c r="AA296" s="142">
        <f t="shared" si="102"/>
        <v>0</v>
      </c>
      <c r="AB296" s="142">
        <f t="shared" si="102"/>
        <v>0</v>
      </c>
      <c r="AC296" s="142">
        <f t="shared" si="102"/>
        <v>0</v>
      </c>
      <c r="AD296" s="142">
        <f t="shared" si="102"/>
        <v>0</v>
      </c>
      <c r="AE296" s="142">
        <f t="shared" si="102"/>
        <v>0</v>
      </c>
      <c r="AF296" s="142">
        <f t="shared" si="102"/>
        <v>0</v>
      </c>
      <c r="AG296" s="142">
        <f t="shared" si="102"/>
        <v>0</v>
      </c>
      <c r="AH296" s="142">
        <f t="shared" si="102"/>
        <v>0</v>
      </c>
      <c r="AI296" s="142">
        <f t="shared" si="102"/>
        <v>0</v>
      </c>
      <c r="AJ296" s="142">
        <f t="shared" si="102"/>
        <v>0</v>
      </c>
      <c r="AK296" s="142">
        <f t="shared" si="102"/>
        <v>0</v>
      </c>
      <c r="AL296" s="142">
        <f t="shared" si="102"/>
        <v>0</v>
      </c>
      <c r="AM296" s="142">
        <f t="shared" si="102"/>
        <v>0</v>
      </c>
      <c r="AN296" s="142">
        <f t="shared" si="102"/>
        <v>0</v>
      </c>
      <c r="AO296" s="142">
        <f t="shared" si="102"/>
        <v>0</v>
      </c>
      <c r="AP296" s="142">
        <f t="shared" si="102"/>
        <v>0</v>
      </c>
      <c r="AQ296" s="142">
        <f t="shared" si="102"/>
        <v>0</v>
      </c>
      <c r="AR296" s="142">
        <f t="shared" si="102"/>
        <v>0</v>
      </c>
      <c r="AS296" s="142">
        <f t="shared" si="102"/>
        <v>0</v>
      </c>
    </row>
    <row r="297" spans="1:45" ht="15" customHeight="1" x14ac:dyDescent="0.3">
      <c r="D297" s="20"/>
      <c r="E297" s="142" t="str">
        <f xml:space="preserve"> E$293</f>
        <v>COMMUS capex</v>
      </c>
      <c r="F297" s="142"/>
      <c r="G297" s="142" t="str">
        <f xml:space="preserve"> G$293</f>
        <v>$ mn</v>
      </c>
      <c r="H297" s="142"/>
      <c r="I297" s="142">
        <f xml:space="preserve"> I$293</f>
        <v>462.76471292061171</v>
      </c>
      <c r="K297" s="142"/>
      <c r="L297" s="142"/>
      <c r="M297" s="142"/>
      <c r="N297" s="142"/>
      <c r="O297" s="142"/>
      <c r="P297" s="142"/>
      <c r="Q297" s="142"/>
      <c r="R297" s="142"/>
      <c r="S297" s="142">
        <f t="shared" ref="S297:AS297" si="103" xml:space="preserve"> S$293</f>
        <v>0</v>
      </c>
      <c r="T297" s="142">
        <f t="shared" si="103"/>
        <v>22.767780583959592</v>
      </c>
      <c r="U297" s="142">
        <f t="shared" si="103"/>
        <v>78.248965691220988</v>
      </c>
      <c r="V297" s="142">
        <f t="shared" si="103"/>
        <v>41.784470172324077</v>
      </c>
      <c r="W297" s="142">
        <f t="shared" si="103"/>
        <v>54.990631775265186</v>
      </c>
      <c r="X297" s="142">
        <f t="shared" si="103"/>
        <v>180.98618646254408</v>
      </c>
      <c r="Y297" s="142">
        <f t="shared" si="103"/>
        <v>34.523140584530026</v>
      </c>
      <c r="Z297" s="142">
        <f t="shared" si="103"/>
        <v>49.463537650767755</v>
      </c>
      <c r="AA297" s="142">
        <f t="shared" si="103"/>
        <v>0</v>
      </c>
      <c r="AB297" s="142">
        <f t="shared" si="103"/>
        <v>0</v>
      </c>
      <c r="AC297" s="142">
        <f t="shared" si="103"/>
        <v>0</v>
      </c>
      <c r="AD297" s="142">
        <f t="shared" si="103"/>
        <v>0</v>
      </c>
      <c r="AE297" s="142">
        <f t="shared" si="103"/>
        <v>0</v>
      </c>
      <c r="AF297" s="142">
        <f t="shared" si="103"/>
        <v>0</v>
      </c>
      <c r="AG297" s="142">
        <f t="shared" si="103"/>
        <v>0</v>
      </c>
      <c r="AH297" s="142">
        <f t="shared" si="103"/>
        <v>0</v>
      </c>
      <c r="AI297" s="142">
        <f t="shared" si="103"/>
        <v>0</v>
      </c>
      <c r="AJ297" s="142">
        <f t="shared" si="103"/>
        <v>0</v>
      </c>
      <c r="AK297" s="142">
        <f t="shared" si="103"/>
        <v>0</v>
      </c>
      <c r="AL297" s="142">
        <f t="shared" si="103"/>
        <v>0</v>
      </c>
      <c r="AM297" s="142">
        <f t="shared" si="103"/>
        <v>0</v>
      </c>
      <c r="AN297" s="142">
        <f t="shared" si="103"/>
        <v>0</v>
      </c>
      <c r="AO297" s="142">
        <f t="shared" si="103"/>
        <v>0</v>
      </c>
      <c r="AP297" s="142">
        <f t="shared" si="103"/>
        <v>0</v>
      </c>
      <c r="AQ297" s="142">
        <f t="shared" si="103"/>
        <v>0</v>
      </c>
      <c r="AR297" s="142">
        <f t="shared" si="103"/>
        <v>0</v>
      </c>
      <c r="AS297" s="142">
        <f t="shared" si="103"/>
        <v>0</v>
      </c>
    </row>
    <row r="298" spans="1:45" ht="15" customHeight="1" x14ac:dyDescent="0.3">
      <c r="A298" s="152"/>
      <c r="B298" s="152"/>
      <c r="C298" s="153"/>
      <c r="D298" s="154"/>
      <c r="E298" s="202" t="s">
        <v>200</v>
      </c>
      <c r="F298" s="203"/>
      <c r="G298" s="202" t="s">
        <v>346</v>
      </c>
      <c r="H298" s="204"/>
      <c r="I298" s="204">
        <f>SUM(K298:AQ298)</f>
        <v>830.66924552548574</v>
      </c>
      <c r="K298" s="210"/>
      <c r="L298" s="210"/>
      <c r="M298" s="210"/>
      <c r="N298" s="210"/>
      <c r="O298" s="210"/>
      <c r="P298" s="210"/>
      <c r="Q298" s="210"/>
      <c r="R298" s="210"/>
      <c r="S298" s="210"/>
      <c r="T298" s="210">
        <f t="shared" ref="T298:AP298" si="104">T296 + T297</f>
        <v>41.97130405322163</v>
      </c>
      <c r="U298" s="210">
        <f t="shared" si="104"/>
        <v>220.24118134640332</v>
      </c>
      <c r="V298" s="210">
        <f t="shared" si="104"/>
        <v>95.919291573566767</v>
      </c>
      <c r="W298" s="210">
        <f t="shared" si="104"/>
        <v>106.53040185336286</v>
      </c>
      <c r="X298" s="210">
        <f t="shared" si="104"/>
        <v>282.02038846363348</v>
      </c>
      <c r="Y298" s="210">
        <f t="shared" si="104"/>
        <v>34.523140584530026</v>
      </c>
      <c r="Z298" s="210">
        <f t="shared" si="104"/>
        <v>49.463537650767755</v>
      </c>
      <c r="AA298" s="210">
        <f t="shared" si="104"/>
        <v>0</v>
      </c>
      <c r="AB298" s="210">
        <f t="shared" si="104"/>
        <v>0</v>
      </c>
      <c r="AC298" s="210">
        <f t="shared" si="104"/>
        <v>0</v>
      </c>
      <c r="AD298" s="210">
        <f t="shared" si="104"/>
        <v>0</v>
      </c>
      <c r="AE298" s="210">
        <f t="shared" si="104"/>
        <v>0</v>
      </c>
      <c r="AF298" s="210">
        <f t="shared" si="104"/>
        <v>0</v>
      </c>
      <c r="AG298" s="210">
        <f t="shared" si="104"/>
        <v>0</v>
      </c>
      <c r="AH298" s="210">
        <f t="shared" si="104"/>
        <v>0</v>
      </c>
      <c r="AI298" s="210">
        <f t="shared" si="104"/>
        <v>0</v>
      </c>
      <c r="AJ298" s="210">
        <f t="shared" si="104"/>
        <v>0</v>
      </c>
      <c r="AK298" s="210">
        <f t="shared" si="104"/>
        <v>0</v>
      </c>
      <c r="AL298" s="210">
        <f t="shared" si="104"/>
        <v>0</v>
      </c>
      <c r="AM298" s="210">
        <f t="shared" si="104"/>
        <v>0</v>
      </c>
      <c r="AN298" s="210">
        <f t="shared" si="104"/>
        <v>0</v>
      </c>
      <c r="AO298" s="210">
        <f t="shared" si="104"/>
        <v>0</v>
      </c>
      <c r="AP298" s="210">
        <f t="shared" si="104"/>
        <v>0</v>
      </c>
      <c r="AQ298" s="210">
        <f t="shared" ref="AQ298:AS298" si="105">AQ296 + AQ297</f>
        <v>0</v>
      </c>
      <c r="AR298" s="210">
        <f t="shared" si="105"/>
        <v>0</v>
      </c>
      <c r="AS298" s="210">
        <f t="shared" si="105"/>
        <v>0</v>
      </c>
    </row>
    <row r="299" spans="1:45" ht="15" customHeight="1" x14ac:dyDescent="0.3">
      <c r="A299" s="249"/>
      <c r="B299" s="249"/>
      <c r="C299" s="250"/>
      <c r="D299" s="251"/>
      <c r="E299" s="199"/>
      <c r="F299" s="201"/>
      <c r="G299" s="199"/>
      <c r="H299" s="185"/>
      <c r="I299" s="185"/>
      <c r="K299" s="208"/>
      <c r="L299" s="208"/>
      <c r="M299" s="208"/>
      <c r="N299" s="208"/>
      <c r="O299" s="208"/>
      <c r="P299" s="208"/>
      <c r="Q299" s="208"/>
      <c r="R299" s="208"/>
      <c r="S299" s="208"/>
      <c r="T299" s="208"/>
      <c r="U299" s="208"/>
      <c r="V299" s="208"/>
      <c r="W299" s="208"/>
      <c r="X299" s="208"/>
      <c r="Y299" s="208"/>
      <c r="Z299" s="208"/>
      <c r="AA299" s="208"/>
      <c r="AB299" s="208"/>
      <c r="AC299" s="208"/>
      <c r="AD299" s="208"/>
      <c r="AE299" s="208"/>
      <c r="AF299" s="208"/>
      <c r="AG299" s="208"/>
      <c r="AH299" s="208"/>
      <c r="AI299" s="208"/>
      <c r="AJ299" s="208"/>
      <c r="AK299" s="208"/>
      <c r="AL299" s="208"/>
      <c r="AM299" s="208"/>
      <c r="AN299" s="208"/>
      <c r="AO299" s="208"/>
      <c r="AP299" s="208"/>
      <c r="AQ299" s="208"/>
      <c r="AR299" s="208"/>
      <c r="AS299" s="208"/>
    </row>
    <row r="300" spans="1:45" ht="15" customHeight="1" x14ac:dyDescent="0.3">
      <c r="A300" s="249"/>
      <c r="B300" s="249"/>
      <c r="C300" s="250"/>
      <c r="D300" s="251"/>
      <c r="E300" s="199"/>
      <c r="F300" s="201"/>
      <c r="G300" s="199"/>
      <c r="H300" s="185"/>
      <c r="I300" s="185"/>
      <c r="K300" s="208"/>
      <c r="L300" s="208"/>
      <c r="M300" s="208"/>
      <c r="N300" s="208"/>
      <c r="O300" s="208"/>
      <c r="P300" s="208"/>
      <c r="Q300" s="208"/>
      <c r="R300" s="208"/>
      <c r="S300" s="208"/>
      <c r="T300" s="208"/>
      <c r="U300" s="208"/>
      <c r="V300" s="208"/>
      <c r="W300" s="208"/>
      <c r="X300" s="208"/>
      <c r="Y300" s="208"/>
      <c r="Z300" s="208"/>
      <c r="AA300" s="208"/>
      <c r="AB300" s="208"/>
      <c r="AC300" s="208"/>
      <c r="AD300" s="208"/>
      <c r="AE300" s="208"/>
      <c r="AF300" s="208"/>
      <c r="AG300" s="208"/>
      <c r="AH300" s="208"/>
      <c r="AI300" s="208"/>
      <c r="AJ300" s="208"/>
      <c r="AK300" s="208"/>
      <c r="AL300" s="208"/>
      <c r="AM300" s="208"/>
      <c r="AN300" s="208"/>
      <c r="AO300" s="208"/>
      <c r="AP300" s="208"/>
      <c r="AQ300" s="208"/>
      <c r="AR300" s="208"/>
      <c r="AS300" s="208"/>
    </row>
    <row r="301" spans="1:45" ht="15" customHeight="1" x14ac:dyDescent="0.3">
      <c r="A301" s="15" t="s">
        <v>41</v>
      </c>
      <c r="B301" s="15"/>
      <c r="C301" s="15"/>
      <c r="D301" s="15"/>
      <c r="E301" s="196"/>
      <c r="F301" s="196"/>
      <c r="G301" s="196"/>
      <c r="H301" s="196"/>
      <c r="I301" s="196"/>
      <c r="J301" s="61"/>
      <c r="K301" s="196"/>
      <c r="L301" s="196"/>
      <c r="M301" s="196"/>
      <c r="N301" s="196"/>
      <c r="O301" s="196"/>
      <c r="P301" s="196"/>
      <c r="Q301" s="196"/>
      <c r="R301" s="196"/>
      <c r="S301" s="196"/>
      <c r="T301" s="196"/>
      <c r="U301" s="196"/>
      <c r="V301" s="196"/>
      <c r="W301" s="196"/>
      <c r="X301" s="196"/>
      <c r="Y301" s="196"/>
      <c r="Z301" s="196"/>
      <c r="AA301" s="196"/>
      <c r="AB301" s="196"/>
      <c r="AC301" s="196"/>
      <c r="AD301" s="196"/>
      <c r="AE301" s="196"/>
      <c r="AF301" s="196"/>
      <c r="AG301" s="196"/>
      <c r="AH301" s="196"/>
      <c r="AI301" s="196"/>
      <c r="AJ301" s="196"/>
      <c r="AK301" s="196"/>
      <c r="AL301" s="196"/>
      <c r="AM301" s="196"/>
      <c r="AN301" s="196"/>
      <c r="AO301" s="196"/>
      <c r="AP301" s="196"/>
      <c r="AQ301" s="196"/>
      <c r="AR301" s="196"/>
      <c r="AS301" s="196"/>
    </row>
    <row r="302" spans="1:45" ht="15" customHeight="1" x14ac:dyDescent="0.3">
      <c r="E302" s="139"/>
      <c r="F302" s="142"/>
      <c r="G302" s="142"/>
      <c r="H302" s="186"/>
      <c r="I302" s="186"/>
      <c r="K302" s="142"/>
      <c r="L302" s="142"/>
      <c r="M302" s="142"/>
      <c r="N302" s="142"/>
      <c r="O302" s="142"/>
      <c r="P302" s="142"/>
      <c r="Q302" s="142"/>
      <c r="R302" s="142"/>
      <c r="S302" s="142"/>
      <c r="T302" s="142"/>
      <c r="U302" s="142"/>
      <c r="V302" s="142"/>
      <c r="W302" s="142"/>
      <c r="X302" s="142"/>
      <c r="Y302" s="142"/>
      <c r="Z302" s="142"/>
      <c r="AA302" s="142"/>
      <c r="AB302" s="142"/>
      <c r="AC302" s="142"/>
      <c r="AD302" s="142"/>
      <c r="AE302" s="142"/>
      <c r="AF302" s="142"/>
      <c r="AG302" s="142"/>
      <c r="AH302" s="142"/>
      <c r="AI302" s="142"/>
      <c r="AJ302" s="142"/>
      <c r="AK302" s="142"/>
      <c r="AL302" s="142"/>
      <c r="AM302" s="142"/>
      <c r="AN302" s="142"/>
      <c r="AO302" s="142"/>
      <c r="AP302" s="142"/>
      <c r="AQ302" s="142"/>
      <c r="AR302" s="142"/>
      <c r="AS302" s="142"/>
    </row>
    <row r="303" spans="1:45" ht="15" customHeight="1" x14ac:dyDescent="0.3">
      <c r="A303" s="91"/>
      <c r="B303" s="91"/>
      <c r="C303" s="92"/>
      <c r="D303" s="93"/>
      <c r="E303" s="142" t="s">
        <v>103</v>
      </c>
      <c r="F303" s="187">
        <v>457.31154299999997</v>
      </c>
      <c r="G303" s="142" t="s">
        <v>346</v>
      </c>
      <c r="H303" s="183" t="str">
        <f xml:space="preserve"> Sources!I$14</f>
        <v>X</v>
      </c>
      <c r="I303" s="183"/>
      <c r="K303" s="142"/>
      <c r="L303" s="142"/>
      <c r="M303" s="142"/>
      <c r="N303" s="142"/>
      <c r="O303" s="142"/>
      <c r="P303" s="142"/>
      <c r="Q303" s="142"/>
      <c r="R303" s="142"/>
      <c r="S303" s="142"/>
      <c r="T303" s="142"/>
      <c r="U303" s="142"/>
      <c r="V303" s="142"/>
      <c r="W303" s="142"/>
      <c r="X303" s="142"/>
      <c r="Y303" s="142"/>
      <c r="Z303" s="142"/>
      <c r="AA303" s="142"/>
      <c r="AB303" s="142"/>
      <c r="AC303" s="142"/>
      <c r="AD303" s="142"/>
      <c r="AE303" s="142"/>
      <c r="AF303" s="142"/>
      <c r="AG303" s="142"/>
      <c r="AH303" s="142"/>
      <c r="AI303" s="142"/>
      <c r="AJ303" s="142"/>
      <c r="AK303" s="142"/>
      <c r="AL303" s="142"/>
      <c r="AM303" s="142"/>
      <c r="AN303" s="142"/>
      <c r="AO303" s="142"/>
      <c r="AP303" s="142"/>
      <c r="AQ303" s="142"/>
      <c r="AR303" s="142"/>
      <c r="AS303" s="142"/>
    </row>
    <row r="304" spans="1:45" ht="15" customHeight="1" x14ac:dyDescent="0.3">
      <c r="E304" s="142" t="s">
        <v>104</v>
      </c>
      <c r="F304" s="200">
        <v>265.27408000000003</v>
      </c>
      <c r="G304" s="142" t="s">
        <v>346</v>
      </c>
      <c r="H304" s="183" t="str">
        <f xml:space="preserve"> Sources!I$14</f>
        <v>X</v>
      </c>
      <c r="I304" s="183"/>
      <c r="K304" s="142"/>
      <c r="L304" s="142"/>
      <c r="M304" s="142"/>
      <c r="N304" s="142"/>
      <c r="O304" s="142"/>
      <c r="P304" s="142"/>
      <c r="Q304" s="142"/>
      <c r="R304" s="142"/>
      <c r="S304" s="142"/>
      <c r="T304" s="142"/>
      <c r="U304" s="142"/>
      <c r="V304" s="142"/>
      <c r="W304" s="142"/>
      <c r="X304" s="142"/>
      <c r="Y304" s="142"/>
      <c r="Z304" s="142"/>
      <c r="AA304" s="142"/>
      <c r="AB304" s="142"/>
      <c r="AC304" s="142"/>
      <c r="AD304" s="142"/>
      <c r="AE304" s="142"/>
      <c r="AF304" s="142"/>
      <c r="AG304" s="142"/>
      <c r="AH304" s="142"/>
      <c r="AI304" s="142"/>
      <c r="AJ304" s="142"/>
      <c r="AK304" s="142"/>
      <c r="AL304" s="142"/>
      <c r="AM304" s="142"/>
      <c r="AN304" s="142"/>
      <c r="AO304" s="142"/>
      <c r="AP304" s="142"/>
      <c r="AQ304" s="142"/>
      <c r="AR304" s="142"/>
      <c r="AS304" s="142"/>
    </row>
    <row r="305" spans="1:45" ht="15" customHeight="1" x14ac:dyDescent="0.3">
      <c r="E305" s="142"/>
      <c r="F305" s="201"/>
      <c r="G305" s="142"/>
      <c r="H305" s="183"/>
      <c r="I305" s="183"/>
      <c r="J305" s="61"/>
      <c r="K305" s="142"/>
      <c r="L305" s="142"/>
      <c r="M305" s="142"/>
      <c r="N305" s="142"/>
      <c r="O305" s="142"/>
      <c r="P305" s="142"/>
      <c r="Q305" s="142"/>
      <c r="R305" s="142"/>
      <c r="S305" s="142"/>
      <c r="T305" s="142"/>
      <c r="U305" s="142"/>
      <c r="V305" s="142"/>
      <c r="W305" s="142"/>
      <c r="X305" s="142"/>
      <c r="Y305" s="142"/>
      <c r="Z305" s="142"/>
      <c r="AA305" s="142"/>
      <c r="AB305" s="142"/>
      <c r="AC305" s="142"/>
      <c r="AD305" s="142"/>
      <c r="AE305" s="142"/>
      <c r="AF305" s="142"/>
      <c r="AG305" s="142"/>
      <c r="AH305" s="142"/>
      <c r="AI305" s="142"/>
      <c r="AJ305" s="142"/>
      <c r="AK305" s="142"/>
      <c r="AL305" s="142"/>
      <c r="AM305" s="142"/>
      <c r="AN305" s="142"/>
      <c r="AO305" s="142"/>
      <c r="AP305" s="142"/>
      <c r="AQ305" s="142"/>
      <c r="AR305" s="142"/>
      <c r="AS305" s="142"/>
    </row>
    <row r="306" spans="1:45" ht="15" customHeight="1" x14ac:dyDescent="0.3">
      <c r="A306" s="91"/>
      <c r="B306" s="91"/>
      <c r="C306" s="92"/>
      <c r="D306" s="93"/>
      <c r="E306" s="36" t="s">
        <v>279</v>
      </c>
      <c r="F306" s="253" t="s">
        <v>281</v>
      </c>
      <c r="G306" s="36" t="s">
        <v>280</v>
      </c>
      <c r="H306" s="230"/>
      <c r="I306" s="230"/>
      <c r="K306" s="93"/>
      <c r="L306" s="93"/>
      <c r="M306" s="93"/>
      <c r="N306" s="93"/>
      <c r="O306" s="93"/>
      <c r="P306" s="93"/>
      <c r="Q306" s="93"/>
      <c r="R306" s="93"/>
      <c r="S306" s="93"/>
      <c r="T306" s="93"/>
      <c r="U306" s="93"/>
      <c r="V306" s="93"/>
      <c r="W306" s="93"/>
      <c r="X306" s="93"/>
      <c r="Y306" s="93"/>
      <c r="Z306" s="93"/>
      <c r="AA306" s="93"/>
      <c r="AB306" s="93"/>
      <c r="AC306" s="93"/>
      <c r="AD306" s="93"/>
      <c r="AE306" s="93"/>
      <c r="AF306" s="93"/>
      <c r="AG306" s="93"/>
      <c r="AH306" s="93"/>
      <c r="AI306" s="93"/>
      <c r="AJ306" s="93"/>
      <c r="AK306" s="93"/>
      <c r="AL306" s="93"/>
      <c r="AM306" s="93"/>
      <c r="AN306" s="93"/>
      <c r="AO306" s="93"/>
      <c r="AP306" s="93"/>
      <c r="AQ306" s="93"/>
      <c r="AR306" s="93"/>
      <c r="AS306" s="93"/>
    </row>
    <row r="307" spans="1:45" ht="15" customHeight="1" x14ac:dyDescent="0.3">
      <c r="A307" s="97"/>
      <c r="B307" s="97"/>
      <c r="C307" s="359"/>
      <c r="D307" s="226"/>
      <c r="E307" s="243"/>
      <c r="F307"/>
      <c r="G307" s="243"/>
      <c r="H307" s="230"/>
      <c r="I307" s="230"/>
      <c r="J307" s="246"/>
      <c r="K307" s="226"/>
      <c r="L307" s="226"/>
      <c r="M307" s="226"/>
      <c r="N307" s="226"/>
      <c r="O307" s="226"/>
      <c r="P307" s="226"/>
      <c r="Q307" s="226"/>
      <c r="R307" s="226"/>
      <c r="S307" s="226"/>
      <c r="T307" s="226"/>
      <c r="U307" s="226"/>
      <c r="V307" s="226"/>
      <c r="W307" s="226"/>
      <c r="X307" s="226"/>
      <c r="Y307" s="226"/>
      <c r="Z307" s="226"/>
      <c r="AA307" s="226"/>
      <c r="AB307" s="226"/>
      <c r="AC307" s="226"/>
      <c r="AD307" s="226"/>
      <c r="AE307" s="226"/>
      <c r="AF307" s="226"/>
      <c r="AG307" s="226"/>
      <c r="AH307" s="226"/>
      <c r="AI307" s="226"/>
      <c r="AJ307" s="226"/>
      <c r="AK307" s="226"/>
      <c r="AL307" s="226"/>
      <c r="AM307" s="226"/>
      <c r="AN307" s="226"/>
      <c r="AO307" s="226"/>
      <c r="AP307" s="226"/>
      <c r="AQ307" s="226"/>
      <c r="AR307" s="226"/>
      <c r="AS307" s="226"/>
    </row>
    <row r="308" spans="1:45" ht="15" customHeight="1" x14ac:dyDescent="0.3">
      <c r="A308" s="97"/>
      <c r="B308" s="97"/>
      <c r="C308" s="359"/>
      <c r="D308" s="226"/>
      <c r="E308" s="243"/>
      <c r="F308"/>
      <c r="G308" s="243"/>
      <c r="H308" s="230"/>
      <c r="I308" s="230"/>
      <c r="J308" s="246"/>
      <c r="K308" s="226"/>
      <c r="L308" s="226"/>
      <c r="M308" s="226"/>
      <c r="N308" s="226"/>
      <c r="O308" s="226"/>
      <c r="P308" s="226"/>
      <c r="Q308" s="226"/>
      <c r="R308" s="226"/>
      <c r="S308" s="226"/>
      <c r="T308" s="226"/>
      <c r="U308" s="226"/>
      <c r="V308" s="226"/>
      <c r="W308" s="226"/>
      <c r="X308" s="226"/>
      <c r="Y308" s="226"/>
      <c r="Z308" s="226"/>
      <c r="AA308" s="226"/>
      <c r="AB308" s="226"/>
      <c r="AC308" s="226"/>
      <c r="AD308" s="226"/>
      <c r="AE308" s="226"/>
      <c r="AF308" s="226"/>
      <c r="AG308" s="226"/>
      <c r="AH308" s="226"/>
      <c r="AI308" s="226"/>
      <c r="AJ308" s="226"/>
      <c r="AK308" s="226"/>
      <c r="AL308" s="226"/>
      <c r="AM308" s="226"/>
      <c r="AN308" s="226"/>
      <c r="AO308" s="226"/>
      <c r="AP308" s="226"/>
      <c r="AQ308" s="226"/>
      <c r="AR308" s="226"/>
      <c r="AS308" s="226"/>
    </row>
    <row r="309" spans="1:45" ht="15" customHeight="1" x14ac:dyDescent="0.3">
      <c r="A309" s="15" t="s">
        <v>712</v>
      </c>
      <c r="B309" s="15"/>
      <c r="C309" s="15"/>
      <c r="D309" s="15"/>
      <c r="E309" s="196"/>
      <c r="F309" s="196"/>
      <c r="G309" s="196"/>
      <c r="H309" s="196"/>
      <c r="I309" s="196"/>
      <c r="J309" s="61"/>
      <c r="K309" s="196"/>
      <c r="L309" s="196"/>
      <c r="M309" s="196"/>
      <c r="N309" s="196"/>
      <c r="O309" s="196"/>
      <c r="P309" s="196"/>
      <c r="Q309" s="196"/>
      <c r="R309" s="196"/>
      <c r="S309" s="196"/>
      <c r="T309" s="196"/>
      <c r="U309" s="196"/>
      <c r="V309" s="196"/>
      <c r="W309" s="196"/>
      <c r="X309" s="196"/>
      <c r="Y309" s="196"/>
      <c r="Z309" s="196"/>
      <c r="AA309" s="196"/>
      <c r="AB309" s="196"/>
      <c r="AC309" s="196"/>
      <c r="AD309" s="196"/>
      <c r="AE309" s="196"/>
      <c r="AF309" s="196"/>
      <c r="AG309" s="196"/>
      <c r="AH309" s="196"/>
      <c r="AI309" s="196"/>
      <c r="AJ309" s="196"/>
      <c r="AK309" s="196"/>
      <c r="AL309" s="196"/>
      <c r="AM309" s="196"/>
      <c r="AN309" s="196"/>
      <c r="AO309" s="196"/>
      <c r="AP309" s="196"/>
      <c r="AQ309" s="196"/>
      <c r="AR309" s="196"/>
      <c r="AS309" s="196"/>
    </row>
    <row r="310" spans="1:45" ht="15" customHeight="1" x14ac:dyDescent="0.3">
      <c r="A310" s="97"/>
      <c r="B310" s="97"/>
      <c r="C310" s="359"/>
      <c r="D310" s="226"/>
      <c r="E310" s="243"/>
      <c r="F310"/>
      <c r="G310" s="243"/>
      <c r="H310" s="230"/>
      <c r="I310" s="230"/>
      <c r="J310" s="246"/>
      <c r="K310" s="226"/>
      <c r="L310" s="226"/>
      <c r="M310" s="226"/>
      <c r="N310" s="226"/>
      <c r="O310" s="226"/>
      <c r="P310" s="226"/>
      <c r="Q310" s="226"/>
      <c r="R310" s="226"/>
      <c r="S310" s="226"/>
      <c r="T310" s="226"/>
      <c r="U310" s="226"/>
      <c r="V310" s="226"/>
      <c r="W310" s="226"/>
      <c r="X310" s="226"/>
      <c r="Y310" s="226"/>
      <c r="Z310" s="226"/>
      <c r="AA310" s="226"/>
      <c r="AB310" s="226"/>
      <c r="AC310" s="226"/>
      <c r="AD310" s="226"/>
      <c r="AE310" s="226"/>
      <c r="AF310" s="226"/>
      <c r="AG310" s="226"/>
      <c r="AH310" s="226"/>
      <c r="AI310" s="226"/>
      <c r="AJ310" s="226"/>
      <c r="AK310" s="226"/>
      <c r="AL310" s="226"/>
      <c r="AM310" s="226"/>
      <c r="AN310" s="226"/>
      <c r="AO310" s="226"/>
      <c r="AP310" s="226"/>
      <c r="AQ310" s="226"/>
      <c r="AR310" s="226"/>
      <c r="AS310" s="226"/>
    </row>
    <row r="311" spans="1:45" ht="15" customHeight="1" x14ac:dyDescent="0.3">
      <c r="A311" s="97"/>
      <c r="B311" s="97"/>
      <c r="C311" s="359"/>
      <c r="D311" s="226"/>
      <c r="E311" s="247" t="str">
        <f xml:space="preserve"> 'T&amp;E'!E$9</f>
        <v>Model calendar year</v>
      </c>
      <c r="F311" s="247">
        <f xml:space="preserve"> 'T&amp;E'!F$9</f>
        <v>0</v>
      </c>
      <c r="G311" s="247" t="str">
        <f xml:space="preserve"> 'T&amp;E'!G$9</f>
        <v>year</v>
      </c>
      <c r="H311" s="247">
        <f xml:space="preserve"> 'T&amp;E'!H$9</f>
        <v>0</v>
      </c>
      <c r="I311" s="247">
        <f xml:space="preserve"> 'T&amp;E'!I$9</f>
        <v>0</v>
      </c>
      <c r="J311" s="247">
        <f xml:space="preserve"> 'T&amp;E'!J$9</f>
        <v>0</v>
      </c>
      <c r="K311" s="247">
        <f xml:space="preserve"> 'T&amp;E'!K$9</f>
        <v>2006</v>
      </c>
      <c r="L311" s="247">
        <f xml:space="preserve"> 'T&amp;E'!L$9</f>
        <v>2007</v>
      </c>
      <c r="M311" s="247">
        <f xml:space="preserve"> 'T&amp;E'!M$9</f>
        <v>2008</v>
      </c>
      <c r="N311" s="247">
        <f xml:space="preserve"> 'T&amp;E'!N$9</f>
        <v>2009</v>
      </c>
      <c r="O311" s="247">
        <f xml:space="preserve"> 'T&amp;E'!O$9</f>
        <v>2010</v>
      </c>
      <c r="P311" s="247">
        <f xml:space="preserve"> 'T&amp;E'!P$9</f>
        <v>2011</v>
      </c>
      <c r="Q311" s="247">
        <f xml:space="preserve"> 'T&amp;E'!Q$9</f>
        <v>2012</v>
      </c>
      <c r="R311" s="247">
        <f xml:space="preserve"> 'T&amp;E'!R$9</f>
        <v>2013</v>
      </c>
      <c r="S311" s="247">
        <f xml:space="preserve"> 'T&amp;E'!S$9</f>
        <v>2014</v>
      </c>
      <c r="T311" s="247">
        <f xml:space="preserve"> 'T&amp;E'!T$9</f>
        <v>2015</v>
      </c>
      <c r="U311" s="247">
        <f xml:space="preserve"> 'T&amp;E'!U$9</f>
        <v>2016</v>
      </c>
      <c r="V311" s="247">
        <f xml:space="preserve"> 'T&amp;E'!V$9</f>
        <v>2017</v>
      </c>
      <c r="W311" s="247">
        <f xml:space="preserve"> 'T&amp;E'!W$9</f>
        <v>2018</v>
      </c>
      <c r="X311" s="247">
        <f xml:space="preserve"> 'T&amp;E'!X$9</f>
        <v>2019</v>
      </c>
      <c r="Y311" s="247">
        <f xml:space="preserve"> 'T&amp;E'!Y$9</f>
        <v>2020</v>
      </c>
      <c r="Z311" s="247">
        <f xml:space="preserve"> 'T&amp;E'!Z$9</f>
        <v>2021</v>
      </c>
      <c r="AA311" s="247">
        <f xml:space="preserve"> 'T&amp;E'!AA$9</f>
        <v>2022</v>
      </c>
      <c r="AB311" s="247">
        <f xml:space="preserve"> 'T&amp;E'!AB$9</f>
        <v>2023</v>
      </c>
      <c r="AC311" s="247">
        <f xml:space="preserve"> 'T&amp;E'!AC$9</f>
        <v>2024</v>
      </c>
      <c r="AD311" s="247">
        <f xml:space="preserve"> 'T&amp;E'!AD$9</f>
        <v>2025</v>
      </c>
      <c r="AE311" s="247">
        <f xml:space="preserve"> 'T&amp;E'!AE$9</f>
        <v>2026</v>
      </c>
      <c r="AF311" s="247">
        <f xml:space="preserve"> 'T&amp;E'!AF$9</f>
        <v>2027</v>
      </c>
      <c r="AG311" s="247">
        <f xml:space="preserve"> 'T&amp;E'!AG$9</f>
        <v>2028</v>
      </c>
      <c r="AH311" s="247">
        <f xml:space="preserve"> 'T&amp;E'!AH$9</f>
        <v>2029</v>
      </c>
      <c r="AI311" s="247">
        <f xml:space="preserve"> 'T&amp;E'!AI$9</f>
        <v>2030</v>
      </c>
      <c r="AJ311" s="247">
        <f xml:space="preserve"> 'T&amp;E'!AJ$9</f>
        <v>2031</v>
      </c>
      <c r="AK311" s="247">
        <f xml:space="preserve"> 'T&amp;E'!AK$9</f>
        <v>2032</v>
      </c>
      <c r="AL311" s="247">
        <f xml:space="preserve"> 'T&amp;E'!AL$9</f>
        <v>2033</v>
      </c>
      <c r="AM311" s="247">
        <f xml:space="preserve"> 'T&amp;E'!AM$9</f>
        <v>2034</v>
      </c>
      <c r="AN311" s="247">
        <f xml:space="preserve"> 'T&amp;E'!AN$9</f>
        <v>2035</v>
      </c>
      <c r="AO311" s="247">
        <f xml:space="preserve"> 'T&amp;E'!AO$9</f>
        <v>2036</v>
      </c>
      <c r="AP311" s="247">
        <f xml:space="preserve"> 'T&amp;E'!AP$9</f>
        <v>2037</v>
      </c>
      <c r="AQ311" s="247">
        <f xml:space="preserve"> 'T&amp;E'!AQ$9</f>
        <v>2038</v>
      </c>
      <c r="AR311" s="247">
        <f xml:space="preserve"> 'T&amp;E'!AR$9</f>
        <v>2039</v>
      </c>
      <c r="AS311" s="247">
        <f xml:space="preserve"> 'T&amp;E'!AS$9</f>
        <v>2040</v>
      </c>
    </row>
    <row r="312" spans="1:45" ht="15" customHeight="1" x14ac:dyDescent="0.3">
      <c r="A312" s="97"/>
      <c r="B312" s="97"/>
      <c r="C312" s="359"/>
      <c r="D312" s="226"/>
      <c r="E312" s="549" t="str">
        <f xml:space="preserve"> EITI_Rev!E$92</f>
        <v>I.D. % Total costs</v>
      </c>
      <c r="F312" s="549">
        <f xml:space="preserve"> EITI_Rev!F$92</f>
        <v>0</v>
      </c>
      <c r="G312" s="549" t="str">
        <f xml:space="preserve"> EITI_Rev!G$92</f>
        <v>%</v>
      </c>
      <c r="H312" s="549">
        <f xml:space="preserve"> EITI_Rev!H$92</f>
        <v>0</v>
      </c>
      <c r="I312" s="549">
        <f xml:space="preserve"> EITI_Rev!I$92</f>
        <v>0</v>
      </c>
      <c r="J312" s="549">
        <f xml:space="preserve"> EITI_Rev!J$92</f>
        <v>0</v>
      </c>
      <c r="K312" s="782">
        <f xml:space="preserve"> EITI_Rev!K$92</f>
        <v>0</v>
      </c>
      <c r="L312" s="782">
        <f xml:space="preserve"> EITI_Rev!L$92</f>
        <v>0</v>
      </c>
      <c r="M312" s="782">
        <f xml:space="preserve"> EITI_Rev!M$92</f>
        <v>0</v>
      </c>
      <c r="N312" s="782">
        <f xml:space="preserve"> EITI_Rev!N$92</f>
        <v>0</v>
      </c>
      <c r="O312" s="782">
        <f xml:space="preserve"> EITI_Rev!O$92</f>
        <v>0</v>
      </c>
      <c r="P312" s="782">
        <f xml:space="preserve"> EITI_Rev!P$92</f>
        <v>0</v>
      </c>
      <c r="Q312" s="782">
        <f xml:space="preserve"> EITI_Rev!Q$92</f>
        <v>0</v>
      </c>
      <c r="R312" s="782">
        <f xml:space="preserve"> EITI_Rev!R$92</f>
        <v>0</v>
      </c>
      <c r="S312" s="782">
        <f xml:space="preserve"> EITI_Rev!S$92</f>
        <v>0</v>
      </c>
      <c r="T312" s="782">
        <f xml:space="preserve"> EITI_Rev!T$92</f>
        <v>0</v>
      </c>
      <c r="U312" s="782">
        <f xml:space="preserve"> EITI_Rev!U$92</f>
        <v>0</v>
      </c>
      <c r="V312" s="782">
        <f xml:space="preserve"> EITI_Rev!V$92</f>
        <v>1.4664645889938007E-2</v>
      </c>
      <c r="W312" s="782">
        <f xml:space="preserve"> EITI_Rev!W$92</f>
        <v>8.1593448444104669E-2</v>
      </c>
      <c r="X312" s="782">
        <f xml:space="preserve"> EITI_Rev!X$92</f>
        <v>0.10942023383999366</v>
      </c>
      <c r="Y312" s="782">
        <f xml:space="preserve"> EITI_Rev!Y$92</f>
        <v>1.2125976939340226E-2</v>
      </c>
      <c r="Z312" s="782">
        <f xml:space="preserve"> EITI_Rev!Z$92</f>
        <v>0</v>
      </c>
      <c r="AA312" s="782">
        <f xml:space="preserve"> EITI_Rev!AA$92</f>
        <v>6.4548417357041796E-2</v>
      </c>
      <c r="AB312" s="782">
        <f xml:space="preserve"> EITI_Rev!AB$92</f>
        <v>0</v>
      </c>
      <c r="AC312" s="782">
        <f xml:space="preserve"> EITI_Rev!AC$92</f>
        <v>0</v>
      </c>
      <c r="AD312" s="782">
        <f xml:space="preserve"> EITI_Rev!AD$92</f>
        <v>0</v>
      </c>
      <c r="AE312" s="782">
        <f xml:space="preserve"> EITI_Rev!AE$92</f>
        <v>0</v>
      </c>
      <c r="AF312" s="782">
        <f xml:space="preserve"> EITI_Rev!AF$92</f>
        <v>0</v>
      </c>
      <c r="AG312" s="782">
        <f xml:space="preserve"> EITI_Rev!AG$92</f>
        <v>0</v>
      </c>
      <c r="AH312" s="782">
        <f xml:space="preserve"> EITI_Rev!AH$92</f>
        <v>0</v>
      </c>
      <c r="AI312" s="782">
        <f xml:space="preserve"> EITI_Rev!AI$92</f>
        <v>0</v>
      </c>
      <c r="AJ312" s="782">
        <f xml:space="preserve"> EITI_Rev!AJ$92</f>
        <v>0</v>
      </c>
      <c r="AK312" s="782">
        <f xml:space="preserve"> EITI_Rev!AK$92</f>
        <v>0</v>
      </c>
      <c r="AL312" s="782">
        <f xml:space="preserve"> EITI_Rev!AL$92</f>
        <v>0</v>
      </c>
      <c r="AM312" s="782">
        <f xml:space="preserve"> EITI_Rev!AM$92</f>
        <v>0</v>
      </c>
      <c r="AN312" s="782">
        <f xml:space="preserve"> EITI_Rev!AN$92</f>
        <v>0</v>
      </c>
      <c r="AO312" s="782">
        <f xml:space="preserve"> EITI_Rev!AO$92</f>
        <v>0</v>
      </c>
      <c r="AP312" s="782">
        <f xml:space="preserve"> EITI_Rev!AP$92</f>
        <v>0</v>
      </c>
      <c r="AQ312" s="782">
        <f xml:space="preserve"> EITI_Rev!AQ$92</f>
        <v>0</v>
      </c>
      <c r="AR312" s="782">
        <f xml:space="preserve"> EITI_Rev!AR$92</f>
        <v>0</v>
      </c>
      <c r="AS312" s="782">
        <f xml:space="preserve"> EITI_Rev!AS$92</f>
        <v>0</v>
      </c>
    </row>
    <row r="313" spans="1:45" ht="15" customHeight="1" x14ac:dyDescent="0.3">
      <c r="A313" s="97"/>
      <c r="B313" s="97"/>
      <c r="C313" s="359"/>
      <c r="D313" s="226"/>
      <c r="E313" s="243" t="s">
        <v>730</v>
      </c>
      <c r="F313" s="51"/>
      <c r="G313" s="243" t="s">
        <v>160</v>
      </c>
      <c r="H313" s="230"/>
      <c r="I313" s="230"/>
      <c r="J313" s="246"/>
      <c r="K313" s="51">
        <f>IF(OR(K312 &gt; 0, J313 = 1), 1, 0)</f>
        <v>0</v>
      </c>
      <c r="L313" s="51">
        <f t="shared" ref="L313:AN313" si="106">IF(OR(L312 &gt; 0, K313 = 1), 1, 0)</f>
        <v>0</v>
      </c>
      <c r="M313" s="51">
        <f t="shared" si="106"/>
        <v>0</v>
      </c>
      <c r="N313" s="51">
        <f t="shared" si="106"/>
        <v>0</v>
      </c>
      <c r="O313" s="51">
        <f t="shared" si="106"/>
        <v>0</v>
      </c>
      <c r="P313" s="51">
        <f t="shared" si="106"/>
        <v>0</v>
      </c>
      <c r="Q313" s="51">
        <f t="shared" si="106"/>
        <v>0</v>
      </c>
      <c r="R313" s="51">
        <f t="shared" si="106"/>
        <v>0</v>
      </c>
      <c r="S313" s="51">
        <f t="shared" si="106"/>
        <v>0</v>
      </c>
      <c r="T313" s="51">
        <f t="shared" si="106"/>
        <v>0</v>
      </c>
      <c r="U313" s="51">
        <f t="shared" si="106"/>
        <v>0</v>
      </c>
      <c r="V313" s="51">
        <f t="shared" si="106"/>
        <v>1</v>
      </c>
      <c r="W313" s="51">
        <f t="shared" si="106"/>
        <v>1</v>
      </c>
      <c r="X313" s="51">
        <f t="shared" si="106"/>
        <v>1</v>
      </c>
      <c r="Y313" s="51">
        <f t="shared" si="106"/>
        <v>1</v>
      </c>
      <c r="Z313" s="51">
        <f t="shared" si="106"/>
        <v>1</v>
      </c>
      <c r="AA313" s="51">
        <f t="shared" si="106"/>
        <v>1</v>
      </c>
      <c r="AB313" s="51">
        <f t="shared" si="106"/>
        <v>1</v>
      </c>
      <c r="AC313" s="51">
        <f t="shared" si="106"/>
        <v>1</v>
      </c>
      <c r="AD313" s="51">
        <f t="shared" si="106"/>
        <v>1</v>
      </c>
      <c r="AE313" s="51">
        <f t="shared" si="106"/>
        <v>1</v>
      </c>
      <c r="AF313" s="51">
        <f t="shared" si="106"/>
        <v>1</v>
      </c>
      <c r="AG313" s="51">
        <f t="shared" si="106"/>
        <v>1</v>
      </c>
      <c r="AH313" s="51">
        <f t="shared" si="106"/>
        <v>1</v>
      </c>
      <c r="AI313" s="51">
        <f t="shared" si="106"/>
        <v>1</v>
      </c>
      <c r="AJ313" s="51">
        <f t="shared" si="106"/>
        <v>1</v>
      </c>
      <c r="AK313" s="51">
        <f t="shared" si="106"/>
        <v>1</v>
      </c>
      <c r="AL313" s="51">
        <f t="shared" si="106"/>
        <v>1</v>
      </c>
      <c r="AM313" s="51">
        <f t="shared" si="106"/>
        <v>1</v>
      </c>
      <c r="AN313" s="51">
        <f t="shared" si="106"/>
        <v>1</v>
      </c>
      <c r="AO313" s="51">
        <f t="shared" ref="AO313" si="107">IF(OR(AO312 &gt; 0, AN313 = 1), 1, 0)</f>
        <v>1</v>
      </c>
      <c r="AP313" s="51">
        <f t="shared" ref="AP313" si="108">IF(OR(AP312 &gt; 0, AO313 = 1), 1, 0)</f>
        <v>1</v>
      </c>
      <c r="AQ313" s="51">
        <f t="shared" ref="AQ313" si="109">IF(OR(AQ312 &gt; 0, AP313 = 1), 1, 0)</f>
        <v>1</v>
      </c>
      <c r="AR313" s="51">
        <f t="shared" ref="AR313" si="110">IF(OR(AR312 &gt; 0, AQ313 = 1), 1, 0)</f>
        <v>1</v>
      </c>
      <c r="AS313" s="51">
        <f t="shared" ref="AS313" si="111">IF(OR(AS312 &gt; 0, AR313 = 1), 1, 0)</f>
        <v>1</v>
      </c>
    </row>
    <row r="314" spans="1:45" ht="15" customHeight="1" x14ac:dyDescent="0.3">
      <c r="A314" s="97"/>
      <c r="B314" s="97"/>
      <c r="C314" s="359"/>
      <c r="D314" s="226"/>
      <c r="E314" s="243"/>
      <c r="F314"/>
      <c r="G314" s="243"/>
      <c r="H314" s="230"/>
      <c r="I314" s="230"/>
      <c r="J314" s="246"/>
      <c r="K314" s="226"/>
      <c r="L314" s="226"/>
      <c r="M314" s="226"/>
      <c r="N314" s="226"/>
      <c r="O314" s="226"/>
      <c r="P314" s="226"/>
      <c r="Q314" s="226"/>
      <c r="R314" s="226"/>
      <c r="S314" s="226"/>
      <c r="T314" s="226"/>
      <c r="U314" s="226"/>
      <c r="V314" s="226"/>
      <c r="W314" s="226"/>
      <c r="X314" s="226"/>
      <c r="Y314" s="226"/>
      <c r="Z314" s="226"/>
      <c r="AA314" s="226"/>
      <c r="AB314" s="226"/>
      <c r="AC314" s="226"/>
      <c r="AD314" s="226"/>
      <c r="AE314" s="226"/>
      <c r="AF314" s="226"/>
      <c r="AG314" s="226"/>
      <c r="AH314" s="226"/>
      <c r="AI314" s="226"/>
      <c r="AJ314" s="226"/>
      <c r="AK314" s="226"/>
      <c r="AL314" s="226"/>
      <c r="AM314" s="226"/>
      <c r="AN314" s="226"/>
      <c r="AO314" s="226"/>
      <c r="AP314" s="226"/>
      <c r="AQ314" s="226"/>
      <c r="AR314" s="226"/>
      <c r="AS314" s="226"/>
    </row>
    <row r="315" spans="1:45" ht="15" customHeight="1" x14ac:dyDescent="0.3">
      <c r="A315" s="97"/>
      <c r="B315" s="97"/>
      <c r="C315" s="359"/>
      <c r="D315" s="226"/>
      <c r="E315" s="136" t="str">
        <f xml:space="preserve"> Inputs_Con!E$99</f>
        <v>Import duties as % aggregate opex + capex</v>
      </c>
      <c r="F315" s="782">
        <v>0.05</v>
      </c>
      <c r="G315" s="247" t="str">
        <f xml:space="preserve"> Inputs_Con!G$99</f>
        <v>%</v>
      </c>
      <c r="H315" s="230"/>
      <c r="I315" s="230"/>
      <c r="J315" s="246"/>
      <c r="K315" s="226"/>
      <c r="L315" s="226"/>
      <c r="M315" s="226"/>
      <c r="N315" s="226"/>
      <c r="O315" s="226"/>
      <c r="P315" s="226"/>
      <c r="Q315" s="226"/>
      <c r="R315" s="226"/>
      <c r="S315" s="226"/>
      <c r="T315" s="226"/>
      <c r="U315" s="226"/>
      <c r="V315" s="226"/>
      <c r="W315" s="226"/>
      <c r="X315" s="226"/>
      <c r="Y315" s="226"/>
      <c r="Z315" s="226"/>
      <c r="AA315" s="226"/>
      <c r="AB315" s="226"/>
      <c r="AC315" s="226"/>
      <c r="AD315" s="226"/>
      <c r="AE315" s="226"/>
      <c r="AF315" s="226"/>
      <c r="AG315" s="226"/>
      <c r="AH315" s="226"/>
      <c r="AI315" s="226"/>
      <c r="AJ315" s="226"/>
      <c r="AK315" s="226"/>
      <c r="AL315" s="226"/>
      <c r="AM315" s="226"/>
      <c r="AN315" s="226"/>
      <c r="AO315" s="226"/>
      <c r="AP315" s="226"/>
      <c r="AQ315" s="226"/>
      <c r="AR315" s="226"/>
      <c r="AS315" s="226"/>
    </row>
    <row r="316" spans="1:45" ht="15" customHeight="1" x14ac:dyDescent="0.3">
      <c r="A316" s="139"/>
      <c r="B316" s="139"/>
      <c r="C316" s="140"/>
      <c r="D316" s="141"/>
      <c r="E316" s="142" t="s">
        <v>721</v>
      </c>
      <c r="F316" s="142"/>
      <c r="G316" s="142" t="s">
        <v>722</v>
      </c>
      <c r="H316" s="142"/>
      <c r="I316" s="142"/>
      <c r="J316" s="142"/>
      <c r="K316" s="144">
        <f t="shared" ref="K316:O316" si="112" xml:space="preserve"> IF(AND(K313 = 1, K312 = 0), $F315, K312)</f>
        <v>0</v>
      </c>
      <c r="L316" s="144">
        <f t="shared" si="112"/>
        <v>0</v>
      </c>
      <c r="M316" s="144">
        <f t="shared" si="112"/>
        <v>0</v>
      </c>
      <c r="N316" s="144">
        <f t="shared" si="112"/>
        <v>0</v>
      </c>
      <c r="O316" s="144">
        <f t="shared" si="112"/>
        <v>0</v>
      </c>
      <c r="P316" s="144">
        <f t="shared" ref="P316:AS316" si="113" xml:space="preserve"> IF(AND(P313 = 1, P312 = 0), $F315, P312)</f>
        <v>0</v>
      </c>
      <c r="Q316" s="144">
        <f t="shared" si="113"/>
        <v>0</v>
      </c>
      <c r="R316" s="144">
        <f t="shared" si="113"/>
        <v>0</v>
      </c>
      <c r="S316" s="144">
        <f t="shared" si="113"/>
        <v>0</v>
      </c>
      <c r="T316" s="144">
        <f t="shared" si="113"/>
        <v>0</v>
      </c>
      <c r="U316" s="144">
        <f t="shared" si="113"/>
        <v>0</v>
      </c>
      <c r="V316" s="144">
        <f t="shared" si="113"/>
        <v>1.4664645889938007E-2</v>
      </c>
      <c r="W316" s="144">
        <f t="shared" si="113"/>
        <v>8.1593448444104669E-2</v>
      </c>
      <c r="X316" s="144">
        <f t="shared" si="113"/>
        <v>0.10942023383999366</v>
      </c>
      <c r="Y316" s="144">
        <f t="shared" si="113"/>
        <v>1.2125976939340226E-2</v>
      </c>
      <c r="Z316" s="144">
        <f t="shared" si="113"/>
        <v>0.05</v>
      </c>
      <c r="AA316" s="144">
        <f t="shared" si="113"/>
        <v>6.4548417357041796E-2</v>
      </c>
      <c r="AB316" s="144">
        <f t="shared" si="113"/>
        <v>0.05</v>
      </c>
      <c r="AC316" s="144">
        <f t="shared" si="113"/>
        <v>0.05</v>
      </c>
      <c r="AD316" s="144">
        <f t="shared" si="113"/>
        <v>0.05</v>
      </c>
      <c r="AE316" s="144">
        <f t="shared" si="113"/>
        <v>0.05</v>
      </c>
      <c r="AF316" s="144">
        <f t="shared" si="113"/>
        <v>0.05</v>
      </c>
      <c r="AG316" s="144">
        <f t="shared" si="113"/>
        <v>0.05</v>
      </c>
      <c r="AH316" s="144">
        <f t="shared" si="113"/>
        <v>0.05</v>
      </c>
      <c r="AI316" s="144">
        <f t="shared" si="113"/>
        <v>0.05</v>
      </c>
      <c r="AJ316" s="144">
        <f t="shared" si="113"/>
        <v>0.05</v>
      </c>
      <c r="AK316" s="144">
        <f t="shared" si="113"/>
        <v>0.05</v>
      </c>
      <c r="AL316" s="144">
        <f t="shared" si="113"/>
        <v>0.05</v>
      </c>
      <c r="AM316" s="144">
        <f t="shared" si="113"/>
        <v>0.05</v>
      </c>
      <c r="AN316" s="144">
        <f t="shared" si="113"/>
        <v>0.05</v>
      </c>
      <c r="AO316" s="144">
        <f t="shared" si="113"/>
        <v>0.05</v>
      </c>
      <c r="AP316" s="144">
        <f t="shared" si="113"/>
        <v>0.05</v>
      </c>
      <c r="AQ316" s="144">
        <f t="shared" si="113"/>
        <v>0.05</v>
      </c>
      <c r="AR316" s="144">
        <f t="shared" si="113"/>
        <v>0.05</v>
      </c>
      <c r="AS316" s="144">
        <f t="shared" si="113"/>
        <v>0.05</v>
      </c>
    </row>
    <row r="317" spans="1:45" ht="15" customHeight="1" x14ac:dyDescent="0.3">
      <c r="A317" s="97"/>
      <c r="B317" s="97"/>
      <c r="C317" s="359"/>
      <c r="D317" s="226"/>
      <c r="E317" s="243"/>
      <c r="F317"/>
      <c r="G317" s="243"/>
      <c r="H317" s="230"/>
      <c r="I317" s="230"/>
      <c r="J317" s="246"/>
      <c r="K317" s="226"/>
      <c r="L317" s="226"/>
      <c r="M317" s="226"/>
      <c r="N317" s="226"/>
      <c r="O317" s="226"/>
      <c r="P317" s="226"/>
      <c r="Q317" s="226"/>
      <c r="R317" s="226"/>
      <c r="S317" s="226"/>
      <c r="T317" s="226"/>
      <c r="U317" s="226"/>
      <c r="V317" s="226"/>
      <c r="W317" s="226"/>
      <c r="X317" s="226"/>
      <c r="Y317" s="226"/>
      <c r="Z317" s="226"/>
      <c r="AA317" s="226"/>
      <c r="AB317" s="226"/>
      <c r="AC317" s="226"/>
      <c r="AD317" s="226"/>
      <c r="AE317" s="226"/>
      <c r="AF317" s="226"/>
      <c r="AG317" s="226"/>
      <c r="AH317" s="226"/>
      <c r="AI317" s="226"/>
      <c r="AJ317" s="226"/>
      <c r="AK317" s="226"/>
      <c r="AL317" s="226"/>
      <c r="AM317" s="226"/>
      <c r="AN317" s="226"/>
      <c r="AO317" s="226"/>
      <c r="AP317" s="226"/>
      <c r="AQ317" s="226"/>
      <c r="AR317" s="226"/>
      <c r="AS317" s="226"/>
    </row>
    <row r="318" spans="1:45" ht="15" customHeight="1" x14ac:dyDescent="0.3">
      <c r="A318" s="15" t="s">
        <v>723</v>
      </c>
      <c r="B318" s="15"/>
      <c r="C318" s="15"/>
      <c r="D318" s="15"/>
      <c r="E318" s="196"/>
      <c r="F318" s="196"/>
      <c r="G318" s="196"/>
      <c r="H318" s="196"/>
      <c r="I318" s="196"/>
      <c r="J318" s="61"/>
      <c r="K318" s="196"/>
      <c r="L318" s="196"/>
      <c r="M318" s="196"/>
      <c r="N318" s="196"/>
      <c r="O318" s="196"/>
      <c r="P318" s="196"/>
      <c r="Q318" s="196"/>
      <c r="R318" s="196"/>
      <c r="S318" s="196"/>
      <c r="T318" s="196"/>
      <c r="U318" s="196"/>
      <c r="V318" s="196"/>
      <c r="W318" s="196"/>
      <c r="X318" s="196"/>
      <c r="Y318" s="196"/>
      <c r="Z318" s="196"/>
      <c r="AA318" s="196"/>
      <c r="AB318" s="196"/>
      <c r="AC318" s="196"/>
      <c r="AD318" s="196"/>
      <c r="AE318" s="196"/>
      <c r="AF318" s="196"/>
      <c r="AG318" s="196"/>
      <c r="AH318" s="196"/>
      <c r="AI318" s="196"/>
      <c r="AJ318" s="196"/>
      <c r="AK318" s="196"/>
      <c r="AL318" s="196"/>
      <c r="AM318" s="196"/>
      <c r="AN318" s="196"/>
      <c r="AO318" s="196"/>
      <c r="AP318" s="196"/>
      <c r="AQ318" s="196"/>
      <c r="AR318" s="196"/>
      <c r="AS318" s="196"/>
    </row>
    <row r="319" spans="1:45" ht="15" customHeight="1" x14ac:dyDescent="0.3">
      <c r="A319" s="97"/>
      <c r="B319" s="97"/>
      <c r="C319" s="359"/>
      <c r="D319" s="226"/>
      <c r="E319" s="243"/>
      <c r="F319"/>
      <c r="G319" s="184"/>
      <c r="H319" s="230"/>
      <c r="I319" s="230"/>
      <c r="J319" s="386"/>
      <c r="K319" s="226"/>
      <c r="L319" s="226"/>
      <c r="M319" s="226"/>
      <c r="N319" s="226"/>
      <c r="O319" s="226"/>
      <c r="P319" s="226"/>
      <c r="Q319" s="226"/>
      <c r="R319" s="226"/>
      <c r="S319" s="226"/>
      <c r="T319" s="226"/>
      <c r="U319" s="226"/>
      <c r="V319" s="226"/>
      <c r="W319" s="226"/>
      <c r="X319" s="226"/>
      <c r="Y319" s="226"/>
      <c r="Z319" s="226"/>
      <c r="AA319" s="226"/>
      <c r="AB319" s="226"/>
      <c r="AC319" s="226"/>
      <c r="AD319" s="226"/>
      <c r="AE319" s="226"/>
      <c r="AF319" s="226"/>
      <c r="AG319" s="226"/>
      <c r="AH319" s="226"/>
      <c r="AI319" s="226"/>
      <c r="AJ319" s="226"/>
      <c r="AK319" s="226"/>
      <c r="AL319" s="226"/>
      <c r="AM319" s="226"/>
      <c r="AN319" s="226"/>
      <c r="AO319" s="226"/>
      <c r="AP319" s="226"/>
      <c r="AQ319" s="226"/>
      <c r="AR319" s="226"/>
      <c r="AS319" s="226"/>
    </row>
    <row r="320" spans="1:45" ht="15" customHeight="1" x14ac:dyDescent="0.3">
      <c r="A320" s="97"/>
      <c r="B320" s="97"/>
      <c r="C320" s="359"/>
      <c r="D320" s="226"/>
      <c r="E320" s="247" t="str">
        <f xml:space="preserve"> 'T&amp;E'!E$9</f>
        <v>Model calendar year</v>
      </c>
      <c r="F320" s="247">
        <f xml:space="preserve"> 'T&amp;E'!F$9</f>
        <v>0</v>
      </c>
      <c r="G320" s="247" t="str">
        <f xml:space="preserve"> 'T&amp;E'!G$9</f>
        <v>year</v>
      </c>
      <c r="H320" s="247">
        <f xml:space="preserve"> 'T&amp;E'!H$9</f>
        <v>0</v>
      </c>
      <c r="I320" s="247">
        <f xml:space="preserve"> 'T&amp;E'!I$9</f>
        <v>0</v>
      </c>
      <c r="J320" s="247">
        <f xml:space="preserve"> 'T&amp;E'!J$9</f>
        <v>0</v>
      </c>
      <c r="K320" s="247">
        <f xml:space="preserve"> 'T&amp;E'!K$9</f>
        <v>2006</v>
      </c>
      <c r="L320" s="247">
        <f xml:space="preserve"> 'T&amp;E'!L$9</f>
        <v>2007</v>
      </c>
      <c r="M320" s="247">
        <f xml:space="preserve"> 'T&amp;E'!M$9</f>
        <v>2008</v>
      </c>
      <c r="N320" s="247">
        <f xml:space="preserve"> 'T&amp;E'!N$9</f>
        <v>2009</v>
      </c>
      <c r="O320" s="247">
        <f xml:space="preserve"> 'T&amp;E'!O$9</f>
        <v>2010</v>
      </c>
      <c r="P320" s="247">
        <f xml:space="preserve"> 'T&amp;E'!P$9</f>
        <v>2011</v>
      </c>
      <c r="Q320" s="247">
        <f xml:space="preserve"> 'T&amp;E'!Q$9</f>
        <v>2012</v>
      </c>
      <c r="R320" s="247">
        <f xml:space="preserve"> 'T&amp;E'!R$9</f>
        <v>2013</v>
      </c>
      <c r="S320" s="247">
        <f xml:space="preserve"> 'T&amp;E'!S$9</f>
        <v>2014</v>
      </c>
      <c r="T320" s="247">
        <f xml:space="preserve"> 'T&amp;E'!T$9</f>
        <v>2015</v>
      </c>
      <c r="U320" s="247">
        <f xml:space="preserve"> 'T&amp;E'!U$9</f>
        <v>2016</v>
      </c>
      <c r="V320" s="247">
        <f xml:space="preserve"> 'T&amp;E'!V$9</f>
        <v>2017</v>
      </c>
      <c r="W320" s="247">
        <f xml:space="preserve"> 'T&amp;E'!W$9</f>
        <v>2018</v>
      </c>
      <c r="X320" s="247">
        <f xml:space="preserve"> 'T&amp;E'!X$9</f>
        <v>2019</v>
      </c>
      <c r="Y320" s="247">
        <f xml:space="preserve"> 'T&amp;E'!Y$9</f>
        <v>2020</v>
      </c>
      <c r="Z320" s="247">
        <f xml:space="preserve"> 'T&amp;E'!Z$9</f>
        <v>2021</v>
      </c>
      <c r="AA320" s="247">
        <f xml:space="preserve"> 'T&amp;E'!AA$9</f>
        <v>2022</v>
      </c>
      <c r="AB320" s="247">
        <f xml:space="preserve"> 'T&amp;E'!AB$9</f>
        <v>2023</v>
      </c>
      <c r="AC320" s="247">
        <f xml:space="preserve"> 'T&amp;E'!AC$9</f>
        <v>2024</v>
      </c>
      <c r="AD320" s="247">
        <f xml:space="preserve"> 'T&amp;E'!AD$9</f>
        <v>2025</v>
      </c>
      <c r="AE320" s="247">
        <f xml:space="preserve"> 'T&amp;E'!AE$9</f>
        <v>2026</v>
      </c>
      <c r="AF320" s="247">
        <f xml:space="preserve"> 'T&amp;E'!AF$9</f>
        <v>2027</v>
      </c>
      <c r="AG320" s="247">
        <f xml:space="preserve"> 'T&amp;E'!AG$9</f>
        <v>2028</v>
      </c>
      <c r="AH320" s="247">
        <f xml:space="preserve"> 'T&amp;E'!AH$9</f>
        <v>2029</v>
      </c>
      <c r="AI320" s="247">
        <f xml:space="preserve"> 'T&amp;E'!AI$9</f>
        <v>2030</v>
      </c>
      <c r="AJ320" s="247">
        <f xml:space="preserve"> 'T&amp;E'!AJ$9</f>
        <v>2031</v>
      </c>
      <c r="AK320" s="247">
        <f xml:space="preserve"> 'T&amp;E'!AK$9</f>
        <v>2032</v>
      </c>
      <c r="AL320" s="247">
        <f xml:space="preserve"> 'T&amp;E'!AL$9</f>
        <v>2033</v>
      </c>
      <c r="AM320" s="247">
        <f xml:space="preserve"> 'T&amp;E'!AM$9</f>
        <v>2034</v>
      </c>
      <c r="AN320" s="247">
        <f xml:space="preserve"> 'T&amp;E'!AN$9</f>
        <v>2035</v>
      </c>
      <c r="AO320" s="247">
        <f xml:space="preserve"> 'T&amp;E'!AO$9</f>
        <v>2036</v>
      </c>
      <c r="AP320" s="247">
        <f xml:space="preserve"> 'T&amp;E'!AP$9</f>
        <v>2037</v>
      </c>
      <c r="AQ320" s="247">
        <f xml:space="preserve"> 'T&amp;E'!AQ$9</f>
        <v>2038</v>
      </c>
      <c r="AR320" s="247">
        <f xml:space="preserve"> 'T&amp;E'!AR$9</f>
        <v>2039</v>
      </c>
      <c r="AS320" s="247">
        <f xml:space="preserve"> 'T&amp;E'!AS$9</f>
        <v>2040</v>
      </c>
    </row>
    <row r="321" spans="1:45" ht="15" customHeight="1" x14ac:dyDescent="0.3">
      <c r="A321" s="97"/>
      <c r="B321" s="97"/>
      <c r="C321" s="359"/>
      <c r="D321" s="226"/>
      <c r="E321" s="549" t="str">
        <f xml:space="preserve"> EITI_Rev!E$102</f>
        <v>IPR % opex</v>
      </c>
      <c r="F321" s="549">
        <f xml:space="preserve"> EITI_Rev!F$102</f>
        <v>0</v>
      </c>
      <c r="G321" s="549" t="str">
        <f xml:space="preserve"> EITI_Rev!G$102</f>
        <v>%</v>
      </c>
      <c r="H321" s="549">
        <f xml:space="preserve"> EITI_Rev!H$102</f>
        <v>0</v>
      </c>
      <c r="I321" s="549">
        <f xml:space="preserve"> EITI_Rev!I$102</f>
        <v>0</v>
      </c>
      <c r="J321" s="549">
        <f xml:space="preserve"> EITI_Rev!J$102</f>
        <v>0</v>
      </c>
      <c r="K321" s="782">
        <f xml:space="preserve"> EITI_Rev!K$102</f>
        <v>0</v>
      </c>
      <c r="L321" s="782">
        <f xml:space="preserve"> EITI_Rev!L$102</f>
        <v>0</v>
      </c>
      <c r="M321" s="782">
        <f xml:space="preserve"> EITI_Rev!M$102</f>
        <v>0</v>
      </c>
      <c r="N321" s="782">
        <f xml:space="preserve"> EITI_Rev!N$102</f>
        <v>0</v>
      </c>
      <c r="O321" s="782">
        <f xml:space="preserve"> EITI_Rev!O$102</f>
        <v>0</v>
      </c>
      <c r="P321" s="782">
        <f xml:space="preserve"> EITI_Rev!P$102</f>
        <v>0</v>
      </c>
      <c r="Q321" s="782">
        <f xml:space="preserve"> EITI_Rev!Q$102</f>
        <v>0</v>
      </c>
      <c r="R321" s="782">
        <f xml:space="preserve"> EITI_Rev!R$102</f>
        <v>0</v>
      </c>
      <c r="S321" s="782">
        <f xml:space="preserve"> EITI_Rev!S$102</f>
        <v>0</v>
      </c>
      <c r="T321" s="782">
        <f xml:space="preserve"> EITI_Rev!T$102</f>
        <v>0</v>
      </c>
      <c r="U321" s="782">
        <f xml:space="preserve"> EITI_Rev!U$102</f>
        <v>0</v>
      </c>
      <c r="V321" s="782">
        <f xml:space="preserve"> EITI_Rev!V$102</f>
        <v>6.3224560296059771E-3</v>
      </c>
      <c r="W321" s="782">
        <f xml:space="preserve"> EITI_Rev!W$102</f>
        <v>1.0482043052203059E-2</v>
      </c>
      <c r="X321" s="782">
        <f xml:space="preserve"> EITI_Rev!X$102</f>
        <v>1.0075291915590529E-2</v>
      </c>
      <c r="Y321" s="782">
        <f xml:space="preserve"> EITI_Rev!Y$102</f>
        <v>1.2276498241689148E-2</v>
      </c>
      <c r="Z321" s="782">
        <f xml:space="preserve"> EITI_Rev!Z$102</f>
        <v>2.0825800066989971E-2</v>
      </c>
      <c r="AA321" s="782">
        <f xml:space="preserve"> EITI_Rev!AA$102</f>
        <v>7.8540812144745654E-3</v>
      </c>
      <c r="AB321" s="782">
        <f xml:space="preserve"> EITI_Rev!AB$102</f>
        <v>0</v>
      </c>
      <c r="AC321" s="782">
        <f xml:space="preserve"> EITI_Rev!AC$102</f>
        <v>0</v>
      </c>
      <c r="AD321" s="782">
        <f xml:space="preserve"> EITI_Rev!AD$102</f>
        <v>0</v>
      </c>
      <c r="AE321" s="782">
        <f xml:space="preserve"> EITI_Rev!AE$102</f>
        <v>0</v>
      </c>
      <c r="AF321" s="782">
        <f xml:space="preserve"> EITI_Rev!AF$102</f>
        <v>0</v>
      </c>
      <c r="AG321" s="782">
        <f xml:space="preserve"> EITI_Rev!AG$102</f>
        <v>0</v>
      </c>
      <c r="AH321" s="782">
        <f xml:space="preserve"> EITI_Rev!AH$102</f>
        <v>0</v>
      </c>
      <c r="AI321" s="782">
        <f xml:space="preserve"> EITI_Rev!AI$102</f>
        <v>0</v>
      </c>
      <c r="AJ321" s="782">
        <f xml:space="preserve"> EITI_Rev!AJ$102</f>
        <v>0</v>
      </c>
      <c r="AK321" s="782">
        <f xml:space="preserve"> EITI_Rev!AK$102</f>
        <v>0</v>
      </c>
      <c r="AL321" s="782">
        <f xml:space="preserve"> EITI_Rev!AL$102</f>
        <v>0</v>
      </c>
      <c r="AM321" s="782">
        <f xml:space="preserve"> EITI_Rev!AM$102</f>
        <v>0</v>
      </c>
      <c r="AN321" s="782">
        <f xml:space="preserve"> EITI_Rev!AN$102</f>
        <v>0</v>
      </c>
      <c r="AO321" s="782">
        <f xml:space="preserve"> EITI_Rev!AO$102</f>
        <v>0</v>
      </c>
      <c r="AP321" s="782">
        <f xml:space="preserve"> EITI_Rev!AP$102</f>
        <v>0</v>
      </c>
      <c r="AQ321" s="782">
        <f xml:space="preserve"> EITI_Rev!AQ$102</f>
        <v>0</v>
      </c>
      <c r="AR321" s="782">
        <f xml:space="preserve"> EITI_Rev!AR$102</f>
        <v>0</v>
      </c>
      <c r="AS321" s="782">
        <f xml:space="preserve"> EITI_Rev!AS$102</f>
        <v>0</v>
      </c>
    </row>
    <row r="322" spans="1:45" ht="15" customHeight="1" x14ac:dyDescent="0.3">
      <c r="A322" s="97"/>
      <c r="B322" s="97"/>
      <c r="C322" s="359"/>
      <c r="D322" s="226"/>
      <c r="E322" s="88" t="s">
        <v>729</v>
      </c>
      <c r="F322" s="51">
        <f xml:space="preserve"> SUM(K322:AS322)</f>
        <v>0</v>
      </c>
      <c r="G322" s="88" t="s">
        <v>160</v>
      </c>
      <c r="H322" s="230"/>
      <c r="I322" s="230"/>
      <c r="J322" s="386"/>
      <c r="K322" s="51">
        <f xml:space="preserve"> AND(K321 &gt; 0, K321 = 0) * K320</f>
        <v>0</v>
      </c>
      <c r="L322" s="51">
        <f t="shared" ref="L322:AN322" si="114" xml:space="preserve"> AND(L321 &gt; 0, L321 = 0) * L320</f>
        <v>0</v>
      </c>
      <c r="M322" s="51">
        <f t="shared" si="114"/>
        <v>0</v>
      </c>
      <c r="N322" s="51">
        <f t="shared" si="114"/>
        <v>0</v>
      </c>
      <c r="O322" s="51">
        <f t="shared" si="114"/>
        <v>0</v>
      </c>
      <c r="P322" s="51">
        <f t="shared" si="114"/>
        <v>0</v>
      </c>
      <c r="Q322" s="51">
        <f t="shared" si="114"/>
        <v>0</v>
      </c>
      <c r="R322" s="51">
        <f t="shared" si="114"/>
        <v>0</v>
      </c>
      <c r="S322" s="51">
        <f t="shared" si="114"/>
        <v>0</v>
      </c>
      <c r="T322" s="51">
        <f t="shared" si="114"/>
        <v>0</v>
      </c>
      <c r="U322" s="51">
        <f t="shared" si="114"/>
        <v>0</v>
      </c>
      <c r="V322" s="51">
        <f t="shared" si="114"/>
        <v>0</v>
      </c>
      <c r="W322" s="51">
        <f t="shared" si="114"/>
        <v>0</v>
      </c>
      <c r="X322" s="51">
        <f t="shared" si="114"/>
        <v>0</v>
      </c>
      <c r="Y322" s="51">
        <f t="shared" si="114"/>
        <v>0</v>
      </c>
      <c r="Z322" s="51">
        <f t="shared" si="114"/>
        <v>0</v>
      </c>
      <c r="AA322" s="51">
        <f t="shared" si="114"/>
        <v>0</v>
      </c>
      <c r="AB322" s="51">
        <f t="shared" si="114"/>
        <v>0</v>
      </c>
      <c r="AC322" s="51">
        <f t="shared" si="114"/>
        <v>0</v>
      </c>
      <c r="AD322" s="51">
        <f t="shared" si="114"/>
        <v>0</v>
      </c>
      <c r="AE322" s="51">
        <f t="shared" si="114"/>
        <v>0</v>
      </c>
      <c r="AF322" s="51">
        <f t="shared" si="114"/>
        <v>0</v>
      </c>
      <c r="AG322" s="51">
        <f t="shared" si="114"/>
        <v>0</v>
      </c>
      <c r="AH322" s="51">
        <f t="shared" si="114"/>
        <v>0</v>
      </c>
      <c r="AI322" s="51">
        <f t="shared" si="114"/>
        <v>0</v>
      </c>
      <c r="AJ322" s="51">
        <f t="shared" si="114"/>
        <v>0</v>
      </c>
      <c r="AK322" s="51">
        <f t="shared" si="114"/>
        <v>0</v>
      </c>
      <c r="AL322" s="51">
        <f t="shared" si="114"/>
        <v>0</v>
      </c>
      <c r="AM322" s="51">
        <f t="shared" si="114"/>
        <v>0</v>
      </c>
      <c r="AN322" s="51">
        <f t="shared" si="114"/>
        <v>0</v>
      </c>
      <c r="AO322" s="51">
        <f t="shared" ref="AO322" si="115" xml:space="preserve"> AND(AO321 &gt; 0, AO321 = 0) * AO320</f>
        <v>0</v>
      </c>
      <c r="AP322" s="51">
        <f t="shared" ref="AP322" si="116" xml:space="preserve"> AND(AP321 &gt; 0, AP321 = 0) * AP320</f>
        <v>0</v>
      </c>
      <c r="AQ322" s="51">
        <f t="shared" ref="AQ322" si="117" xml:space="preserve"> AND(AQ321 &gt; 0, AQ321 = 0) * AQ320</f>
        <v>0</v>
      </c>
      <c r="AR322" s="51">
        <f t="shared" ref="AR322" si="118" xml:space="preserve"> AND(AR321 &gt; 0, AR321 = 0) * AR320</f>
        <v>0</v>
      </c>
      <c r="AS322" s="51">
        <f t="shared" ref="AS322" si="119" xml:space="preserve"> AND(AS321 &gt; 0, AS321 = 0) * AS320</f>
        <v>0</v>
      </c>
    </row>
    <row r="323" spans="1:45" ht="15" customHeight="1" x14ac:dyDescent="0.3">
      <c r="A323" s="97"/>
      <c r="B323" s="97"/>
      <c r="C323" s="359"/>
      <c r="D323" s="226"/>
      <c r="E323" s="243"/>
      <c r="F323"/>
      <c r="G323" s="184"/>
      <c r="H323" s="230"/>
      <c r="I323" s="230"/>
      <c r="J323" s="386"/>
      <c r="K323" s="226"/>
      <c r="L323" s="226"/>
      <c r="M323" s="226"/>
      <c r="N323" s="226"/>
      <c r="O323" s="226"/>
      <c r="P323" s="226"/>
      <c r="Q323" s="226"/>
      <c r="R323" s="226"/>
      <c r="S323" s="226"/>
      <c r="T323" s="226"/>
      <c r="U323" s="226"/>
      <c r="V323" s="226"/>
      <c r="W323" s="226"/>
      <c r="X323" s="226"/>
      <c r="Y323" s="226"/>
      <c r="Z323" s="226"/>
      <c r="AA323" s="226"/>
      <c r="AB323" s="226"/>
      <c r="AC323" s="226"/>
      <c r="AD323" s="226"/>
      <c r="AE323" s="226"/>
      <c r="AF323" s="226"/>
      <c r="AG323" s="226"/>
      <c r="AH323" s="226"/>
      <c r="AI323" s="226"/>
      <c r="AJ323" s="226"/>
      <c r="AK323" s="226"/>
      <c r="AL323" s="226"/>
      <c r="AM323" s="226"/>
      <c r="AN323" s="226"/>
      <c r="AO323" s="226"/>
      <c r="AP323" s="226"/>
      <c r="AQ323" s="226"/>
      <c r="AR323" s="226"/>
      <c r="AS323" s="226"/>
    </row>
    <row r="324" spans="1:45" ht="15" customHeight="1" x14ac:dyDescent="0.3">
      <c r="A324" s="97"/>
      <c r="B324" s="97"/>
      <c r="C324" s="359"/>
      <c r="D324" s="226"/>
      <c r="E324" s="247" t="str">
        <f xml:space="preserve"> Inputs_Con!E$115</f>
        <v>Payroll taxes as % of opex</v>
      </c>
      <c r="F324" s="783">
        <f xml:space="preserve"> Inputs_Con!F$115</f>
        <v>0.04</v>
      </c>
      <c r="G324" s="136" t="str">
        <f xml:space="preserve"> Inputs_Con!G$115</f>
        <v xml:space="preserve"> %</v>
      </c>
      <c r="H324" s="230"/>
      <c r="I324" s="230"/>
      <c r="J324" s="386"/>
      <c r="K324" s="226"/>
      <c r="L324" s="226"/>
      <c r="M324" s="226"/>
      <c r="N324" s="226"/>
      <c r="O324" s="226"/>
      <c r="P324" s="226"/>
      <c r="Q324" s="226"/>
      <c r="R324" s="226"/>
      <c r="S324" s="226"/>
      <c r="T324" s="226"/>
      <c r="U324" s="226"/>
      <c r="V324" s="226"/>
      <c r="W324" s="226"/>
      <c r="X324" s="226"/>
      <c r="Y324" s="226"/>
      <c r="Z324" s="226"/>
      <c r="AA324" s="226"/>
      <c r="AB324" s="226"/>
      <c r="AC324" s="226"/>
      <c r="AD324" s="226"/>
      <c r="AE324" s="226"/>
      <c r="AF324" s="226"/>
      <c r="AG324" s="226"/>
      <c r="AH324" s="226"/>
      <c r="AI324" s="226"/>
      <c r="AJ324" s="226"/>
      <c r="AK324" s="226"/>
      <c r="AL324" s="226"/>
      <c r="AM324" s="226"/>
      <c r="AN324" s="226"/>
      <c r="AO324" s="226"/>
      <c r="AP324" s="226"/>
      <c r="AQ324" s="226"/>
      <c r="AR324" s="226"/>
      <c r="AS324" s="226"/>
    </row>
    <row r="325" spans="1:45" s="143" customFormat="1" ht="15" customHeight="1" x14ac:dyDescent="0.3">
      <c r="A325" s="197"/>
      <c r="B325" s="197"/>
      <c r="C325" s="241"/>
      <c r="D325" s="184"/>
      <c r="E325" s="243" t="s">
        <v>731</v>
      </c>
      <c r="F325" s="168"/>
      <c r="G325" s="184" t="s">
        <v>732</v>
      </c>
      <c r="H325" s="183"/>
      <c r="I325" s="183"/>
      <c r="J325" s="243"/>
      <c r="K325" s="834">
        <f xml:space="preserve"> IF(K320 &lt; $F322, K321, $F324)</f>
        <v>0.04</v>
      </c>
      <c r="L325" s="834">
        <f t="shared" ref="L325:O325" si="120" xml:space="preserve"> IF(L320 &lt; $F322, L321, $F324)</f>
        <v>0.04</v>
      </c>
      <c r="M325" s="834">
        <f t="shared" si="120"/>
        <v>0.04</v>
      </c>
      <c r="N325" s="834">
        <f t="shared" si="120"/>
        <v>0.04</v>
      </c>
      <c r="O325" s="834">
        <f t="shared" si="120"/>
        <v>0.04</v>
      </c>
      <c r="P325" s="834">
        <f t="shared" ref="P325:AS325" si="121" xml:space="preserve"> IF(P320 &lt; $F322, P321, $F324)</f>
        <v>0.04</v>
      </c>
      <c r="Q325" s="834">
        <f t="shared" si="121"/>
        <v>0.04</v>
      </c>
      <c r="R325" s="834">
        <f t="shared" si="121"/>
        <v>0.04</v>
      </c>
      <c r="S325" s="834">
        <f t="shared" si="121"/>
        <v>0.04</v>
      </c>
      <c r="T325" s="834">
        <f t="shared" si="121"/>
        <v>0.04</v>
      </c>
      <c r="U325" s="834">
        <f t="shared" si="121"/>
        <v>0.04</v>
      </c>
      <c r="V325" s="834">
        <f t="shared" si="121"/>
        <v>0.04</v>
      </c>
      <c r="W325" s="834">
        <f t="shared" si="121"/>
        <v>0.04</v>
      </c>
      <c r="X325" s="834">
        <f t="shared" si="121"/>
        <v>0.04</v>
      </c>
      <c r="Y325" s="834">
        <f t="shared" si="121"/>
        <v>0.04</v>
      </c>
      <c r="Z325" s="834">
        <f t="shared" si="121"/>
        <v>0.04</v>
      </c>
      <c r="AA325" s="834">
        <f t="shared" si="121"/>
        <v>0.04</v>
      </c>
      <c r="AB325" s="834">
        <f t="shared" si="121"/>
        <v>0.04</v>
      </c>
      <c r="AC325" s="834">
        <f t="shared" si="121"/>
        <v>0.04</v>
      </c>
      <c r="AD325" s="834">
        <f t="shared" si="121"/>
        <v>0.04</v>
      </c>
      <c r="AE325" s="834">
        <f t="shared" si="121"/>
        <v>0.04</v>
      </c>
      <c r="AF325" s="834">
        <f t="shared" si="121"/>
        <v>0.04</v>
      </c>
      <c r="AG325" s="834">
        <f t="shared" si="121"/>
        <v>0.04</v>
      </c>
      <c r="AH325" s="834">
        <f t="shared" si="121"/>
        <v>0.04</v>
      </c>
      <c r="AI325" s="834">
        <f t="shared" si="121"/>
        <v>0.04</v>
      </c>
      <c r="AJ325" s="834">
        <f t="shared" si="121"/>
        <v>0.04</v>
      </c>
      <c r="AK325" s="834">
        <f t="shared" si="121"/>
        <v>0.04</v>
      </c>
      <c r="AL325" s="834">
        <f t="shared" si="121"/>
        <v>0.04</v>
      </c>
      <c r="AM325" s="834">
        <f t="shared" si="121"/>
        <v>0.04</v>
      </c>
      <c r="AN325" s="834">
        <f t="shared" si="121"/>
        <v>0.04</v>
      </c>
      <c r="AO325" s="834">
        <f t="shared" si="121"/>
        <v>0.04</v>
      </c>
      <c r="AP325" s="834">
        <f t="shared" si="121"/>
        <v>0.04</v>
      </c>
      <c r="AQ325" s="834">
        <f t="shared" si="121"/>
        <v>0.04</v>
      </c>
      <c r="AR325" s="834">
        <f t="shared" si="121"/>
        <v>0.04</v>
      </c>
      <c r="AS325" s="834">
        <f t="shared" si="121"/>
        <v>0.04</v>
      </c>
    </row>
    <row r="326" spans="1:45" ht="15" customHeight="1" x14ac:dyDescent="0.3">
      <c r="A326" s="97"/>
      <c r="B326" s="97"/>
      <c r="C326" s="359"/>
      <c r="D326" s="226"/>
      <c r="E326" s="243"/>
      <c r="F326"/>
      <c r="G326" s="184"/>
      <c r="H326" s="230"/>
      <c r="I326" s="230"/>
      <c r="J326" s="386"/>
      <c r="K326" s="226"/>
      <c r="L326" s="226"/>
      <c r="M326" s="226"/>
      <c r="N326" s="226"/>
      <c r="O326" s="226"/>
      <c r="P326" s="226"/>
      <c r="Q326" s="226"/>
      <c r="R326" s="226"/>
      <c r="S326" s="226"/>
      <c r="T326" s="226"/>
      <c r="U326" s="226"/>
      <c r="V326" s="226"/>
      <c r="W326" s="226"/>
      <c r="X326" s="226"/>
      <c r="Y326" s="226"/>
      <c r="Z326" s="226"/>
      <c r="AA326" s="226"/>
      <c r="AB326" s="226"/>
      <c r="AC326" s="226"/>
      <c r="AD326" s="226"/>
      <c r="AE326" s="226"/>
      <c r="AF326" s="226"/>
      <c r="AG326" s="226"/>
      <c r="AH326" s="226"/>
      <c r="AI326" s="226"/>
      <c r="AJ326" s="226"/>
      <c r="AK326" s="226"/>
      <c r="AL326" s="226"/>
      <c r="AM326" s="226"/>
      <c r="AN326" s="226"/>
      <c r="AO326" s="226"/>
      <c r="AP326" s="226"/>
      <c r="AQ326" s="226"/>
      <c r="AR326" s="226"/>
      <c r="AS326" s="226"/>
    </row>
    <row r="327" spans="1:45" ht="15" customHeight="1" x14ac:dyDescent="0.3">
      <c r="A327" s="400" t="s">
        <v>490</v>
      </c>
      <c r="B327" s="400"/>
      <c r="C327" s="401"/>
      <c r="D327" s="402"/>
      <c r="E327" s="402"/>
      <c r="F327" s="402"/>
      <c r="G327" s="402"/>
      <c r="H327" s="402"/>
      <c r="I327" s="402"/>
      <c r="J327" s="402"/>
      <c r="K327" s="404"/>
      <c r="L327" s="404"/>
      <c r="M327" s="404"/>
      <c r="N327" s="404"/>
      <c r="O327" s="404"/>
      <c r="P327" s="404"/>
      <c r="Q327" s="402"/>
      <c r="R327" s="402"/>
      <c r="S327" s="402"/>
      <c r="T327" s="402"/>
      <c r="U327" s="402"/>
      <c r="V327" s="402"/>
      <c r="W327" s="402"/>
      <c r="X327" s="402"/>
      <c r="Y327" s="402"/>
      <c r="Z327" s="402"/>
      <c r="AA327" s="402"/>
      <c r="AB327" s="402"/>
      <c r="AC327" s="402"/>
      <c r="AD327" s="402"/>
      <c r="AE327" s="402"/>
      <c r="AF327" s="402"/>
      <c r="AG327" s="402"/>
      <c r="AH327" s="402"/>
      <c r="AI327" s="402"/>
      <c r="AJ327" s="402"/>
      <c r="AK327" s="402"/>
      <c r="AL327" s="402"/>
      <c r="AM327" s="402"/>
      <c r="AN327" s="402"/>
      <c r="AO327" s="402"/>
      <c r="AP327" s="402"/>
      <c r="AQ327" s="402"/>
      <c r="AR327" s="402"/>
      <c r="AS327" s="402"/>
    </row>
    <row r="344" spans="10:10" ht="15" customHeight="1" x14ac:dyDescent="0.3">
      <c r="J344" s="61"/>
    </row>
    <row r="348" spans="10:10" ht="15" customHeight="1" x14ac:dyDescent="0.3">
      <c r="J348" s="61"/>
    </row>
    <row r="352" spans="10:10" ht="15" customHeight="1" x14ac:dyDescent="0.3">
      <c r="J352" s="61"/>
    </row>
  </sheetData>
  <phoneticPr fontId="30" type="noConversion"/>
  <conditionalFormatting sqref="F2">
    <cfRule type="cellIs" dxfId="39" priority="4" stopIfTrue="1" operator="notEqual">
      <formula>0</formula>
    </cfRule>
    <cfRule type="cellIs" dxfId="38" priority="5" stopIfTrue="1" operator="equal">
      <formula>""</formula>
    </cfRule>
  </conditionalFormatting>
  <conditionalFormatting sqref="F3">
    <cfRule type="cellIs" dxfId="37" priority="1" stopIfTrue="1" operator="notEqual">
      <formula>0</formula>
    </cfRule>
    <cfRule type="cellIs" dxfId="36" priority="2" stopIfTrue="1" operator="equal">
      <formula>""</formula>
    </cfRule>
  </conditionalFormatting>
  <conditionalFormatting sqref="K3:AS3">
    <cfRule type="cellIs" dxfId="35" priority="12" stopIfTrue="1" operator="equal">
      <formula>#REF!</formula>
    </cfRule>
    <cfRule type="cellIs" dxfId="34" priority="13" stopIfTrue="1" operator="equal">
      <formula>#REF!</formula>
    </cfRule>
    <cfRule type="cellIs" dxfId="33" priority="14" operator="equal">
      <formula>#REF!</formula>
    </cfRule>
    <cfRule type="cellIs" dxfId="32" priority="15" operator="equal">
      <formula>#REF!</formula>
    </cfRule>
    <cfRule type="cellIs" dxfId="31" priority="16" stopIfTrue="1" operator="equal">
      <formula>#REF!</formula>
    </cfRule>
    <cfRule type="cellIs" dxfId="30" priority="17" stopIfTrue="1" operator="equal">
      <formula>#REF!</formula>
    </cfRule>
  </conditionalFormatting>
  <conditionalFormatting sqref="K221:AS221">
    <cfRule type="colorScale" priority="90">
      <colorScale>
        <cfvo type="min"/>
        <cfvo type="max"/>
        <color rgb="FFFFEF9C"/>
        <color rgb="FF63BE7B"/>
      </colorScale>
    </cfRule>
  </conditionalFormatting>
  <dataValidations disablePrompts="1" count="3">
    <dataValidation type="list" allowBlank="1" showInputMessage="1" showErrorMessage="1" sqref="H182" xr:uid="{FE2DAB9C-6167-43EF-AA5E-4FE21E68225A}">
      <formula1>$F$170:$F$171</formula1>
    </dataValidation>
    <dataValidation type="list" allowBlank="1" showInputMessage="1" showErrorMessage="1" sqref="H177:H181" xr:uid="{FDE6C66E-BF07-4755-B1AC-3923B0EADC7E}">
      <formula1>$F$184:$F$185</formula1>
    </dataValidation>
    <dataValidation type="list" allowBlank="1" showInputMessage="1" showErrorMessage="1" sqref="H232:H244 H250 H254:H258 H260:H261 H263" xr:uid="{A463F930-DECE-494D-9A52-EE8C2143B451}">
      <formula1>$F$171:$F$172</formula1>
    </dataValidation>
  </dataValidations>
  <pageMargins left="0.7" right="0.7" top="0.75" bottom="0.75" header="0.3" footer="0.3"/>
  <legacyDrawing r:id="rId1"/>
  <extLs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list" allowBlank="1" showInputMessage="1" showErrorMessage="1" xr:uid="{E5938CD0-F69D-493D-ABAA-743FC739F579}">
          <x14:formula1>
            <xm:f>COMMUS_Model!$F$477:$F$478</xm:f>
          </x14:formula1>
          <xm:sqref>F306 F324</xm:sqref>
        </x14:dataValidation>
      </x14:dataValidations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FC761B-37DA-41C7-AB42-4B432F00334A}">
  <sheetPr codeName="Sheet13">
    <tabColor theme="3" tint="0.749992370372631"/>
  </sheetPr>
  <dimension ref="A1:AS528"/>
  <sheetViews>
    <sheetView showZeros="0" zoomScaleNormal="100" workbookViewId="0">
      <pane xSplit="10" ySplit="3" topLeftCell="K151" activePane="bottomRight" state="frozen"/>
      <selection pane="topRight" activeCell="K1" sqref="K1"/>
      <selection pane="bottomLeft" activeCell="A4" sqref="A4"/>
      <selection pane="bottomRight" activeCell="V184" sqref="V184"/>
    </sheetView>
  </sheetViews>
  <sheetFormatPr defaultColWidth="0" defaultRowHeight="15" customHeight="1" x14ac:dyDescent="0.3"/>
  <cols>
    <col min="1" max="2" width="1.33203125" style="288" customWidth="1"/>
    <col min="3" max="3" width="1.33203125" style="289" customWidth="1"/>
    <col min="4" max="4" width="1.33203125" style="290" customWidth="1"/>
    <col min="5" max="5" width="50.6640625" style="290" customWidth="1"/>
    <col min="6" max="6" width="12.6640625" style="290" customWidth="1"/>
    <col min="7" max="7" width="20.6640625" style="290" customWidth="1"/>
    <col min="8" max="8" width="25.109375" style="291" customWidth="1"/>
    <col min="9" max="9" width="12.6640625" style="290" customWidth="1" collapsed="1"/>
    <col min="10" max="10" width="1.6640625" style="290" customWidth="1"/>
    <col min="11" max="13" width="10.6640625" style="290" customWidth="1"/>
    <col min="14" max="14" width="12.44140625" style="290" bestFit="1" customWidth="1"/>
    <col min="15" max="37" width="10.6640625" style="290" customWidth="1"/>
    <col min="38" max="40" width="11.88671875" customWidth="1"/>
    <col min="41" max="45" width="11.88671875" style="85" customWidth="1"/>
    <col min="46" max="16384" width="11.88671875" hidden="1"/>
  </cols>
  <sheetData>
    <row r="1" spans="1:45" ht="26.25" customHeight="1" x14ac:dyDescent="0.3">
      <c r="A1" s="44" t="str">
        <f ca="1" xml:space="preserve"> RIGHT(CELL("filename", $A$3), LEN(CELL("filename", $A$3)) - SEARCH("]", CELL("filename", $A$3)))</f>
        <v>COMMUS_23FS_Model</v>
      </c>
      <c r="B1" s="1"/>
      <c r="C1" s="2"/>
      <c r="D1" s="3"/>
      <c r="E1" s="3"/>
      <c r="F1" s="4"/>
      <c r="G1" s="3"/>
      <c r="H1" s="5"/>
      <c r="I1" s="5"/>
      <c r="J1" s="42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  <c r="Y1" s="45"/>
      <c r="Z1" s="45"/>
      <c r="AA1" s="45"/>
      <c r="AB1" s="45"/>
      <c r="AC1" s="45"/>
      <c r="AD1" s="45"/>
      <c r="AE1" s="45"/>
      <c r="AF1" s="45"/>
      <c r="AG1" s="45"/>
      <c r="AH1" s="45"/>
      <c r="AI1" s="45"/>
      <c r="AJ1" s="45"/>
      <c r="AK1" s="3"/>
      <c r="AO1" s="309"/>
      <c r="AP1" s="309"/>
      <c r="AQ1" s="309"/>
      <c r="AR1" s="309"/>
      <c r="AS1" s="309"/>
    </row>
    <row r="2" spans="1:45" ht="15" customHeight="1" x14ac:dyDescent="0.3">
      <c r="A2" s="45"/>
      <c r="B2" s="45"/>
      <c r="C2" s="2"/>
      <c r="D2" s="3"/>
      <c r="E2" s="3"/>
      <c r="F2" s="883">
        <f xml:space="preserve"> Inputs_TS!F$2</f>
        <v>0</v>
      </c>
      <c r="G2" s="7" t="s">
        <v>0</v>
      </c>
      <c r="H2" s="5"/>
      <c r="I2" s="5"/>
      <c r="J2" s="42"/>
      <c r="K2" s="47">
        <f>'T&amp;E'!K$9</f>
        <v>2006</v>
      </c>
      <c r="L2" s="47">
        <f>'T&amp;E'!L$9</f>
        <v>2007</v>
      </c>
      <c r="M2" s="47">
        <f>'T&amp;E'!M$9</f>
        <v>2008</v>
      </c>
      <c r="N2" s="47">
        <f>'T&amp;E'!N$9</f>
        <v>2009</v>
      </c>
      <c r="O2" s="47">
        <f>'T&amp;E'!O$9</f>
        <v>2010</v>
      </c>
      <c r="P2" s="47">
        <f>'T&amp;E'!P$9</f>
        <v>2011</v>
      </c>
      <c r="Q2" s="47">
        <f>'T&amp;E'!Q$9</f>
        <v>2012</v>
      </c>
      <c r="R2" s="47">
        <f>'T&amp;E'!R$9</f>
        <v>2013</v>
      </c>
      <c r="S2" s="47">
        <f>'T&amp;E'!S$9</f>
        <v>2014</v>
      </c>
      <c r="T2" s="47">
        <f>'T&amp;E'!T$9</f>
        <v>2015</v>
      </c>
      <c r="U2" s="47">
        <f>'T&amp;E'!U$9</f>
        <v>2016</v>
      </c>
      <c r="V2" s="47">
        <f>'T&amp;E'!V$9</f>
        <v>2017</v>
      </c>
      <c r="W2" s="47">
        <f>'T&amp;E'!W$9</f>
        <v>2018</v>
      </c>
      <c r="X2" s="47">
        <f>'T&amp;E'!X$9</f>
        <v>2019</v>
      </c>
      <c r="Y2" s="47">
        <f>'T&amp;E'!Y$9</f>
        <v>2020</v>
      </c>
      <c r="Z2" s="47">
        <f>'T&amp;E'!Z$9</f>
        <v>2021</v>
      </c>
      <c r="AA2" s="47">
        <f>'T&amp;E'!AA$9</f>
        <v>2022</v>
      </c>
      <c r="AB2" s="47">
        <f>'T&amp;E'!AB$9</f>
        <v>2023</v>
      </c>
      <c r="AC2" s="47">
        <f>'T&amp;E'!AC$9</f>
        <v>2024</v>
      </c>
      <c r="AD2" s="47">
        <f>'T&amp;E'!AD$9</f>
        <v>2025</v>
      </c>
      <c r="AE2" s="47">
        <f>'T&amp;E'!AE$9</f>
        <v>2026</v>
      </c>
      <c r="AF2" s="47">
        <f>'T&amp;E'!AF$9</f>
        <v>2027</v>
      </c>
      <c r="AG2" s="47">
        <f>'T&amp;E'!AG$9</f>
        <v>2028</v>
      </c>
      <c r="AH2" s="47">
        <f>'T&amp;E'!AH$9</f>
        <v>2029</v>
      </c>
      <c r="AI2" s="47">
        <f>'T&amp;E'!AI$9</f>
        <v>2030</v>
      </c>
      <c r="AJ2" s="47">
        <f>'T&amp;E'!AJ$9</f>
        <v>2031</v>
      </c>
      <c r="AK2" s="47">
        <f>'T&amp;E'!AK$9</f>
        <v>2032</v>
      </c>
      <c r="AL2" s="47">
        <f>'T&amp;E'!AL$9</f>
        <v>2033</v>
      </c>
      <c r="AM2" s="47">
        <f>'T&amp;E'!AM$9</f>
        <v>2034</v>
      </c>
      <c r="AN2" s="47">
        <f>'T&amp;E'!AN$9</f>
        <v>2035</v>
      </c>
      <c r="AO2" s="47">
        <f>'T&amp;E'!AO$9</f>
        <v>2036</v>
      </c>
      <c r="AP2" s="47">
        <f>'T&amp;E'!AP$9</f>
        <v>2037</v>
      </c>
      <c r="AQ2" s="47">
        <f>'T&amp;E'!AQ$9</f>
        <v>2038</v>
      </c>
      <c r="AR2" s="47">
        <f>'T&amp;E'!AR$9</f>
        <v>2039</v>
      </c>
      <c r="AS2" s="47">
        <f>'T&amp;E'!AS$9</f>
        <v>2040</v>
      </c>
    </row>
    <row r="3" spans="1:45" ht="15" customHeight="1" x14ac:dyDescent="0.3">
      <c r="A3" s="1"/>
      <c r="B3" s="1"/>
      <c r="C3" s="2"/>
      <c r="D3" s="3"/>
      <c r="E3" s="3"/>
      <c r="F3" s="881">
        <f>'T&amp;E'!F3</f>
        <v>0</v>
      </c>
      <c r="G3" s="9" t="s">
        <v>1</v>
      </c>
      <c r="H3" s="5"/>
      <c r="I3" s="5"/>
      <c r="J3" s="42"/>
      <c r="K3" s="49" t="s">
        <v>2</v>
      </c>
      <c r="L3" s="49" t="s">
        <v>2</v>
      </c>
      <c r="M3" s="49" t="s">
        <v>2</v>
      </c>
      <c r="N3" s="49" t="s">
        <v>2</v>
      </c>
      <c r="O3" s="49" t="s">
        <v>2</v>
      </c>
      <c r="P3" s="49" t="s">
        <v>2</v>
      </c>
      <c r="Q3" s="49" t="s">
        <v>2</v>
      </c>
      <c r="R3" s="49" t="s">
        <v>2</v>
      </c>
      <c r="S3" s="49" t="s">
        <v>2</v>
      </c>
      <c r="T3" s="49" t="s">
        <v>2</v>
      </c>
      <c r="U3" s="49" t="s">
        <v>2</v>
      </c>
      <c r="V3" s="49" t="s">
        <v>2</v>
      </c>
      <c r="W3" s="49" t="s">
        <v>2</v>
      </c>
      <c r="X3" s="49" t="s">
        <v>2</v>
      </c>
      <c r="Y3" s="49" t="s">
        <v>2</v>
      </c>
      <c r="Z3" s="49" t="s">
        <v>2</v>
      </c>
      <c r="AA3" s="49" t="s">
        <v>2</v>
      </c>
      <c r="AB3" s="49" t="s">
        <v>2</v>
      </c>
      <c r="AC3" s="49" t="s">
        <v>2</v>
      </c>
      <c r="AD3" s="49" t="s">
        <v>3</v>
      </c>
      <c r="AE3" s="49" t="s">
        <v>3</v>
      </c>
      <c r="AF3" s="49" t="s">
        <v>3</v>
      </c>
      <c r="AG3" s="49" t="s">
        <v>3</v>
      </c>
      <c r="AH3" s="49" t="s">
        <v>3</v>
      </c>
      <c r="AI3" s="49" t="s">
        <v>3</v>
      </c>
      <c r="AJ3" s="49" t="s">
        <v>3</v>
      </c>
      <c r="AK3" s="49" t="s">
        <v>3</v>
      </c>
      <c r="AL3" s="49" t="s">
        <v>3</v>
      </c>
      <c r="AM3" s="49" t="s">
        <v>3</v>
      </c>
      <c r="AN3" s="49" t="s">
        <v>3</v>
      </c>
      <c r="AO3" s="49" t="s">
        <v>3</v>
      </c>
      <c r="AP3" s="49" t="s">
        <v>3</v>
      </c>
      <c r="AQ3" s="49" t="s">
        <v>3</v>
      </c>
      <c r="AR3" s="49" t="s">
        <v>3</v>
      </c>
      <c r="AS3" s="49" t="s">
        <v>3</v>
      </c>
    </row>
    <row r="4" spans="1:45" ht="15" customHeight="1" x14ac:dyDescent="0.3">
      <c r="A4" s="1"/>
      <c r="B4" s="1"/>
      <c r="C4" s="2"/>
      <c r="D4" s="3"/>
      <c r="E4" s="3"/>
      <c r="F4" s="11" t="s">
        <v>4</v>
      </c>
      <c r="G4" s="1" t="s">
        <v>5</v>
      </c>
      <c r="H4" s="12" t="s">
        <v>6</v>
      </c>
      <c r="I4" s="12"/>
      <c r="J4" s="42"/>
      <c r="K4" s="45">
        <f>'T&amp;E'!K$11</f>
        <v>1</v>
      </c>
      <c r="L4" s="45">
        <f>'T&amp;E'!L$11</f>
        <v>2</v>
      </c>
      <c r="M4" s="45">
        <f>'T&amp;E'!M$11</f>
        <v>3</v>
      </c>
      <c r="N4" s="45">
        <f>'T&amp;E'!N$11</f>
        <v>4</v>
      </c>
      <c r="O4" s="45">
        <f>'T&amp;E'!O$11</f>
        <v>5</v>
      </c>
      <c r="P4" s="45">
        <f>'T&amp;E'!P$11</f>
        <v>6</v>
      </c>
      <c r="Q4" s="45">
        <f>'T&amp;E'!Q$11</f>
        <v>7</v>
      </c>
      <c r="R4" s="45">
        <f>'T&amp;E'!R$11</f>
        <v>8</v>
      </c>
      <c r="S4" s="45">
        <f>'T&amp;E'!S$11</f>
        <v>9</v>
      </c>
      <c r="T4" s="45">
        <f>'T&amp;E'!T$11</f>
        <v>10</v>
      </c>
      <c r="U4" s="45">
        <f>'T&amp;E'!U$11</f>
        <v>11</v>
      </c>
      <c r="V4" s="45">
        <f>'T&amp;E'!V$11</f>
        <v>12</v>
      </c>
      <c r="W4" s="45">
        <f>'T&amp;E'!W$11</f>
        <v>13</v>
      </c>
      <c r="X4" s="45">
        <f>'T&amp;E'!X$11</f>
        <v>14</v>
      </c>
      <c r="Y4" s="45">
        <f>'T&amp;E'!Y$11</f>
        <v>15</v>
      </c>
      <c r="Z4" s="45">
        <f>'T&amp;E'!Z$11</f>
        <v>16</v>
      </c>
      <c r="AA4" s="45">
        <f>'T&amp;E'!AA$11</f>
        <v>17</v>
      </c>
      <c r="AB4" s="45">
        <f>'T&amp;E'!AB$11</f>
        <v>18</v>
      </c>
      <c r="AC4" s="45">
        <f>'T&amp;E'!AC$11</f>
        <v>19</v>
      </c>
      <c r="AD4" s="45">
        <f>'T&amp;E'!AD$11</f>
        <v>20</v>
      </c>
      <c r="AE4" s="45">
        <f>'T&amp;E'!AE$11</f>
        <v>21</v>
      </c>
      <c r="AF4" s="45">
        <f>'T&amp;E'!AF$11</f>
        <v>22</v>
      </c>
      <c r="AG4" s="45">
        <f>'T&amp;E'!AG$11</f>
        <v>23</v>
      </c>
      <c r="AH4" s="45">
        <f>'T&amp;E'!AH$11</f>
        <v>24</v>
      </c>
      <c r="AI4" s="45">
        <f>'T&amp;E'!AI$11</f>
        <v>25</v>
      </c>
      <c r="AJ4" s="45">
        <f>'T&amp;E'!AJ$11</f>
        <v>26</v>
      </c>
      <c r="AK4" s="45">
        <f>'T&amp;E'!AK$11</f>
        <v>27</v>
      </c>
      <c r="AL4" s="45">
        <f>'T&amp;E'!AL$11</f>
        <v>28</v>
      </c>
      <c r="AM4" s="45">
        <f>'T&amp;E'!AM$11</f>
        <v>29</v>
      </c>
      <c r="AN4" s="45">
        <f>'T&amp;E'!AN$11</f>
        <v>30</v>
      </c>
      <c r="AO4" s="45">
        <f>'T&amp;E'!AO$11</f>
        <v>31</v>
      </c>
      <c r="AP4" s="45">
        <f>'T&amp;E'!AP$11</f>
        <v>32</v>
      </c>
      <c r="AQ4" s="45">
        <f>'T&amp;E'!AQ$11</f>
        <v>33</v>
      </c>
      <c r="AR4" s="45">
        <f>'T&amp;E'!AR$11</f>
        <v>34</v>
      </c>
      <c r="AS4" s="45">
        <f>'T&amp;E'!AS$11</f>
        <v>35</v>
      </c>
    </row>
    <row r="5" spans="1:45" ht="15" customHeight="1" x14ac:dyDescent="0.3">
      <c r="A5" s="1"/>
      <c r="B5" s="1"/>
      <c r="C5" s="2"/>
      <c r="D5" s="3"/>
      <c r="E5" s="3"/>
      <c r="F5" s="11"/>
      <c r="G5" s="1"/>
      <c r="H5" s="12"/>
      <c r="I5" s="12"/>
      <c r="J5" s="42"/>
      <c r="K5" s="45"/>
      <c r="L5" s="45"/>
      <c r="M5" s="45"/>
      <c r="N5" s="45"/>
      <c r="O5" s="45"/>
      <c r="P5" s="45"/>
      <c r="Q5" s="45"/>
      <c r="R5" s="45"/>
      <c r="S5" s="45"/>
      <c r="T5" s="45"/>
      <c r="U5" s="45"/>
      <c r="V5" s="45"/>
      <c r="W5" s="45"/>
      <c r="X5" s="45"/>
      <c r="Y5" s="45"/>
      <c r="Z5" s="45"/>
      <c r="AA5" s="45"/>
      <c r="AB5" s="45"/>
      <c r="AC5" s="45"/>
      <c r="AD5" s="45"/>
      <c r="AE5" s="45"/>
      <c r="AF5" s="45"/>
      <c r="AG5" s="45"/>
      <c r="AH5" s="45"/>
      <c r="AI5" s="45"/>
      <c r="AJ5" s="45"/>
      <c r="AK5" s="3"/>
      <c r="AL5" s="3"/>
      <c r="AM5" s="3"/>
      <c r="AN5" s="3"/>
      <c r="AO5" s="3"/>
      <c r="AP5" s="3"/>
      <c r="AQ5" s="3"/>
      <c r="AR5" s="3"/>
      <c r="AS5" s="3"/>
    </row>
    <row r="6" spans="1:45" ht="15" customHeight="1" x14ac:dyDescent="0.3">
      <c r="A6" s="283" t="s">
        <v>389</v>
      </c>
      <c r="B6" s="284"/>
      <c r="C6" s="285"/>
      <c r="D6" s="286"/>
      <c r="E6" s="284"/>
      <c r="F6" s="284"/>
      <c r="G6" s="284"/>
      <c r="H6" s="287"/>
      <c r="I6" s="287"/>
      <c r="J6" s="42"/>
      <c r="K6" s="287"/>
      <c r="L6" s="287"/>
      <c r="M6" s="287"/>
      <c r="N6" s="287"/>
      <c r="O6" s="287"/>
      <c r="P6" s="287"/>
      <c r="Q6" s="287"/>
      <c r="R6" s="287"/>
      <c r="S6" s="287"/>
      <c r="T6" s="287"/>
      <c r="U6" s="287"/>
      <c r="V6" s="287"/>
      <c r="W6" s="287"/>
      <c r="X6" s="287"/>
      <c r="Y6" s="287"/>
      <c r="Z6" s="287"/>
      <c r="AA6" s="287"/>
      <c r="AB6" s="287"/>
      <c r="AC6" s="287"/>
      <c r="AD6" s="287"/>
      <c r="AE6" s="287"/>
      <c r="AF6" s="287"/>
      <c r="AG6" s="287"/>
      <c r="AH6" s="287"/>
      <c r="AI6" s="287"/>
      <c r="AJ6" s="287"/>
      <c r="AK6" s="287"/>
      <c r="AL6" s="287"/>
      <c r="AM6" s="287"/>
      <c r="AN6" s="287"/>
      <c r="AO6" s="287"/>
      <c r="AP6" s="287"/>
      <c r="AQ6" s="287"/>
      <c r="AR6" s="287"/>
      <c r="AS6" s="287"/>
    </row>
    <row r="7" spans="1:45" ht="15" customHeight="1" x14ac:dyDescent="0.3">
      <c r="I7" s="291"/>
      <c r="J7" s="42"/>
      <c r="AL7" s="290"/>
      <c r="AM7" s="290"/>
      <c r="AN7" s="290"/>
      <c r="AO7" s="290"/>
      <c r="AP7" s="290"/>
      <c r="AQ7" s="290"/>
      <c r="AR7" s="290"/>
      <c r="AS7" s="290"/>
    </row>
    <row r="8" spans="1:45" ht="15" customHeight="1" x14ac:dyDescent="0.3">
      <c r="B8" s="288" t="s">
        <v>36</v>
      </c>
      <c r="I8" s="291"/>
      <c r="J8" s="42"/>
      <c r="AL8" s="290"/>
      <c r="AM8" s="290"/>
      <c r="AN8" s="290"/>
      <c r="AO8" s="290"/>
      <c r="AP8" s="290"/>
      <c r="AQ8" s="290"/>
      <c r="AR8" s="290"/>
      <c r="AS8" s="290"/>
    </row>
    <row r="9" spans="1:45" ht="15" customHeight="1" x14ac:dyDescent="0.3">
      <c r="I9" s="291"/>
      <c r="J9" s="42"/>
      <c r="AL9" s="290"/>
      <c r="AM9" s="290"/>
      <c r="AN9" s="290"/>
      <c r="AO9" s="290"/>
      <c r="AP9" s="290"/>
      <c r="AQ9" s="290"/>
      <c r="AR9" s="290"/>
      <c r="AS9" s="290"/>
    </row>
    <row r="10" spans="1:45" ht="15" customHeight="1" x14ac:dyDescent="0.3">
      <c r="C10" s="289" t="s">
        <v>539</v>
      </c>
      <c r="I10" s="291"/>
      <c r="J10" s="42"/>
      <c r="AL10" s="290"/>
      <c r="AM10" s="290"/>
      <c r="AN10" s="290"/>
      <c r="AO10" s="290"/>
      <c r="AP10" s="290"/>
      <c r="AQ10" s="290"/>
      <c r="AR10" s="290"/>
      <c r="AS10" s="290"/>
    </row>
    <row r="11" spans="1:45" ht="15" customHeight="1" x14ac:dyDescent="0.3">
      <c r="D11" s="292"/>
      <c r="E11" s="362" t="str">
        <f xml:space="preserve"> 'Inputs_ FS'!E$10</f>
        <v>Copper cathode: FS table</v>
      </c>
      <c r="F11" s="362">
        <f xml:space="preserve"> 'Inputs_ FS'!F$10</f>
        <v>0</v>
      </c>
      <c r="G11" s="362" t="str">
        <f xml:space="preserve"> 'Inputs_ FS'!G$10</f>
        <v>tonnes</v>
      </c>
      <c r="H11" s="362" t="str">
        <f xml:space="preserve"> 'Inputs_ FS'!H$10</f>
        <v>M</v>
      </c>
      <c r="I11" s="362">
        <f xml:space="preserve"> 'Inputs_ FS'!I$10</f>
        <v>443825</v>
      </c>
      <c r="J11" s="362">
        <f xml:space="preserve"> 'Inputs_ FS'!J$10</f>
        <v>0</v>
      </c>
      <c r="K11" s="362">
        <f xml:space="preserve"> 'Inputs_ FS'!K$10</f>
        <v>0</v>
      </c>
      <c r="L11" s="362">
        <f xml:space="preserve"> 'Inputs_ FS'!L$10</f>
        <v>0</v>
      </c>
      <c r="M11" s="362">
        <f xml:space="preserve"> 'Inputs_ FS'!M$10</f>
        <v>0</v>
      </c>
      <c r="N11" s="362">
        <f xml:space="preserve"> 'Inputs_ FS'!N$10</f>
        <v>0</v>
      </c>
      <c r="O11" s="362">
        <f xml:space="preserve"> 'Inputs_ FS'!O$10</f>
        <v>0</v>
      </c>
      <c r="P11" s="362">
        <f xml:space="preserve"> 'Inputs_ FS'!P$10</f>
        <v>0</v>
      </c>
      <c r="Q11" s="362">
        <f xml:space="preserve"> 'Inputs_ FS'!Q$10</f>
        <v>0</v>
      </c>
      <c r="R11" s="362">
        <f xml:space="preserve"> 'Inputs_ FS'!R$10</f>
        <v>0</v>
      </c>
      <c r="S11" s="362">
        <f xml:space="preserve"> 'Inputs_ FS'!S$10</f>
        <v>0</v>
      </c>
      <c r="T11" s="362">
        <f xml:space="preserve"> 'Inputs_ FS'!T$10</f>
        <v>0</v>
      </c>
      <c r="U11" s="362">
        <f xml:space="preserve"> 'Inputs_ FS'!U$10</f>
        <v>0</v>
      </c>
      <c r="V11" s="362">
        <f xml:space="preserve"> 'Inputs_ FS'!V$10</f>
        <v>0</v>
      </c>
      <c r="W11" s="362">
        <f xml:space="preserve"> 'Inputs_ FS'!W$10</f>
        <v>0</v>
      </c>
      <c r="X11" s="362">
        <f xml:space="preserve"> 'Inputs_ FS'!X$10</f>
        <v>26145</v>
      </c>
      <c r="Y11" s="362">
        <f xml:space="preserve"> 'Inputs_ FS'!Y$10</f>
        <v>57390</v>
      </c>
      <c r="Z11" s="362">
        <f xml:space="preserve"> 'Inputs_ FS'!Z$10</f>
        <v>59899</v>
      </c>
      <c r="AA11" s="362">
        <f xml:space="preserve"> 'Inputs_ FS'!AA$10</f>
        <v>73852</v>
      </c>
      <c r="AB11" s="362">
        <f xml:space="preserve"> 'Inputs_ FS'!AB$10</f>
        <v>60290</v>
      </c>
      <c r="AC11" s="362">
        <f xml:space="preserve"> 'Inputs_ FS'!AC$10</f>
        <v>0</v>
      </c>
      <c r="AD11" s="362">
        <f xml:space="preserve"> 'Inputs_ FS'!AD$10</f>
        <v>0</v>
      </c>
      <c r="AE11" s="362">
        <f xml:space="preserve"> 'Inputs_ FS'!AE$10</f>
        <v>0</v>
      </c>
      <c r="AF11" s="362">
        <f xml:space="preserve"> 'Inputs_ FS'!AF$10</f>
        <v>0</v>
      </c>
      <c r="AG11" s="362">
        <f xml:space="preserve"> 'Inputs_ FS'!AG$10</f>
        <v>0</v>
      </c>
      <c r="AH11" s="362">
        <f xml:space="preserve"> 'Inputs_ FS'!AH$10</f>
        <v>0</v>
      </c>
      <c r="AI11" s="362">
        <f xml:space="preserve"> 'Inputs_ FS'!AI$10</f>
        <v>68878</v>
      </c>
      <c r="AJ11" s="362">
        <f xml:space="preserve"> 'Inputs_ FS'!AJ$10</f>
        <v>68878</v>
      </c>
      <c r="AK11" s="362">
        <f xml:space="preserve"> 'Inputs_ FS'!AK$10</f>
        <v>28493</v>
      </c>
      <c r="AL11" s="362">
        <f xml:space="preserve"> 'Inputs_ FS'!AL$10</f>
        <v>0</v>
      </c>
      <c r="AM11" s="362">
        <f xml:space="preserve"> 'Inputs_ FS'!AM$10</f>
        <v>0</v>
      </c>
      <c r="AN11" s="362">
        <f xml:space="preserve"> 'Inputs_ FS'!AN$10</f>
        <v>0</v>
      </c>
      <c r="AO11" s="362">
        <f xml:space="preserve"> 'Inputs_ FS'!AO$10</f>
        <v>0</v>
      </c>
      <c r="AP11" s="362">
        <f xml:space="preserve"> 'Inputs_ FS'!AP$10</f>
        <v>0</v>
      </c>
      <c r="AQ11" s="362">
        <f xml:space="preserve"> 'Inputs_ FS'!AQ$10</f>
        <v>0</v>
      </c>
      <c r="AR11" s="362">
        <f xml:space="preserve"> 'Inputs_ FS'!AR$10</f>
        <v>0</v>
      </c>
      <c r="AS11" s="362">
        <f xml:space="preserve"> 'Inputs_ FS'!AS$10</f>
        <v>0</v>
      </c>
    </row>
    <row r="12" spans="1:45" ht="15" customHeight="1" x14ac:dyDescent="0.3">
      <c r="D12" s="292"/>
      <c r="E12" s="362" t="str">
        <f xml:space="preserve"> 'Inputs_ FS'!E$11</f>
        <v>Blister copper: FS table</v>
      </c>
      <c r="F12" s="362">
        <f xml:space="preserve"> 'Inputs_ FS'!F$11</f>
        <v>0</v>
      </c>
      <c r="G12" s="362" t="str">
        <f xml:space="preserve"> 'Inputs_ FS'!G$11</f>
        <v>tonnes</v>
      </c>
      <c r="H12" s="362" t="str">
        <f xml:space="preserve"> 'Inputs_ FS'!H$11</f>
        <v>M</v>
      </c>
      <c r="I12" s="362">
        <f xml:space="preserve"> 'Inputs_ FS'!I$11</f>
        <v>223496</v>
      </c>
      <c r="J12" s="362">
        <f xml:space="preserve"> 'Inputs_ FS'!J$11</f>
        <v>0</v>
      </c>
      <c r="K12" s="362">
        <f xml:space="preserve"> 'Inputs_ FS'!K$11</f>
        <v>0</v>
      </c>
      <c r="L12" s="362">
        <f xml:space="preserve"> 'Inputs_ FS'!L$11</f>
        <v>0</v>
      </c>
      <c r="M12" s="362">
        <f xml:space="preserve"> 'Inputs_ FS'!M$11</f>
        <v>0</v>
      </c>
      <c r="N12" s="362">
        <f xml:space="preserve"> 'Inputs_ FS'!N$11</f>
        <v>0</v>
      </c>
      <c r="O12" s="362">
        <f xml:space="preserve"> 'Inputs_ FS'!O$11</f>
        <v>0</v>
      </c>
      <c r="P12" s="362">
        <f xml:space="preserve"> 'Inputs_ FS'!P$11</f>
        <v>0</v>
      </c>
      <c r="Q12" s="362">
        <f xml:space="preserve"> 'Inputs_ FS'!Q$11</f>
        <v>0</v>
      </c>
      <c r="R12" s="362">
        <f xml:space="preserve"> 'Inputs_ FS'!R$11</f>
        <v>0</v>
      </c>
      <c r="S12" s="362">
        <f xml:space="preserve"> 'Inputs_ FS'!S$11</f>
        <v>0</v>
      </c>
      <c r="T12" s="362">
        <f xml:space="preserve"> 'Inputs_ FS'!T$11</f>
        <v>0</v>
      </c>
      <c r="U12" s="362">
        <f xml:space="preserve"> 'Inputs_ FS'!U$11</f>
        <v>0</v>
      </c>
      <c r="V12" s="362">
        <f xml:space="preserve"> 'Inputs_ FS'!V$11</f>
        <v>11808</v>
      </c>
      <c r="W12" s="362">
        <f xml:space="preserve"> 'Inputs_ FS'!W$11</f>
        <v>29048</v>
      </c>
      <c r="X12" s="362">
        <f xml:space="preserve"> 'Inputs_ FS'!X$11</f>
        <v>34233</v>
      </c>
      <c r="Y12" s="362">
        <f xml:space="preserve"> 'Inputs_ FS'!Y$11</f>
        <v>32411</v>
      </c>
      <c r="Z12" s="362">
        <f xml:space="preserve"> 'Inputs_ FS'!Z$11</f>
        <v>24924</v>
      </c>
      <c r="AA12" s="362">
        <f xml:space="preserve"> 'Inputs_ FS'!AA$11</f>
        <v>22433</v>
      </c>
      <c r="AB12" s="362">
        <f xml:space="preserve"> 'Inputs_ FS'!AB$11</f>
        <v>21362</v>
      </c>
      <c r="AC12" s="362">
        <f xml:space="preserve"> 'Inputs_ FS'!AC$11</f>
        <v>0</v>
      </c>
      <c r="AD12" s="362">
        <f xml:space="preserve"> 'Inputs_ FS'!AD$11</f>
        <v>0</v>
      </c>
      <c r="AE12" s="362">
        <f xml:space="preserve"> 'Inputs_ FS'!AE$11</f>
        <v>0</v>
      </c>
      <c r="AF12" s="362">
        <f xml:space="preserve"> 'Inputs_ FS'!AF$11</f>
        <v>0</v>
      </c>
      <c r="AG12" s="362">
        <f xml:space="preserve"> 'Inputs_ FS'!AG$11</f>
        <v>0</v>
      </c>
      <c r="AH12" s="362">
        <f xml:space="preserve"> 'Inputs_ FS'!AH$11</f>
        <v>0</v>
      </c>
      <c r="AI12" s="362">
        <f xml:space="preserve"> 'Inputs_ FS'!AI$11</f>
        <v>19587</v>
      </c>
      <c r="AJ12" s="362">
        <f xml:space="preserve"> 'Inputs_ FS'!AJ$11</f>
        <v>19587</v>
      </c>
      <c r="AK12" s="362">
        <f xml:space="preserve"> 'Inputs_ FS'!AK$11</f>
        <v>8103</v>
      </c>
      <c r="AL12" s="362">
        <f xml:space="preserve"> 'Inputs_ FS'!AL$11</f>
        <v>0</v>
      </c>
      <c r="AM12" s="362">
        <f xml:space="preserve"> 'Inputs_ FS'!AM$11</f>
        <v>0</v>
      </c>
      <c r="AN12" s="362">
        <f xml:space="preserve"> 'Inputs_ FS'!AN$11</f>
        <v>0</v>
      </c>
      <c r="AO12" s="362">
        <f xml:space="preserve"> 'Inputs_ FS'!AO$11</f>
        <v>0</v>
      </c>
      <c r="AP12" s="362">
        <f xml:space="preserve"> 'Inputs_ FS'!AP$11</f>
        <v>0</v>
      </c>
      <c r="AQ12" s="362">
        <f xml:space="preserve"> 'Inputs_ FS'!AQ$11</f>
        <v>0</v>
      </c>
      <c r="AR12" s="362">
        <f xml:space="preserve"> 'Inputs_ FS'!AR$11</f>
        <v>0</v>
      </c>
      <c r="AS12" s="362">
        <f xml:space="preserve"> 'Inputs_ FS'!AS$11</f>
        <v>0</v>
      </c>
    </row>
    <row r="13" spans="1:45" ht="15" customHeight="1" x14ac:dyDescent="0.3">
      <c r="D13" s="292"/>
      <c r="E13" s="362" t="str">
        <f xml:space="preserve"> 'Inputs_ FS'!E$12</f>
        <v>Copper matt: FS table</v>
      </c>
      <c r="F13" s="362">
        <f xml:space="preserve"> 'Inputs_ FS'!F$12</f>
        <v>0</v>
      </c>
      <c r="G13" s="362" t="str">
        <f xml:space="preserve"> 'Inputs_ FS'!G$12</f>
        <v>tonnes</v>
      </c>
      <c r="H13" s="362" t="str">
        <f xml:space="preserve"> 'Inputs_ FS'!H$12</f>
        <v>M</v>
      </c>
      <c r="I13" s="362">
        <f xml:space="preserve"> 'Inputs_ FS'!I$12</f>
        <v>25209</v>
      </c>
      <c r="J13" s="362">
        <f xml:space="preserve"> 'Inputs_ FS'!J$12</f>
        <v>0</v>
      </c>
      <c r="K13" s="362">
        <f xml:space="preserve"> 'Inputs_ FS'!K$12</f>
        <v>0</v>
      </c>
      <c r="L13" s="362">
        <f xml:space="preserve"> 'Inputs_ FS'!L$12</f>
        <v>0</v>
      </c>
      <c r="M13" s="362">
        <f xml:space="preserve"> 'Inputs_ FS'!M$12</f>
        <v>0</v>
      </c>
      <c r="N13" s="362">
        <f xml:space="preserve"> 'Inputs_ FS'!N$12</f>
        <v>0</v>
      </c>
      <c r="O13" s="362">
        <f xml:space="preserve"> 'Inputs_ FS'!O$12</f>
        <v>0</v>
      </c>
      <c r="P13" s="362">
        <f xml:space="preserve"> 'Inputs_ FS'!P$12</f>
        <v>0</v>
      </c>
      <c r="Q13" s="362">
        <f xml:space="preserve"> 'Inputs_ FS'!Q$12</f>
        <v>0</v>
      </c>
      <c r="R13" s="362">
        <f xml:space="preserve"> 'Inputs_ FS'!R$12</f>
        <v>0</v>
      </c>
      <c r="S13" s="362">
        <f xml:space="preserve"> 'Inputs_ FS'!S$12</f>
        <v>0</v>
      </c>
      <c r="T13" s="362">
        <f xml:space="preserve"> 'Inputs_ FS'!T$12</f>
        <v>0</v>
      </c>
      <c r="U13" s="362">
        <f xml:space="preserve"> 'Inputs_ FS'!U$12</f>
        <v>0</v>
      </c>
      <c r="V13" s="362">
        <f xml:space="preserve"> 'Inputs_ FS'!V$12</f>
        <v>735</v>
      </c>
      <c r="W13" s="362">
        <f xml:space="preserve"> 'Inputs_ FS'!W$12</f>
        <v>4026</v>
      </c>
      <c r="X13" s="362">
        <f xml:space="preserve"> 'Inputs_ FS'!X$12</f>
        <v>3910</v>
      </c>
      <c r="Y13" s="362">
        <f xml:space="preserve"> 'Inputs_ FS'!Y$12</f>
        <v>3656</v>
      </c>
      <c r="Z13" s="362">
        <f xml:space="preserve"> 'Inputs_ FS'!Z$12</f>
        <v>1848</v>
      </c>
      <c r="AA13" s="362">
        <f xml:space="preserve"> 'Inputs_ FS'!AA$12</f>
        <v>2275</v>
      </c>
      <c r="AB13" s="362">
        <f xml:space="preserve"> 'Inputs_ FS'!AB$12</f>
        <v>3507</v>
      </c>
      <c r="AC13" s="362">
        <f xml:space="preserve"> 'Inputs_ FS'!AC$12</f>
        <v>0</v>
      </c>
      <c r="AD13" s="362">
        <f xml:space="preserve"> 'Inputs_ FS'!AD$12</f>
        <v>0</v>
      </c>
      <c r="AE13" s="362">
        <f xml:space="preserve"> 'Inputs_ FS'!AE$12</f>
        <v>0</v>
      </c>
      <c r="AF13" s="362">
        <f xml:space="preserve"> 'Inputs_ FS'!AF$12</f>
        <v>0</v>
      </c>
      <c r="AG13" s="362">
        <f xml:space="preserve"> 'Inputs_ FS'!AG$12</f>
        <v>0</v>
      </c>
      <c r="AH13" s="362">
        <f xml:space="preserve"> 'Inputs_ FS'!AH$12</f>
        <v>0</v>
      </c>
      <c r="AI13" s="362">
        <f xml:space="preserve"> 'Inputs_ FS'!AI$12</f>
        <v>2176</v>
      </c>
      <c r="AJ13" s="362">
        <f xml:space="preserve"> 'Inputs_ FS'!AJ$12</f>
        <v>2176</v>
      </c>
      <c r="AK13" s="362">
        <f xml:space="preserve"> 'Inputs_ FS'!AK$12</f>
        <v>900</v>
      </c>
      <c r="AL13" s="362">
        <f xml:space="preserve"> 'Inputs_ FS'!AL$12</f>
        <v>0</v>
      </c>
      <c r="AM13" s="362">
        <f xml:space="preserve"> 'Inputs_ FS'!AM$12</f>
        <v>0</v>
      </c>
      <c r="AN13" s="362">
        <f xml:space="preserve"> 'Inputs_ FS'!AN$12</f>
        <v>0</v>
      </c>
      <c r="AO13" s="362">
        <f xml:space="preserve"> 'Inputs_ FS'!AO$12</f>
        <v>0</v>
      </c>
      <c r="AP13" s="362">
        <f xml:space="preserve"> 'Inputs_ FS'!AP$12</f>
        <v>0</v>
      </c>
      <c r="AQ13" s="362">
        <f xml:space="preserve"> 'Inputs_ FS'!AQ$12</f>
        <v>0</v>
      </c>
      <c r="AR13" s="362">
        <f xml:space="preserve"> 'Inputs_ FS'!AR$12</f>
        <v>0</v>
      </c>
      <c r="AS13" s="362">
        <f xml:space="preserve"> 'Inputs_ FS'!AS$12</f>
        <v>0</v>
      </c>
    </row>
    <row r="14" spans="1:45" ht="15" customHeight="1" x14ac:dyDescent="0.3">
      <c r="D14" s="292"/>
      <c r="E14" s="362" t="str">
        <f xml:space="preserve"> 'Inputs_ FS'!E$13</f>
        <v>Copper sulfide concentrates: FS table</v>
      </c>
      <c r="F14" s="362">
        <f xml:space="preserve"> 'Inputs_ FS'!F$13</f>
        <v>0</v>
      </c>
      <c r="G14" s="362" t="str">
        <f xml:space="preserve"> 'Inputs_ FS'!G$13</f>
        <v>tonnes</v>
      </c>
      <c r="H14" s="362" t="str">
        <f xml:space="preserve"> 'Inputs_ FS'!H$13</f>
        <v>M</v>
      </c>
      <c r="I14" s="362">
        <f xml:space="preserve"> 'Inputs_ FS'!I$13</f>
        <v>372689</v>
      </c>
      <c r="J14" s="362">
        <f xml:space="preserve"> 'Inputs_ FS'!J$13</f>
        <v>0</v>
      </c>
      <c r="K14" s="362">
        <f xml:space="preserve"> 'Inputs_ FS'!K$13</f>
        <v>0</v>
      </c>
      <c r="L14" s="362">
        <f xml:space="preserve"> 'Inputs_ FS'!L$13</f>
        <v>0</v>
      </c>
      <c r="M14" s="362">
        <f xml:space="preserve"> 'Inputs_ FS'!M$13</f>
        <v>0</v>
      </c>
      <c r="N14" s="362">
        <f xml:space="preserve"> 'Inputs_ FS'!N$13</f>
        <v>0</v>
      </c>
      <c r="O14" s="362">
        <f xml:space="preserve"> 'Inputs_ FS'!O$13</f>
        <v>0</v>
      </c>
      <c r="P14" s="362">
        <f xml:space="preserve"> 'Inputs_ FS'!P$13</f>
        <v>0</v>
      </c>
      <c r="Q14" s="362">
        <f xml:space="preserve"> 'Inputs_ FS'!Q$13</f>
        <v>0</v>
      </c>
      <c r="R14" s="362">
        <f xml:space="preserve"> 'Inputs_ FS'!R$13</f>
        <v>0</v>
      </c>
      <c r="S14" s="362">
        <f xml:space="preserve"> 'Inputs_ FS'!S$13</f>
        <v>0</v>
      </c>
      <c r="T14" s="362">
        <f xml:space="preserve"> 'Inputs_ FS'!T$13</f>
        <v>0</v>
      </c>
      <c r="U14" s="362">
        <f xml:space="preserve"> 'Inputs_ FS'!U$13</f>
        <v>0</v>
      </c>
      <c r="V14" s="362">
        <f xml:space="preserve"> 'Inputs_ FS'!V$13</f>
        <v>22146</v>
      </c>
      <c r="W14" s="362">
        <f xml:space="preserve"> 'Inputs_ FS'!W$13</f>
        <v>71511</v>
      </c>
      <c r="X14" s="362">
        <f xml:space="preserve"> 'Inputs_ FS'!X$13</f>
        <v>61170</v>
      </c>
      <c r="Y14" s="362">
        <f xml:space="preserve"> 'Inputs_ FS'!Y$13</f>
        <v>36712</v>
      </c>
      <c r="Z14" s="362">
        <f xml:space="preserve"> 'Inputs_ FS'!Z$13</f>
        <v>116222</v>
      </c>
      <c r="AA14" s="362">
        <f xml:space="preserve"> 'Inputs_ FS'!AA$13</f>
        <v>40314</v>
      </c>
      <c r="AB14" s="362">
        <f xml:space="preserve"> 'Inputs_ FS'!AB$13</f>
        <v>24614</v>
      </c>
      <c r="AC14" s="362">
        <f xml:space="preserve"> 'Inputs_ FS'!AC$13</f>
        <v>0</v>
      </c>
      <c r="AD14" s="362">
        <f xml:space="preserve"> 'Inputs_ FS'!AD$13</f>
        <v>0</v>
      </c>
      <c r="AE14" s="362">
        <f xml:space="preserve"> 'Inputs_ FS'!AE$13</f>
        <v>0</v>
      </c>
      <c r="AF14" s="362">
        <f xml:space="preserve"> 'Inputs_ FS'!AF$13</f>
        <v>0</v>
      </c>
      <c r="AG14" s="362">
        <f xml:space="preserve"> 'Inputs_ FS'!AG$13</f>
        <v>0</v>
      </c>
      <c r="AH14" s="362">
        <f xml:space="preserve"> 'Inputs_ FS'!AH$13</f>
        <v>0</v>
      </c>
      <c r="AI14" s="362">
        <f xml:space="preserve"> 'Inputs_ FS'!AI$13</f>
        <v>0</v>
      </c>
      <c r="AJ14" s="362">
        <f xml:space="preserve"> 'Inputs_ FS'!AJ$13</f>
        <v>0</v>
      </c>
      <c r="AK14" s="362">
        <f xml:space="preserve"> 'Inputs_ FS'!AK$13</f>
        <v>0</v>
      </c>
      <c r="AL14" s="362">
        <f xml:space="preserve"> 'Inputs_ FS'!AL$13</f>
        <v>0</v>
      </c>
      <c r="AM14" s="362">
        <f xml:space="preserve"> 'Inputs_ FS'!AM$13</f>
        <v>0</v>
      </c>
      <c r="AN14" s="362">
        <f xml:space="preserve"> 'Inputs_ FS'!AN$13</f>
        <v>0</v>
      </c>
      <c r="AO14" s="362">
        <f xml:space="preserve"> 'Inputs_ FS'!AO$13</f>
        <v>0</v>
      </c>
      <c r="AP14" s="362">
        <f xml:space="preserve"> 'Inputs_ FS'!AP$13</f>
        <v>0</v>
      </c>
      <c r="AQ14" s="362">
        <f xml:space="preserve"> 'Inputs_ FS'!AQ$13</f>
        <v>0</v>
      </c>
      <c r="AR14" s="362">
        <f xml:space="preserve"> 'Inputs_ FS'!AR$13</f>
        <v>0</v>
      </c>
      <c r="AS14" s="362">
        <f xml:space="preserve"> 'Inputs_ FS'!AS$13</f>
        <v>0</v>
      </c>
    </row>
    <row r="15" spans="1:45" ht="15" customHeight="1" x14ac:dyDescent="0.3">
      <c r="D15" s="292"/>
      <c r="E15" s="362" t="str">
        <f xml:space="preserve"> 'Inputs_ FS'!E$14</f>
        <v>Copper oxide concentrates: FS table</v>
      </c>
      <c r="F15" s="362">
        <f xml:space="preserve"> 'Inputs_ FS'!F$14</f>
        <v>0</v>
      </c>
      <c r="G15" s="362" t="str">
        <f xml:space="preserve"> 'Inputs_ FS'!G$14</f>
        <v>tonnes</v>
      </c>
      <c r="H15" s="362" t="str">
        <f xml:space="preserve"> 'Inputs_ FS'!H$14</f>
        <v>M</v>
      </c>
      <c r="I15" s="362">
        <f xml:space="preserve"> 'Inputs_ FS'!I$14</f>
        <v>42057</v>
      </c>
      <c r="J15" s="362">
        <f xml:space="preserve"> 'Inputs_ FS'!J$14</f>
        <v>0</v>
      </c>
      <c r="K15" s="362">
        <f xml:space="preserve"> 'Inputs_ FS'!K$14</f>
        <v>0</v>
      </c>
      <c r="L15" s="362">
        <f xml:space="preserve"> 'Inputs_ FS'!L$14</f>
        <v>0</v>
      </c>
      <c r="M15" s="362">
        <f xml:space="preserve"> 'Inputs_ FS'!M$14</f>
        <v>0</v>
      </c>
      <c r="N15" s="362">
        <f xml:space="preserve"> 'Inputs_ FS'!N$14</f>
        <v>0</v>
      </c>
      <c r="O15" s="362">
        <f xml:space="preserve"> 'Inputs_ FS'!O$14</f>
        <v>0</v>
      </c>
      <c r="P15" s="362">
        <f xml:space="preserve"> 'Inputs_ FS'!P$14</f>
        <v>0</v>
      </c>
      <c r="Q15" s="362">
        <f xml:space="preserve"> 'Inputs_ FS'!Q$14</f>
        <v>0</v>
      </c>
      <c r="R15" s="362">
        <f xml:space="preserve"> 'Inputs_ FS'!R$14</f>
        <v>0</v>
      </c>
      <c r="S15" s="362">
        <f xml:space="preserve"> 'Inputs_ FS'!S$14</f>
        <v>0</v>
      </c>
      <c r="T15" s="362">
        <f xml:space="preserve"> 'Inputs_ FS'!T$14</f>
        <v>0</v>
      </c>
      <c r="U15" s="362">
        <f xml:space="preserve"> 'Inputs_ FS'!U$14</f>
        <v>0</v>
      </c>
      <c r="V15" s="362">
        <f xml:space="preserve"> 'Inputs_ FS'!V$14</f>
        <v>5003</v>
      </c>
      <c r="W15" s="362">
        <f xml:space="preserve"> 'Inputs_ FS'!W$14</f>
        <v>7379</v>
      </c>
      <c r="X15" s="362">
        <f xml:space="preserve"> 'Inputs_ FS'!X$14</f>
        <v>5794</v>
      </c>
      <c r="Y15" s="362">
        <f xml:space="preserve"> 'Inputs_ FS'!Y$14</f>
        <v>1079</v>
      </c>
      <c r="Z15" s="362">
        <f xml:space="preserve"> 'Inputs_ FS'!Z$14</f>
        <v>12902</v>
      </c>
      <c r="AA15" s="362">
        <f xml:space="preserve"> 'Inputs_ FS'!AA$14</f>
        <v>8220</v>
      </c>
      <c r="AB15" s="362">
        <f xml:space="preserve"> 'Inputs_ FS'!AB$14</f>
        <v>1680</v>
      </c>
      <c r="AC15" s="362">
        <f xml:space="preserve"> 'Inputs_ FS'!AC$14</f>
        <v>0</v>
      </c>
      <c r="AD15" s="362">
        <f xml:space="preserve"> 'Inputs_ FS'!AD$14</f>
        <v>0</v>
      </c>
      <c r="AE15" s="362">
        <f xml:space="preserve"> 'Inputs_ FS'!AE$14</f>
        <v>0</v>
      </c>
      <c r="AF15" s="362">
        <f xml:space="preserve"> 'Inputs_ FS'!AF$14</f>
        <v>0</v>
      </c>
      <c r="AG15" s="362">
        <f xml:space="preserve"> 'Inputs_ FS'!AG$14</f>
        <v>0</v>
      </c>
      <c r="AH15" s="362">
        <f xml:space="preserve"> 'Inputs_ FS'!AH$14</f>
        <v>0</v>
      </c>
      <c r="AI15" s="362">
        <f xml:space="preserve"> 'Inputs_ FS'!AI$14</f>
        <v>0</v>
      </c>
      <c r="AJ15" s="362">
        <f xml:space="preserve"> 'Inputs_ FS'!AJ$14</f>
        <v>0</v>
      </c>
      <c r="AK15" s="362">
        <f xml:space="preserve"> 'Inputs_ FS'!AK$14</f>
        <v>0</v>
      </c>
      <c r="AL15" s="362">
        <f xml:space="preserve"> 'Inputs_ FS'!AL$14</f>
        <v>0</v>
      </c>
      <c r="AM15" s="362">
        <f xml:space="preserve"> 'Inputs_ FS'!AM$14</f>
        <v>0</v>
      </c>
      <c r="AN15" s="362">
        <f xml:space="preserve"> 'Inputs_ FS'!AN$14</f>
        <v>0</v>
      </c>
      <c r="AO15" s="362">
        <f xml:space="preserve"> 'Inputs_ FS'!AO$14</f>
        <v>0</v>
      </c>
      <c r="AP15" s="362">
        <f xml:space="preserve"> 'Inputs_ FS'!AP$14</f>
        <v>0</v>
      </c>
      <c r="AQ15" s="362">
        <f xml:space="preserve"> 'Inputs_ FS'!AQ$14</f>
        <v>0</v>
      </c>
      <c r="AR15" s="362">
        <f xml:space="preserve"> 'Inputs_ FS'!AR$14</f>
        <v>0</v>
      </c>
      <c r="AS15" s="362">
        <f xml:space="preserve"> 'Inputs_ FS'!AS$14</f>
        <v>0</v>
      </c>
    </row>
    <row r="16" spans="1:45" ht="15" customHeight="1" x14ac:dyDescent="0.3">
      <c r="E16" s="362"/>
      <c r="F16" s="362"/>
      <c r="G16" s="362"/>
      <c r="H16" s="362"/>
      <c r="I16" s="362"/>
      <c r="J16" s="362"/>
      <c r="K16" s="362"/>
      <c r="L16" s="362"/>
      <c r="M16" s="362"/>
      <c r="N16" s="362"/>
      <c r="O16" s="362"/>
      <c r="P16" s="362"/>
      <c r="Q16" s="362"/>
      <c r="R16" s="362"/>
      <c r="S16" s="362"/>
      <c r="T16" s="362"/>
      <c r="U16" s="362"/>
      <c r="V16" s="362"/>
      <c r="W16" s="362"/>
      <c r="X16" s="362"/>
      <c r="Y16" s="362"/>
      <c r="Z16" s="362"/>
      <c r="AA16" s="362"/>
      <c r="AB16" s="362"/>
      <c r="AC16" s="362"/>
      <c r="AD16" s="362"/>
      <c r="AE16" s="362"/>
      <c r="AF16" s="362"/>
      <c r="AG16" s="362"/>
      <c r="AH16" s="362"/>
      <c r="AI16" s="362"/>
      <c r="AJ16" s="362"/>
      <c r="AK16" s="362"/>
      <c r="AL16" s="362"/>
      <c r="AM16" s="362"/>
      <c r="AN16" s="362"/>
      <c r="AO16" s="362"/>
      <c r="AP16" s="362"/>
      <c r="AQ16" s="362"/>
      <c r="AR16" s="362"/>
      <c r="AS16" s="362"/>
    </row>
    <row r="17" spans="1:45" ht="15" customHeight="1" x14ac:dyDescent="0.3">
      <c r="A17"/>
      <c r="B17"/>
      <c r="D17" s="292"/>
      <c r="E17" s="362" t="str">
        <f xml:space="preserve"> 'Inputs_ FS'!E$16</f>
        <v>Cobalt: FS table</v>
      </c>
      <c r="F17" s="362">
        <f xml:space="preserve"> 'Inputs_ FS'!F$16</f>
        <v>0</v>
      </c>
      <c r="G17" s="362" t="str">
        <f xml:space="preserve"> 'Inputs_ FS'!G$16</f>
        <v>tonnes</v>
      </c>
      <c r="H17" s="362" t="str">
        <f xml:space="preserve"> 'Inputs_ FS'!H$16</f>
        <v>M</v>
      </c>
      <c r="I17" s="362">
        <f xml:space="preserve"> 'Inputs_ FS'!I$16</f>
        <v>10015.26</v>
      </c>
      <c r="J17" s="362">
        <f xml:space="preserve"> 'Inputs_ FS'!J$16</f>
        <v>0</v>
      </c>
      <c r="K17" s="362">
        <f xml:space="preserve"> 'Inputs_ FS'!K$16</f>
        <v>0</v>
      </c>
      <c r="L17" s="362">
        <f xml:space="preserve"> 'Inputs_ FS'!L$16</f>
        <v>0</v>
      </c>
      <c r="M17" s="362">
        <f xml:space="preserve"> 'Inputs_ FS'!M$16</f>
        <v>0</v>
      </c>
      <c r="N17" s="362">
        <f xml:space="preserve"> 'Inputs_ FS'!N$16</f>
        <v>0</v>
      </c>
      <c r="O17" s="362">
        <f xml:space="preserve"> 'Inputs_ FS'!O$16</f>
        <v>0</v>
      </c>
      <c r="P17" s="362">
        <f xml:space="preserve"> 'Inputs_ FS'!P$16</f>
        <v>0</v>
      </c>
      <c r="Q17" s="362">
        <f xml:space="preserve"> 'Inputs_ FS'!Q$16</f>
        <v>0</v>
      </c>
      <c r="R17" s="362">
        <f xml:space="preserve"> 'Inputs_ FS'!R$16</f>
        <v>0</v>
      </c>
      <c r="S17" s="362">
        <f xml:space="preserve"> 'Inputs_ FS'!S$16</f>
        <v>0</v>
      </c>
      <c r="T17" s="362">
        <f xml:space="preserve"> 'Inputs_ FS'!T$16</f>
        <v>0</v>
      </c>
      <c r="U17" s="362">
        <f xml:space="preserve"> 'Inputs_ FS'!U$16</f>
        <v>0</v>
      </c>
      <c r="V17" s="362">
        <f xml:space="preserve"> 'Inputs_ FS'!V$16</f>
        <v>0</v>
      </c>
      <c r="W17" s="362">
        <f xml:space="preserve"> 'Inputs_ FS'!W$16</f>
        <v>0</v>
      </c>
      <c r="X17" s="362">
        <f xml:space="preserve"> 'Inputs_ FS'!X$16</f>
        <v>708.03</v>
      </c>
      <c r="Y17" s="362">
        <f xml:space="preserve"> 'Inputs_ FS'!Y$16</f>
        <v>1423.08</v>
      </c>
      <c r="Z17" s="362">
        <f xml:space="preserve"> 'Inputs_ FS'!Z$16</f>
        <v>1606.93</v>
      </c>
      <c r="AA17" s="362">
        <f xml:space="preserve"> 'Inputs_ FS'!AA$16</f>
        <v>2506.1799999999998</v>
      </c>
      <c r="AB17" s="362">
        <f xml:space="preserve"> 'Inputs_ FS'!AB$16</f>
        <v>1678.94</v>
      </c>
      <c r="AC17" s="362">
        <f xml:space="preserve"> 'Inputs_ FS'!AC$16</f>
        <v>0</v>
      </c>
      <c r="AD17" s="362">
        <f xml:space="preserve"> 'Inputs_ FS'!AD$16</f>
        <v>0</v>
      </c>
      <c r="AE17" s="362">
        <f xml:space="preserve"> 'Inputs_ FS'!AE$16</f>
        <v>0</v>
      </c>
      <c r="AF17" s="362">
        <f xml:space="preserve"> 'Inputs_ FS'!AF$16</f>
        <v>0</v>
      </c>
      <c r="AG17" s="362">
        <f xml:space="preserve"> 'Inputs_ FS'!AG$16</f>
        <v>0</v>
      </c>
      <c r="AH17" s="362">
        <f xml:space="preserve"> 'Inputs_ FS'!AH$16</f>
        <v>0</v>
      </c>
      <c r="AI17" s="362">
        <f xml:space="preserve"> 'Inputs_ FS'!AI$16</f>
        <v>0</v>
      </c>
      <c r="AJ17" s="362">
        <f xml:space="preserve"> 'Inputs_ FS'!AJ$16</f>
        <v>1479.91</v>
      </c>
      <c r="AK17" s="362">
        <f xml:space="preserve"> 'Inputs_ FS'!AK$16</f>
        <v>612.19000000000005</v>
      </c>
      <c r="AL17" s="362">
        <f xml:space="preserve"> 'Inputs_ FS'!AL$16</f>
        <v>0</v>
      </c>
      <c r="AM17" s="362">
        <f xml:space="preserve"> 'Inputs_ FS'!AM$16</f>
        <v>0</v>
      </c>
      <c r="AN17" s="362">
        <f xml:space="preserve"> 'Inputs_ FS'!AN$16</f>
        <v>0</v>
      </c>
      <c r="AO17" s="362">
        <f xml:space="preserve"> 'Inputs_ FS'!AO$16</f>
        <v>0</v>
      </c>
      <c r="AP17" s="362">
        <f xml:space="preserve"> 'Inputs_ FS'!AP$16</f>
        <v>0</v>
      </c>
      <c r="AQ17" s="362">
        <f xml:space="preserve"> 'Inputs_ FS'!AQ$16</f>
        <v>0</v>
      </c>
      <c r="AR17" s="362">
        <f xml:space="preserve"> 'Inputs_ FS'!AR$16</f>
        <v>0</v>
      </c>
      <c r="AS17" s="362">
        <f xml:space="preserve"> 'Inputs_ FS'!AS$16</f>
        <v>0</v>
      </c>
    </row>
    <row r="18" spans="1:45" ht="15" customHeight="1" x14ac:dyDescent="0.3">
      <c r="A18"/>
      <c r="B18"/>
      <c r="D18" s="292"/>
      <c r="E18" s="293"/>
      <c r="F18" s="294"/>
      <c r="G18" s="293"/>
      <c r="H18" s="293"/>
      <c r="I18" s="293"/>
      <c r="J18" s="42"/>
      <c r="S18" s="299"/>
      <c r="T18" s="299"/>
      <c r="U18" s="300"/>
      <c r="V18" s="300"/>
      <c r="W18" s="300"/>
      <c r="X18" s="300"/>
      <c r="Y18" s="300"/>
      <c r="Z18" s="300"/>
      <c r="AA18" s="300"/>
      <c r="AB18" s="300"/>
      <c r="AC18" s="300"/>
      <c r="AD18" s="300"/>
      <c r="AE18" s="300"/>
      <c r="AF18" s="300"/>
      <c r="AG18" s="300"/>
      <c r="AH18" s="300"/>
      <c r="AI18" s="300"/>
      <c r="AJ18" s="300"/>
      <c r="AK18" s="300"/>
      <c r="AO18"/>
      <c r="AP18"/>
      <c r="AQ18"/>
      <c r="AR18"/>
      <c r="AS18"/>
    </row>
    <row r="19" spans="1:45" ht="15" customHeight="1" x14ac:dyDescent="0.3">
      <c r="A19"/>
      <c r="B19"/>
      <c r="D19" s="292"/>
      <c r="E19" s="293" t="s">
        <v>396</v>
      </c>
      <c r="F19" s="294">
        <f>I11</f>
        <v>443825</v>
      </c>
      <c r="G19" s="293" t="s">
        <v>38</v>
      </c>
      <c r="H19" s="293"/>
      <c r="I19" s="293"/>
      <c r="J19" s="42"/>
      <c r="S19" s="299"/>
      <c r="T19" s="299"/>
      <c r="U19" s="300"/>
      <c r="V19" s="300"/>
      <c r="W19" s="300"/>
      <c r="X19" s="300"/>
      <c r="Y19" s="300"/>
      <c r="Z19" s="300"/>
      <c r="AA19" s="300"/>
      <c r="AB19" s="300"/>
      <c r="AC19" s="300"/>
      <c r="AD19" s="300"/>
      <c r="AE19" s="300"/>
      <c r="AF19" s="300"/>
      <c r="AG19" s="300"/>
      <c r="AH19" s="300"/>
      <c r="AI19" s="300"/>
      <c r="AJ19" s="300"/>
      <c r="AK19" s="300"/>
      <c r="AO19"/>
      <c r="AP19"/>
      <c r="AQ19"/>
      <c r="AR19"/>
      <c r="AS19"/>
    </row>
    <row r="20" spans="1:45" ht="15" customHeight="1" x14ac:dyDescent="0.3">
      <c r="A20"/>
      <c r="B20"/>
      <c r="D20" s="292"/>
      <c r="E20" s="293" t="s">
        <v>397</v>
      </c>
      <c r="F20" s="294">
        <f t="shared" ref="F20:F25" si="0">I12</f>
        <v>223496</v>
      </c>
      <c r="G20" s="293" t="s">
        <v>38</v>
      </c>
      <c r="H20" s="293"/>
      <c r="I20" s="293"/>
      <c r="J20" s="42"/>
      <c r="S20" s="299"/>
      <c r="T20" s="299"/>
      <c r="U20" s="300"/>
      <c r="V20" s="300"/>
      <c r="W20" s="300"/>
      <c r="X20" s="300"/>
      <c r="Y20" s="300"/>
      <c r="Z20" s="300"/>
      <c r="AA20" s="300"/>
      <c r="AB20" s="300"/>
      <c r="AC20" s="300"/>
      <c r="AD20" s="300"/>
      <c r="AE20" s="300"/>
      <c r="AF20" s="300"/>
      <c r="AG20" s="300"/>
      <c r="AH20" s="300"/>
      <c r="AI20" s="300"/>
      <c r="AJ20" s="300"/>
      <c r="AK20" s="300"/>
      <c r="AO20"/>
      <c r="AP20"/>
      <c r="AQ20"/>
      <c r="AR20"/>
      <c r="AS20"/>
    </row>
    <row r="21" spans="1:45" ht="15" customHeight="1" x14ac:dyDescent="0.3">
      <c r="A21"/>
      <c r="B21"/>
      <c r="D21" s="292"/>
      <c r="E21" s="293" t="s">
        <v>398</v>
      </c>
      <c r="F21" s="294">
        <f t="shared" si="0"/>
        <v>25209</v>
      </c>
      <c r="G21" s="293" t="s">
        <v>38</v>
      </c>
      <c r="H21" s="293"/>
      <c r="I21" s="293"/>
      <c r="J21" s="42"/>
      <c r="S21" s="299"/>
      <c r="T21" s="299"/>
      <c r="U21" s="300"/>
      <c r="V21" s="300"/>
      <c r="W21" s="300"/>
      <c r="X21" s="300"/>
      <c r="Y21" s="300"/>
      <c r="Z21" s="300"/>
      <c r="AA21" s="300"/>
      <c r="AB21" s="300"/>
      <c r="AC21" s="300"/>
      <c r="AD21" s="300"/>
      <c r="AE21" s="300"/>
      <c r="AF21" s="300"/>
      <c r="AG21" s="300"/>
      <c r="AH21" s="300"/>
      <c r="AI21" s="300"/>
      <c r="AJ21" s="300"/>
      <c r="AK21" s="300"/>
      <c r="AO21"/>
      <c r="AP21"/>
      <c r="AQ21"/>
      <c r="AR21"/>
      <c r="AS21"/>
    </row>
    <row r="22" spans="1:45" ht="15" customHeight="1" x14ac:dyDescent="0.3">
      <c r="A22"/>
      <c r="B22"/>
      <c r="D22" s="292"/>
      <c r="E22" s="293" t="s">
        <v>399</v>
      </c>
      <c r="F22" s="294">
        <f t="shared" si="0"/>
        <v>372689</v>
      </c>
      <c r="G22" s="293" t="s">
        <v>38</v>
      </c>
      <c r="H22" s="293"/>
      <c r="I22" s="293"/>
      <c r="J22" s="42"/>
      <c r="S22" s="299"/>
      <c r="T22" s="299"/>
      <c r="U22" s="300"/>
      <c r="V22" s="300"/>
      <c r="W22" s="300"/>
      <c r="X22" s="300"/>
      <c r="Y22" s="300"/>
      <c r="Z22" s="300"/>
      <c r="AA22" s="300"/>
      <c r="AB22" s="300"/>
      <c r="AC22" s="300"/>
      <c r="AD22" s="300"/>
      <c r="AE22" s="300"/>
      <c r="AF22" s="300"/>
      <c r="AG22" s="300"/>
      <c r="AH22" s="300"/>
      <c r="AI22" s="300"/>
      <c r="AJ22" s="300"/>
      <c r="AK22" s="300"/>
      <c r="AO22"/>
      <c r="AP22"/>
      <c r="AQ22"/>
      <c r="AR22"/>
      <c r="AS22"/>
    </row>
    <row r="23" spans="1:45" ht="15" customHeight="1" x14ac:dyDescent="0.3">
      <c r="A23"/>
      <c r="B23"/>
      <c r="D23" s="292"/>
      <c r="E23" s="293" t="s">
        <v>400</v>
      </c>
      <c r="F23" s="294">
        <f t="shared" si="0"/>
        <v>42057</v>
      </c>
      <c r="G23" s="293" t="s">
        <v>38</v>
      </c>
      <c r="H23" s="293"/>
      <c r="I23" s="293"/>
      <c r="J23" s="42"/>
      <c r="S23" s="299"/>
      <c r="T23" s="299"/>
      <c r="U23" s="300"/>
      <c r="V23" s="300"/>
      <c r="W23" s="300"/>
      <c r="X23" s="300"/>
      <c r="Y23" s="300"/>
      <c r="Z23" s="300"/>
      <c r="AA23" s="300"/>
      <c r="AB23" s="300"/>
      <c r="AC23" s="300"/>
      <c r="AD23" s="300"/>
      <c r="AE23" s="300"/>
      <c r="AF23" s="300"/>
      <c r="AG23" s="300"/>
      <c r="AH23" s="300"/>
      <c r="AI23" s="300"/>
      <c r="AJ23" s="300"/>
      <c r="AK23" s="300"/>
      <c r="AO23"/>
      <c r="AP23"/>
      <c r="AQ23"/>
      <c r="AR23"/>
      <c r="AS23"/>
    </row>
    <row r="24" spans="1:45" ht="15" customHeight="1" x14ac:dyDescent="0.3">
      <c r="A24"/>
      <c r="B24"/>
      <c r="D24" s="292"/>
      <c r="E24" s="293"/>
      <c r="F24" s="294"/>
      <c r="G24" s="293"/>
      <c r="H24" s="293"/>
      <c r="I24" s="293"/>
      <c r="J24" s="42"/>
      <c r="S24" s="299"/>
      <c r="T24" s="299"/>
      <c r="U24" s="300"/>
      <c r="V24" s="300"/>
      <c r="W24" s="300"/>
      <c r="X24" s="300"/>
      <c r="Y24" s="300"/>
      <c r="Z24" s="300"/>
      <c r="AA24" s="300"/>
      <c r="AB24" s="300"/>
      <c r="AC24" s="300"/>
      <c r="AD24" s="300"/>
      <c r="AE24" s="300"/>
      <c r="AF24" s="300"/>
      <c r="AG24" s="300"/>
      <c r="AH24" s="300"/>
      <c r="AI24" s="300"/>
      <c r="AJ24" s="300"/>
      <c r="AK24" s="300"/>
      <c r="AO24"/>
      <c r="AP24"/>
      <c r="AQ24"/>
      <c r="AR24"/>
      <c r="AS24"/>
    </row>
    <row r="25" spans="1:45" ht="15" customHeight="1" x14ac:dyDescent="0.3">
      <c r="A25"/>
      <c r="B25"/>
      <c r="D25" s="292"/>
      <c r="E25" s="293" t="s">
        <v>401</v>
      </c>
      <c r="F25" s="294">
        <f t="shared" si="0"/>
        <v>10015.26</v>
      </c>
      <c r="G25" s="293" t="s">
        <v>38</v>
      </c>
      <c r="H25" s="293"/>
      <c r="I25" s="293"/>
      <c r="J25" s="42"/>
      <c r="S25" s="299"/>
      <c r="T25" s="299"/>
      <c r="U25" s="300"/>
      <c r="V25" s="300"/>
      <c r="W25" s="300"/>
      <c r="X25" s="300"/>
      <c r="Y25" s="300"/>
      <c r="Z25" s="300"/>
      <c r="AA25" s="300"/>
      <c r="AB25" s="300"/>
      <c r="AC25" s="300"/>
      <c r="AD25" s="300"/>
      <c r="AE25" s="300"/>
      <c r="AF25" s="300"/>
      <c r="AG25" s="300"/>
      <c r="AH25" s="300"/>
      <c r="AI25" s="300"/>
      <c r="AJ25" s="300"/>
      <c r="AK25" s="300"/>
      <c r="AO25"/>
      <c r="AP25"/>
      <c r="AQ25"/>
      <c r="AR25"/>
      <c r="AS25"/>
    </row>
    <row r="26" spans="1:45" ht="15" customHeight="1" x14ac:dyDescent="0.3">
      <c r="A26"/>
      <c r="B26"/>
      <c r="D26" s="292"/>
      <c r="E26" s="293"/>
      <c r="F26" s="294"/>
      <c r="G26" s="293"/>
      <c r="H26" s="293"/>
      <c r="I26" s="293"/>
      <c r="J26" s="42"/>
      <c r="S26" s="299"/>
      <c r="T26" s="299"/>
      <c r="U26" s="300"/>
      <c r="V26" s="300"/>
      <c r="W26" s="300"/>
      <c r="X26" s="300"/>
      <c r="Y26" s="300"/>
      <c r="Z26" s="300"/>
      <c r="AA26" s="300"/>
      <c r="AB26" s="300"/>
      <c r="AC26" s="300"/>
      <c r="AD26" s="300"/>
      <c r="AE26" s="300"/>
      <c r="AF26" s="300"/>
      <c r="AG26" s="300"/>
      <c r="AH26" s="300"/>
      <c r="AI26" s="300"/>
      <c r="AJ26" s="300"/>
      <c r="AK26" s="300"/>
      <c r="AO26"/>
      <c r="AP26"/>
      <c r="AQ26"/>
      <c r="AR26"/>
      <c r="AS26"/>
    </row>
    <row r="27" spans="1:45" ht="15" customHeight="1" x14ac:dyDescent="0.3">
      <c r="A27" s="282"/>
      <c r="B27" s="282"/>
      <c r="C27" s="289" t="s">
        <v>402</v>
      </c>
      <c r="I27" s="291"/>
      <c r="J27" s="42"/>
      <c r="K27" s="282"/>
      <c r="L27" s="282"/>
      <c r="M27" s="282"/>
      <c r="N27" s="282"/>
      <c r="O27" s="282"/>
      <c r="P27" s="282"/>
      <c r="Q27" s="282"/>
      <c r="R27" s="282"/>
      <c r="AL27" s="282"/>
      <c r="AM27" s="282"/>
      <c r="AN27" s="282"/>
      <c r="AO27" s="282"/>
      <c r="AP27" s="282"/>
      <c r="AQ27" s="282"/>
      <c r="AR27" s="282"/>
      <c r="AS27" s="282"/>
    </row>
    <row r="28" spans="1:45" ht="15" customHeight="1" x14ac:dyDescent="0.3">
      <c r="A28" s="282"/>
      <c r="B28" s="282"/>
      <c r="E28" s="362" t="str">
        <f xml:space="preserve"> 'Inputs_ FS'!E$18</f>
        <v>Copper cathode: FS totals</v>
      </c>
      <c r="F28" s="362">
        <f xml:space="preserve"> 'Inputs_ FS'!F$18</f>
        <v>939749</v>
      </c>
      <c r="G28" s="362" t="str">
        <f xml:space="preserve"> 'Inputs_ FS'!G$18</f>
        <v>tonnes</v>
      </c>
      <c r="H28" s="362" t="str">
        <f xml:space="preserve"> 'Inputs_ FS'!H$18</f>
        <v>M</v>
      </c>
      <c r="I28" s="362"/>
      <c r="J28" s="42"/>
      <c r="K28" s="282"/>
      <c r="L28" s="282"/>
      <c r="M28" s="282"/>
      <c r="N28" s="282"/>
      <c r="O28" s="282"/>
      <c r="P28" s="282"/>
      <c r="Q28" s="282"/>
      <c r="R28" s="282"/>
      <c r="AL28" s="282"/>
      <c r="AM28" s="282"/>
      <c r="AN28" s="282"/>
      <c r="AO28" s="282"/>
      <c r="AP28" s="282"/>
      <c r="AQ28" s="282"/>
      <c r="AR28" s="282"/>
      <c r="AS28" s="282"/>
    </row>
    <row r="29" spans="1:45" ht="15" customHeight="1" x14ac:dyDescent="0.3">
      <c r="A29" s="282"/>
      <c r="B29" s="282"/>
      <c r="E29" s="362" t="str">
        <f xml:space="preserve"> 'Inputs_ FS'!E$19</f>
        <v>Blister copper: FS totals</v>
      </c>
      <c r="F29" s="362">
        <f xml:space="preserve"> 'Inputs_ FS'!F$19</f>
        <v>364525</v>
      </c>
      <c r="G29" s="362" t="str">
        <f xml:space="preserve"> 'Inputs_ FS'!G$19</f>
        <v>tonnes</v>
      </c>
      <c r="H29" s="362" t="str">
        <f xml:space="preserve"> 'Inputs_ FS'!H$19</f>
        <v>M</v>
      </c>
      <c r="I29" s="362"/>
      <c r="J29" s="42"/>
      <c r="K29" s="282"/>
      <c r="L29" s="282"/>
      <c r="M29" s="282"/>
      <c r="N29" s="282"/>
      <c r="O29" s="282"/>
      <c r="P29" s="282"/>
      <c r="Q29" s="282"/>
      <c r="R29" s="282"/>
      <c r="AL29" s="282"/>
      <c r="AM29" s="282"/>
      <c r="AN29" s="282"/>
      <c r="AO29" s="282"/>
      <c r="AP29" s="282"/>
      <c r="AQ29" s="282"/>
      <c r="AR29" s="282"/>
      <c r="AS29" s="282"/>
    </row>
    <row r="30" spans="1:45" ht="15" customHeight="1" x14ac:dyDescent="0.3">
      <c r="A30" s="282"/>
      <c r="B30" s="282"/>
      <c r="E30" s="362" t="str">
        <f xml:space="preserve"> 'Inputs_ FS'!E$20</f>
        <v>Copper matt: FS totals</v>
      </c>
      <c r="F30" s="362">
        <f xml:space="preserve"> 'Inputs_ FS'!F$20</f>
        <v>40880</v>
      </c>
      <c r="G30" s="362" t="str">
        <f xml:space="preserve"> 'Inputs_ FS'!G$20</f>
        <v>tonnes</v>
      </c>
      <c r="H30" s="362" t="str">
        <f xml:space="preserve"> 'Inputs_ FS'!H$20</f>
        <v>M</v>
      </c>
      <c r="I30" s="362"/>
      <c r="J30" s="42"/>
      <c r="K30" s="282"/>
      <c r="L30" s="282"/>
      <c r="M30" s="282"/>
      <c r="N30" s="282"/>
      <c r="O30" s="282"/>
      <c r="P30" s="282"/>
      <c r="Q30" s="282"/>
      <c r="R30" s="282"/>
      <c r="AL30" s="282"/>
      <c r="AM30" s="282"/>
      <c r="AN30" s="282"/>
      <c r="AO30" s="282"/>
      <c r="AP30" s="282"/>
      <c r="AQ30" s="282"/>
      <c r="AR30" s="282"/>
      <c r="AS30" s="282"/>
    </row>
    <row r="31" spans="1:45" ht="15" customHeight="1" x14ac:dyDescent="0.3">
      <c r="A31" s="282"/>
      <c r="B31" s="282"/>
      <c r="E31" s="362" t="str">
        <f xml:space="preserve"> 'Inputs_ FS'!E$21</f>
        <v>Copper sulfide concentrates: FS totals</v>
      </c>
      <c r="F31" s="362">
        <f xml:space="preserve"> 'Inputs_ FS'!F$21</f>
        <v>372689</v>
      </c>
      <c r="G31" s="362" t="str">
        <f xml:space="preserve"> 'Inputs_ FS'!G$21</f>
        <v>tonnes</v>
      </c>
      <c r="H31" s="362" t="str">
        <f xml:space="preserve"> 'Inputs_ FS'!H$21</f>
        <v>M</v>
      </c>
      <c r="I31" s="362"/>
      <c r="J31" s="42"/>
      <c r="K31" s="282"/>
      <c r="L31" s="282"/>
      <c r="M31" s="282"/>
      <c r="N31" s="282"/>
      <c r="O31" s="282"/>
      <c r="P31" s="282"/>
      <c r="Q31" s="282"/>
      <c r="R31" s="282"/>
      <c r="AL31" s="282"/>
      <c r="AM31" s="282"/>
      <c r="AN31" s="282"/>
      <c r="AO31" s="282"/>
      <c r="AP31" s="282"/>
      <c r="AQ31" s="282"/>
      <c r="AR31" s="282"/>
      <c r="AS31" s="282"/>
    </row>
    <row r="32" spans="1:45" ht="15" customHeight="1" x14ac:dyDescent="0.3">
      <c r="A32" s="282"/>
      <c r="B32" s="282"/>
      <c r="E32" s="362" t="str">
        <f xml:space="preserve"> 'Inputs_ FS'!E$22</f>
        <v>Copper oxide concentrates: FS totals</v>
      </c>
      <c r="F32" s="362">
        <f xml:space="preserve"> 'Inputs_ FS'!F$22</f>
        <v>50936</v>
      </c>
      <c r="G32" s="362" t="str">
        <f xml:space="preserve"> 'Inputs_ FS'!G$22</f>
        <v>tonnes</v>
      </c>
      <c r="H32" s="362" t="str">
        <f xml:space="preserve"> 'Inputs_ FS'!H$22</f>
        <v>M</v>
      </c>
      <c r="I32" s="362"/>
      <c r="J32" s="42"/>
      <c r="K32" s="282"/>
      <c r="L32" s="282"/>
      <c r="M32" s="282"/>
      <c r="N32" s="282"/>
      <c r="O32" s="282"/>
      <c r="P32" s="282"/>
      <c r="Q32" s="282"/>
      <c r="R32" s="282"/>
      <c r="AL32" s="282"/>
      <c r="AM32" s="282"/>
      <c r="AN32" s="282"/>
      <c r="AO32" s="282"/>
      <c r="AP32" s="282"/>
      <c r="AQ32" s="282"/>
      <c r="AR32" s="282"/>
      <c r="AS32" s="282"/>
    </row>
    <row r="33" spans="1:45" ht="15" customHeight="1" x14ac:dyDescent="0.3">
      <c r="E33" s="362"/>
      <c r="F33" s="362"/>
      <c r="G33" s="362"/>
      <c r="H33" s="362"/>
      <c r="I33" s="362"/>
      <c r="J33" s="42"/>
      <c r="K33" s="298"/>
      <c r="L33" s="298"/>
      <c r="M33" s="298"/>
      <c r="N33" s="298"/>
      <c r="O33" s="298"/>
      <c r="P33" s="298"/>
      <c r="Q33" s="298"/>
      <c r="R33" s="298"/>
      <c r="AL33" s="290"/>
      <c r="AM33" s="290"/>
      <c r="AN33" s="290"/>
      <c r="AO33" s="290"/>
      <c r="AP33" s="290"/>
      <c r="AQ33" s="290"/>
      <c r="AR33" s="290"/>
      <c r="AS33" s="290"/>
    </row>
    <row r="34" spans="1:45" ht="15" customHeight="1" x14ac:dyDescent="0.3">
      <c r="A34" s="282"/>
      <c r="B34" s="282"/>
      <c r="E34" s="362" t="str">
        <f xml:space="preserve"> 'Inputs_ FS'!E$24</f>
        <v>Cobalt: FS totals</v>
      </c>
      <c r="F34" s="362">
        <f xml:space="preserve"> 'Inputs_ FS'!F$24</f>
        <v>22151</v>
      </c>
      <c r="G34" s="362" t="str">
        <f xml:space="preserve"> 'Inputs_ FS'!G$24</f>
        <v>tonnes</v>
      </c>
      <c r="H34" s="362" t="str">
        <f xml:space="preserve"> 'Inputs_ FS'!H$24</f>
        <v>M</v>
      </c>
      <c r="I34" s="362"/>
      <c r="J34" s="42"/>
      <c r="AL34" s="290"/>
      <c r="AM34" s="290"/>
      <c r="AN34" s="290"/>
      <c r="AO34" s="290"/>
      <c r="AP34" s="290"/>
      <c r="AQ34" s="290"/>
      <c r="AR34" s="290"/>
      <c r="AS34" s="290"/>
    </row>
    <row r="35" spans="1:45" ht="15" customHeight="1" x14ac:dyDescent="0.3">
      <c r="A35" s="282"/>
      <c r="B35" s="282"/>
      <c r="I35" s="291"/>
      <c r="J35" s="42"/>
      <c r="AL35" s="290"/>
      <c r="AM35" s="290"/>
      <c r="AN35" s="290"/>
      <c r="AO35" s="290"/>
      <c r="AP35" s="290"/>
      <c r="AQ35" s="290"/>
      <c r="AR35" s="290"/>
      <c r="AS35" s="290"/>
    </row>
    <row r="36" spans="1:45" ht="15" customHeight="1" x14ac:dyDescent="0.3">
      <c r="A36" s="282"/>
      <c r="B36" s="282"/>
      <c r="C36" s="289" t="s">
        <v>403</v>
      </c>
      <c r="I36" s="291"/>
      <c r="J36" s="42"/>
      <c r="AL36" s="290"/>
      <c r="AM36" s="290"/>
      <c r="AN36" s="290"/>
      <c r="AO36" s="290"/>
      <c r="AP36" s="290"/>
      <c r="AQ36" s="290"/>
      <c r="AR36" s="290"/>
      <c r="AS36" s="290"/>
    </row>
    <row r="37" spans="1:45" ht="15" customHeight="1" x14ac:dyDescent="0.3">
      <c r="A37" s="282"/>
      <c r="B37" s="282"/>
      <c r="E37" s="290" t="s">
        <v>404</v>
      </c>
      <c r="G37" s="290" t="s">
        <v>160</v>
      </c>
      <c r="I37" s="291"/>
      <c r="J37" s="42"/>
      <c r="K37" s="299">
        <f>IF(AND(K2 &gt; 2023, K2 &lt; 2030), 1, 0)</f>
        <v>0</v>
      </c>
      <c r="L37" s="299">
        <f t="shared" ref="L37:AS37" si="1">IF(AND(L2 &gt; 2023, L2 &lt; 2030), 1, 0)</f>
        <v>0</v>
      </c>
      <c r="M37" s="299">
        <f t="shared" si="1"/>
        <v>0</v>
      </c>
      <c r="N37" s="299">
        <f t="shared" si="1"/>
        <v>0</v>
      </c>
      <c r="O37" s="299">
        <f t="shared" si="1"/>
        <v>0</v>
      </c>
      <c r="P37" s="299">
        <f t="shared" si="1"/>
        <v>0</v>
      </c>
      <c r="Q37" s="299">
        <f t="shared" si="1"/>
        <v>0</v>
      </c>
      <c r="R37" s="299">
        <f t="shared" si="1"/>
        <v>0</v>
      </c>
      <c r="S37" s="299">
        <f t="shared" si="1"/>
        <v>0</v>
      </c>
      <c r="T37" s="299">
        <f t="shared" si="1"/>
        <v>0</v>
      </c>
      <c r="U37" s="299">
        <f t="shared" si="1"/>
        <v>0</v>
      </c>
      <c r="V37" s="299">
        <f t="shared" si="1"/>
        <v>0</v>
      </c>
      <c r="W37" s="299">
        <f t="shared" si="1"/>
        <v>0</v>
      </c>
      <c r="X37" s="299">
        <f t="shared" si="1"/>
        <v>0</v>
      </c>
      <c r="Y37" s="299">
        <f t="shared" si="1"/>
        <v>0</v>
      </c>
      <c r="Z37" s="299">
        <f t="shared" si="1"/>
        <v>0</v>
      </c>
      <c r="AA37" s="299">
        <f t="shared" si="1"/>
        <v>0</v>
      </c>
      <c r="AB37" s="299">
        <f t="shared" si="1"/>
        <v>0</v>
      </c>
      <c r="AC37" s="299">
        <f t="shared" si="1"/>
        <v>1</v>
      </c>
      <c r="AD37" s="299">
        <f t="shared" si="1"/>
        <v>1</v>
      </c>
      <c r="AE37" s="299">
        <f t="shared" si="1"/>
        <v>1</v>
      </c>
      <c r="AF37" s="299">
        <f t="shared" si="1"/>
        <v>1</v>
      </c>
      <c r="AG37" s="299">
        <f t="shared" si="1"/>
        <v>1</v>
      </c>
      <c r="AH37" s="299">
        <f t="shared" si="1"/>
        <v>1</v>
      </c>
      <c r="AI37" s="299">
        <f t="shared" si="1"/>
        <v>0</v>
      </c>
      <c r="AJ37" s="299">
        <f t="shared" si="1"/>
        <v>0</v>
      </c>
      <c r="AK37" s="299">
        <f t="shared" si="1"/>
        <v>0</v>
      </c>
      <c r="AL37" s="299">
        <f t="shared" si="1"/>
        <v>0</v>
      </c>
      <c r="AM37" s="299">
        <f t="shared" si="1"/>
        <v>0</v>
      </c>
      <c r="AN37" s="299">
        <f t="shared" si="1"/>
        <v>0</v>
      </c>
      <c r="AO37" s="299">
        <f t="shared" si="1"/>
        <v>0</v>
      </c>
      <c r="AP37" s="299">
        <f t="shared" si="1"/>
        <v>0</v>
      </c>
      <c r="AQ37" s="299">
        <f t="shared" si="1"/>
        <v>0</v>
      </c>
      <c r="AR37" s="299">
        <f t="shared" si="1"/>
        <v>0</v>
      </c>
      <c r="AS37" s="299">
        <f t="shared" si="1"/>
        <v>0</v>
      </c>
    </row>
    <row r="38" spans="1:45" ht="15" customHeight="1" x14ac:dyDescent="0.3">
      <c r="A38" s="282"/>
      <c r="B38" s="282"/>
      <c r="I38" s="291"/>
      <c r="J38" s="42"/>
      <c r="AL38" s="290"/>
      <c r="AM38" s="290"/>
      <c r="AN38" s="290"/>
      <c r="AO38" s="290"/>
      <c r="AP38" s="290"/>
      <c r="AQ38" s="290"/>
      <c r="AR38" s="290"/>
      <c r="AS38" s="290"/>
    </row>
    <row r="39" spans="1:45" ht="15" customHeight="1" x14ac:dyDescent="0.3">
      <c r="A39" s="282"/>
      <c r="B39" s="282"/>
      <c r="E39" s="293" t="s">
        <v>405</v>
      </c>
      <c r="G39" s="293" t="s">
        <v>38</v>
      </c>
      <c r="I39" s="291"/>
      <c r="J39" s="42"/>
      <c r="K39" s="299">
        <f xml:space="preserve"> K$37 * (($F28 - $F19) / SUM($K$37:$AS$37))</f>
        <v>0</v>
      </c>
      <c r="L39" s="299">
        <f t="shared" ref="L39:AS43" si="2" xml:space="preserve"> L$37 * (($F28 - $F19) / SUM($K$37:$AS$37))</f>
        <v>0</v>
      </c>
      <c r="M39" s="299">
        <f t="shared" si="2"/>
        <v>0</v>
      </c>
      <c r="N39" s="299">
        <f t="shared" si="2"/>
        <v>0</v>
      </c>
      <c r="O39" s="299">
        <f t="shared" si="2"/>
        <v>0</v>
      </c>
      <c r="P39" s="299">
        <f t="shared" si="2"/>
        <v>0</v>
      </c>
      <c r="Q39" s="299">
        <f t="shared" si="2"/>
        <v>0</v>
      </c>
      <c r="R39" s="299">
        <f t="shared" si="2"/>
        <v>0</v>
      </c>
      <c r="S39" s="299">
        <f t="shared" si="2"/>
        <v>0</v>
      </c>
      <c r="T39" s="299">
        <f t="shared" si="2"/>
        <v>0</v>
      </c>
      <c r="U39" s="299">
        <f t="shared" si="2"/>
        <v>0</v>
      </c>
      <c r="V39" s="299">
        <f t="shared" si="2"/>
        <v>0</v>
      </c>
      <c r="W39" s="299">
        <f t="shared" si="2"/>
        <v>0</v>
      </c>
      <c r="X39" s="299">
        <f t="shared" si="2"/>
        <v>0</v>
      </c>
      <c r="Y39" s="299">
        <f t="shared" si="2"/>
        <v>0</v>
      </c>
      <c r="Z39" s="299">
        <f t="shared" si="2"/>
        <v>0</v>
      </c>
      <c r="AA39" s="299">
        <f t="shared" si="2"/>
        <v>0</v>
      </c>
      <c r="AB39" s="299">
        <f t="shared" si="2"/>
        <v>0</v>
      </c>
      <c r="AC39" s="299">
        <f t="shared" si="2"/>
        <v>82654</v>
      </c>
      <c r="AD39" s="299">
        <f t="shared" si="2"/>
        <v>82654</v>
      </c>
      <c r="AE39" s="299">
        <f t="shared" si="2"/>
        <v>82654</v>
      </c>
      <c r="AF39" s="299">
        <f t="shared" si="2"/>
        <v>82654</v>
      </c>
      <c r="AG39" s="299">
        <f t="shared" si="2"/>
        <v>82654</v>
      </c>
      <c r="AH39" s="299">
        <f t="shared" si="2"/>
        <v>82654</v>
      </c>
      <c r="AI39" s="299">
        <f t="shared" si="2"/>
        <v>0</v>
      </c>
      <c r="AJ39" s="299">
        <f t="shared" si="2"/>
        <v>0</v>
      </c>
      <c r="AK39" s="299">
        <f t="shared" si="2"/>
        <v>0</v>
      </c>
      <c r="AL39" s="299">
        <f t="shared" si="2"/>
        <v>0</v>
      </c>
      <c r="AM39" s="299">
        <f t="shared" si="2"/>
        <v>0</v>
      </c>
      <c r="AN39" s="299">
        <f t="shared" si="2"/>
        <v>0</v>
      </c>
      <c r="AO39" s="299">
        <f t="shared" si="2"/>
        <v>0</v>
      </c>
      <c r="AP39" s="299">
        <f t="shared" si="2"/>
        <v>0</v>
      </c>
      <c r="AQ39" s="299">
        <f t="shared" si="2"/>
        <v>0</v>
      </c>
      <c r="AR39" s="299">
        <f t="shared" si="2"/>
        <v>0</v>
      </c>
      <c r="AS39" s="299">
        <f t="shared" si="2"/>
        <v>0</v>
      </c>
    </row>
    <row r="40" spans="1:45" ht="15" customHeight="1" x14ac:dyDescent="0.3">
      <c r="A40" s="282"/>
      <c r="B40" s="282"/>
      <c r="E40" s="293" t="s">
        <v>406</v>
      </c>
      <c r="G40" s="293" t="s">
        <v>38</v>
      </c>
      <c r="I40" s="291"/>
      <c r="J40" s="42"/>
      <c r="K40" s="299">
        <f t="shared" ref="K40:Z43" si="3" xml:space="preserve"> K$37 * (($F29 - $F20) / SUM($K$37:$AS$37))</f>
        <v>0</v>
      </c>
      <c r="L40" s="299">
        <f t="shared" si="3"/>
        <v>0</v>
      </c>
      <c r="M40" s="299">
        <f t="shared" si="3"/>
        <v>0</v>
      </c>
      <c r="N40" s="299">
        <f t="shared" si="3"/>
        <v>0</v>
      </c>
      <c r="O40" s="299">
        <f t="shared" si="3"/>
        <v>0</v>
      </c>
      <c r="P40" s="299">
        <f t="shared" si="3"/>
        <v>0</v>
      </c>
      <c r="Q40" s="299">
        <f t="shared" si="3"/>
        <v>0</v>
      </c>
      <c r="R40" s="299">
        <f t="shared" si="3"/>
        <v>0</v>
      </c>
      <c r="S40" s="299">
        <f t="shared" si="3"/>
        <v>0</v>
      </c>
      <c r="T40" s="299">
        <f t="shared" si="3"/>
        <v>0</v>
      </c>
      <c r="U40" s="299">
        <f t="shared" si="3"/>
        <v>0</v>
      </c>
      <c r="V40" s="299">
        <f t="shared" si="3"/>
        <v>0</v>
      </c>
      <c r="W40" s="299">
        <f t="shared" si="3"/>
        <v>0</v>
      </c>
      <c r="X40" s="299">
        <f t="shared" si="3"/>
        <v>0</v>
      </c>
      <c r="Y40" s="299">
        <f t="shared" si="3"/>
        <v>0</v>
      </c>
      <c r="Z40" s="299">
        <f t="shared" si="3"/>
        <v>0</v>
      </c>
      <c r="AA40" s="299">
        <f t="shared" si="2"/>
        <v>0</v>
      </c>
      <c r="AB40" s="299">
        <f t="shared" si="2"/>
        <v>0</v>
      </c>
      <c r="AC40" s="299">
        <f t="shared" si="2"/>
        <v>23504.833333333332</v>
      </c>
      <c r="AD40" s="299">
        <f t="shared" si="2"/>
        <v>23504.833333333332</v>
      </c>
      <c r="AE40" s="299">
        <f t="shared" si="2"/>
        <v>23504.833333333332</v>
      </c>
      <c r="AF40" s="299">
        <f t="shared" si="2"/>
        <v>23504.833333333332</v>
      </c>
      <c r="AG40" s="299">
        <f t="shared" si="2"/>
        <v>23504.833333333332</v>
      </c>
      <c r="AH40" s="299">
        <f t="shared" si="2"/>
        <v>23504.833333333332</v>
      </c>
      <c r="AI40" s="299">
        <f t="shared" si="2"/>
        <v>0</v>
      </c>
      <c r="AJ40" s="299">
        <f t="shared" si="2"/>
        <v>0</v>
      </c>
      <c r="AK40" s="299">
        <f t="shared" si="2"/>
        <v>0</v>
      </c>
      <c r="AL40" s="299">
        <f t="shared" si="2"/>
        <v>0</v>
      </c>
      <c r="AM40" s="299">
        <f t="shared" si="2"/>
        <v>0</v>
      </c>
      <c r="AN40" s="299">
        <f t="shared" si="2"/>
        <v>0</v>
      </c>
      <c r="AO40" s="299">
        <f t="shared" si="2"/>
        <v>0</v>
      </c>
      <c r="AP40" s="299">
        <f t="shared" si="2"/>
        <v>0</v>
      </c>
      <c r="AQ40" s="299">
        <f t="shared" si="2"/>
        <v>0</v>
      </c>
      <c r="AR40" s="299">
        <f t="shared" si="2"/>
        <v>0</v>
      </c>
      <c r="AS40" s="299">
        <f t="shared" si="2"/>
        <v>0</v>
      </c>
    </row>
    <row r="41" spans="1:45" ht="15" customHeight="1" x14ac:dyDescent="0.3">
      <c r="A41" s="282"/>
      <c r="B41" s="282"/>
      <c r="E41" s="293" t="s">
        <v>407</v>
      </c>
      <c r="G41" s="293" t="s">
        <v>38</v>
      </c>
      <c r="I41" s="291"/>
      <c r="J41" s="42"/>
      <c r="K41" s="299">
        <f t="shared" si="3"/>
        <v>0</v>
      </c>
      <c r="L41" s="299">
        <f t="shared" si="2"/>
        <v>0</v>
      </c>
      <c r="M41" s="299">
        <f t="shared" si="2"/>
        <v>0</v>
      </c>
      <c r="N41" s="299">
        <f t="shared" si="2"/>
        <v>0</v>
      </c>
      <c r="O41" s="299">
        <f t="shared" si="2"/>
        <v>0</v>
      </c>
      <c r="P41" s="299">
        <f t="shared" si="2"/>
        <v>0</v>
      </c>
      <c r="Q41" s="299">
        <f t="shared" si="2"/>
        <v>0</v>
      </c>
      <c r="R41" s="299">
        <f t="shared" si="2"/>
        <v>0</v>
      </c>
      <c r="S41" s="299">
        <f t="shared" si="2"/>
        <v>0</v>
      </c>
      <c r="T41" s="299">
        <f t="shared" si="2"/>
        <v>0</v>
      </c>
      <c r="U41" s="299">
        <f t="shared" si="2"/>
        <v>0</v>
      </c>
      <c r="V41" s="299">
        <f t="shared" si="2"/>
        <v>0</v>
      </c>
      <c r="W41" s="299">
        <f t="shared" si="2"/>
        <v>0</v>
      </c>
      <c r="X41" s="299">
        <f t="shared" si="2"/>
        <v>0</v>
      </c>
      <c r="Y41" s="299">
        <f t="shared" si="2"/>
        <v>0</v>
      </c>
      <c r="Z41" s="299">
        <f t="shared" si="2"/>
        <v>0</v>
      </c>
      <c r="AA41" s="299">
        <f t="shared" si="2"/>
        <v>0</v>
      </c>
      <c r="AB41" s="299">
        <f t="shared" si="2"/>
        <v>0</v>
      </c>
      <c r="AC41" s="299">
        <f t="shared" si="2"/>
        <v>2611.8333333333335</v>
      </c>
      <c r="AD41" s="299">
        <f t="shared" si="2"/>
        <v>2611.8333333333335</v>
      </c>
      <c r="AE41" s="299">
        <f t="shared" si="2"/>
        <v>2611.8333333333335</v>
      </c>
      <c r="AF41" s="299">
        <f t="shared" si="2"/>
        <v>2611.8333333333335</v>
      </c>
      <c r="AG41" s="299">
        <f t="shared" si="2"/>
        <v>2611.8333333333335</v>
      </c>
      <c r="AH41" s="299">
        <f t="shared" si="2"/>
        <v>2611.8333333333335</v>
      </c>
      <c r="AI41" s="299">
        <f t="shared" si="2"/>
        <v>0</v>
      </c>
      <c r="AJ41" s="299">
        <f t="shared" si="2"/>
        <v>0</v>
      </c>
      <c r="AK41" s="299">
        <f t="shared" si="2"/>
        <v>0</v>
      </c>
      <c r="AL41" s="299">
        <f t="shared" si="2"/>
        <v>0</v>
      </c>
      <c r="AM41" s="299">
        <f t="shared" si="2"/>
        <v>0</v>
      </c>
      <c r="AN41" s="299">
        <f t="shared" si="2"/>
        <v>0</v>
      </c>
      <c r="AO41" s="299">
        <f t="shared" si="2"/>
        <v>0</v>
      </c>
      <c r="AP41" s="299">
        <f t="shared" si="2"/>
        <v>0</v>
      </c>
      <c r="AQ41" s="299">
        <f t="shared" si="2"/>
        <v>0</v>
      </c>
      <c r="AR41" s="299">
        <f t="shared" si="2"/>
        <v>0</v>
      </c>
      <c r="AS41" s="299">
        <f t="shared" si="2"/>
        <v>0</v>
      </c>
    </row>
    <row r="42" spans="1:45" ht="15" customHeight="1" x14ac:dyDescent="0.3">
      <c r="A42" s="282"/>
      <c r="B42" s="282"/>
      <c r="E42" s="293" t="s">
        <v>408</v>
      </c>
      <c r="G42" s="293" t="s">
        <v>38</v>
      </c>
      <c r="I42" s="291"/>
      <c r="J42" s="42"/>
      <c r="K42" s="299">
        <f t="shared" si="3"/>
        <v>0</v>
      </c>
      <c r="L42" s="299">
        <f t="shared" si="2"/>
        <v>0</v>
      </c>
      <c r="M42" s="299">
        <f t="shared" si="2"/>
        <v>0</v>
      </c>
      <c r="N42" s="299">
        <f t="shared" si="2"/>
        <v>0</v>
      </c>
      <c r="O42" s="299">
        <f t="shared" si="2"/>
        <v>0</v>
      </c>
      <c r="P42" s="299">
        <f t="shared" si="2"/>
        <v>0</v>
      </c>
      <c r="Q42" s="299">
        <f t="shared" si="2"/>
        <v>0</v>
      </c>
      <c r="R42" s="299">
        <f t="shared" si="2"/>
        <v>0</v>
      </c>
      <c r="S42" s="299">
        <f t="shared" si="2"/>
        <v>0</v>
      </c>
      <c r="T42" s="299">
        <f t="shared" si="2"/>
        <v>0</v>
      </c>
      <c r="U42" s="299">
        <f t="shared" si="2"/>
        <v>0</v>
      </c>
      <c r="V42" s="299">
        <f t="shared" si="2"/>
        <v>0</v>
      </c>
      <c r="W42" s="299">
        <f t="shared" si="2"/>
        <v>0</v>
      </c>
      <c r="X42" s="299">
        <f t="shared" si="2"/>
        <v>0</v>
      </c>
      <c r="Y42" s="299">
        <f t="shared" si="2"/>
        <v>0</v>
      </c>
      <c r="Z42" s="299">
        <f t="shared" si="2"/>
        <v>0</v>
      </c>
      <c r="AA42" s="299">
        <f t="shared" si="2"/>
        <v>0</v>
      </c>
      <c r="AB42" s="299">
        <f t="shared" si="2"/>
        <v>0</v>
      </c>
      <c r="AC42" s="299">
        <f t="shared" si="2"/>
        <v>0</v>
      </c>
      <c r="AD42" s="299">
        <f t="shared" si="2"/>
        <v>0</v>
      </c>
      <c r="AE42" s="299">
        <f t="shared" si="2"/>
        <v>0</v>
      </c>
      <c r="AF42" s="299">
        <f t="shared" si="2"/>
        <v>0</v>
      </c>
      <c r="AG42" s="299">
        <f t="shared" si="2"/>
        <v>0</v>
      </c>
      <c r="AH42" s="299">
        <f t="shared" si="2"/>
        <v>0</v>
      </c>
      <c r="AI42" s="299">
        <f t="shared" si="2"/>
        <v>0</v>
      </c>
      <c r="AJ42" s="299">
        <f t="shared" si="2"/>
        <v>0</v>
      </c>
      <c r="AK42" s="299">
        <f t="shared" si="2"/>
        <v>0</v>
      </c>
      <c r="AL42" s="299">
        <f t="shared" si="2"/>
        <v>0</v>
      </c>
      <c r="AM42" s="299">
        <f t="shared" si="2"/>
        <v>0</v>
      </c>
      <c r="AN42" s="299">
        <f t="shared" si="2"/>
        <v>0</v>
      </c>
      <c r="AO42" s="299">
        <f t="shared" si="2"/>
        <v>0</v>
      </c>
      <c r="AP42" s="299">
        <f t="shared" si="2"/>
        <v>0</v>
      </c>
      <c r="AQ42" s="299">
        <f t="shared" si="2"/>
        <v>0</v>
      </c>
      <c r="AR42" s="299">
        <f t="shared" si="2"/>
        <v>0</v>
      </c>
      <c r="AS42" s="299">
        <f t="shared" si="2"/>
        <v>0</v>
      </c>
    </row>
    <row r="43" spans="1:45" ht="15" customHeight="1" x14ac:dyDescent="0.3">
      <c r="A43" s="282"/>
      <c r="B43" s="282"/>
      <c r="E43" s="293" t="s">
        <v>409</v>
      </c>
      <c r="G43" s="293" t="s">
        <v>38</v>
      </c>
      <c r="I43" s="291"/>
      <c r="J43" s="42"/>
      <c r="K43" s="299">
        <f t="shared" si="3"/>
        <v>0</v>
      </c>
      <c r="L43" s="299">
        <f t="shared" si="2"/>
        <v>0</v>
      </c>
      <c r="M43" s="299">
        <f t="shared" si="2"/>
        <v>0</v>
      </c>
      <c r="N43" s="299">
        <f t="shared" si="2"/>
        <v>0</v>
      </c>
      <c r="O43" s="299">
        <f t="shared" si="2"/>
        <v>0</v>
      </c>
      <c r="P43" s="299">
        <f t="shared" si="2"/>
        <v>0</v>
      </c>
      <c r="Q43" s="299">
        <f t="shared" si="2"/>
        <v>0</v>
      </c>
      <c r="R43" s="299">
        <f t="shared" si="2"/>
        <v>0</v>
      </c>
      <c r="S43" s="299">
        <f t="shared" si="2"/>
        <v>0</v>
      </c>
      <c r="T43" s="299">
        <f t="shared" si="2"/>
        <v>0</v>
      </c>
      <c r="U43" s="299">
        <f t="shared" si="2"/>
        <v>0</v>
      </c>
      <c r="V43" s="299">
        <f t="shared" si="2"/>
        <v>0</v>
      </c>
      <c r="W43" s="299">
        <f t="shared" si="2"/>
        <v>0</v>
      </c>
      <c r="X43" s="299">
        <f t="shared" si="2"/>
        <v>0</v>
      </c>
      <c r="Y43" s="299">
        <f t="shared" si="2"/>
        <v>0</v>
      </c>
      <c r="Z43" s="299">
        <f t="shared" si="2"/>
        <v>0</v>
      </c>
      <c r="AA43" s="299">
        <f t="shared" si="2"/>
        <v>0</v>
      </c>
      <c r="AB43" s="299">
        <f t="shared" si="2"/>
        <v>0</v>
      </c>
      <c r="AC43" s="299">
        <f t="shared" si="2"/>
        <v>1479.8333333333333</v>
      </c>
      <c r="AD43" s="299">
        <f t="shared" si="2"/>
        <v>1479.8333333333333</v>
      </c>
      <c r="AE43" s="299">
        <f t="shared" si="2"/>
        <v>1479.8333333333333</v>
      </c>
      <c r="AF43" s="299">
        <f t="shared" si="2"/>
        <v>1479.8333333333333</v>
      </c>
      <c r="AG43" s="299">
        <f t="shared" si="2"/>
        <v>1479.8333333333333</v>
      </c>
      <c r="AH43" s="299">
        <f t="shared" si="2"/>
        <v>1479.8333333333333</v>
      </c>
      <c r="AI43" s="299">
        <f t="shared" si="2"/>
        <v>0</v>
      </c>
      <c r="AJ43" s="299">
        <f t="shared" si="2"/>
        <v>0</v>
      </c>
      <c r="AK43" s="299">
        <f t="shared" si="2"/>
        <v>0</v>
      </c>
      <c r="AL43" s="299">
        <f t="shared" si="2"/>
        <v>0</v>
      </c>
      <c r="AM43" s="299">
        <f t="shared" si="2"/>
        <v>0</v>
      </c>
      <c r="AN43" s="299">
        <f t="shared" si="2"/>
        <v>0</v>
      </c>
      <c r="AO43" s="299">
        <f t="shared" si="2"/>
        <v>0</v>
      </c>
      <c r="AP43" s="299">
        <f t="shared" si="2"/>
        <v>0</v>
      </c>
      <c r="AQ43" s="299">
        <f t="shared" si="2"/>
        <v>0</v>
      </c>
      <c r="AR43" s="299">
        <f t="shared" si="2"/>
        <v>0</v>
      </c>
      <c r="AS43" s="299">
        <f t="shared" si="2"/>
        <v>0</v>
      </c>
    </row>
    <row r="44" spans="1:45" ht="15" customHeight="1" x14ac:dyDescent="0.3">
      <c r="A44" s="282"/>
      <c r="B44" s="282"/>
      <c r="E44" s="293"/>
      <c r="G44" s="293"/>
      <c r="I44" s="291"/>
      <c r="J44" s="42"/>
      <c r="K44" s="299"/>
      <c r="L44" s="299"/>
      <c r="M44" s="299"/>
      <c r="N44" s="299"/>
      <c r="O44" s="299"/>
      <c r="P44" s="299"/>
      <c r="Q44" s="299"/>
      <c r="R44" s="299"/>
      <c r="S44" s="299"/>
      <c r="T44" s="299"/>
      <c r="U44" s="299"/>
      <c r="V44" s="299"/>
      <c r="W44" s="299"/>
      <c r="X44" s="299"/>
      <c r="Y44" s="299"/>
      <c r="Z44" s="299"/>
      <c r="AA44" s="299"/>
      <c r="AB44" s="299"/>
      <c r="AC44" s="299"/>
      <c r="AD44" s="299"/>
      <c r="AE44" s="299"/>
      <c r="AF44" s="299"/>
      <c r="AG44" s="299"/>
      <c r="AH44" s="299"/>
      <c r="AI44" s="299"/>
      <c r="AJ44" s="299"/>
      <c r="AK44" s="299"/>
      <c r="AL44" s="299"/>
      <c r="AM44" s="299"/>
      <c r="AN44" s="299"/>
      <c r="AO44" s="299"/>
      <c r="AP44" s="299"/>
      <c r="AQ44" s="299"/>
      <c r="AR44" s="299"/>
      <c r="AS44" s="299"/>
    </row>
    <row r="45" spans="1:45" ht="15" customHeight="1" x14ac:dyDescent="0.3">
      <c r="A45" s="282"/>
      <c r="B45" s="282"/>
      <c r="E45" s="290" t="s">
        <v>410</v>
      </c>
      <c r="F45" s="169">
        <f xml:space="preserve"> F$37</f>
        <v>0</v>
      </c>
      <c r="G45" s="169" t="str">
        <f xml:space="preserve"> G$37</f>
        <v>flag</v>
      </c>
      <c r="H45" s="169">
        <f xml:space="preserve"> H$37</f>
        <v>0</v>
      </c>
      <c r="I45" s="169">
        <f xml:space="preserve"> I$37</f>
        <v>0</v>
      </c>
      <c r="J45" s="42"/>
      <c r="K45" s="169">
        <f>IF(AND(K2 &gt; 2023, K2 &lt; 2031), 1, 0)</f>
        <v>0</v>
      </c>
      <c r="L45" s="169">
        <f t="shared" ref="L45:AS45" si="4">IF(AND(L2 &gt; 2023, L2 &lt; 2031), 1, 0)</f>
        <v>0</v>
      </c>
      <c r="M45" s="169">
        <f t="shared" si="4"/>
        <v>0</v>
      </c>
      <c r="N45" s="169">
        <f t="shared" si="4"/>
        <v>0</v>
      </c>
      <c r="O45" s="169">
        <f t="shared" si="4"/>
        <v>0</v>
      </c>
      <c r="P45" s="169">
        <f t="shared" si="4"/>
        <v>0</v>
      </c>
      <c r="Q45" s="169">
        <f t="shared" si="4"/>
        <v>0</v>
      </c>
      <c r="R45" s="169">
        <f t="shared" si="4"/>
        <v>0</v>
      </c>
      <c r="S45" s="169">
        <f t="shared" si="4"/>
        <v>0</v>
      </c>
      <c r="T45" s="169">
        <f t="shared" si="4"/>
        <v>0</v>
      </c>
      <c r="U45" s="169">
        <f t="shared" si="4"/>
        <v>0</v>
      </c>
      <c r="V45" s="169">
        <f t="shared" si="4"/>
        <v>0</v>
      </c>
      <c r="W45" s="169">
        <f t="shared" si="4"/>
        <v>0</v>
      </c>
      <c r="X45" s="169">
        <f t="shared" si="4"/>
        <v>0</v>
      </c>
      <c r="Y45" s="169">
        <f t="shared" si="4"/>
        <v>0</v>
      </c>
      <c r="Z45" s="169">
        <f t="shared" si="4"/>
        <v>0</v>
      </c>
      <c r="AA45" s="169">
        <f t="shared" si="4"/>
        <v>0</v>
      </c>
      <c r="AB45" s="169">
        <f t="shared" si="4"/>
        <v>0</v>
      </c>
      <c r="AC45" s="169">
        <f t="shared" si="4"/>
        <v>1</v>
      </c>
      <c r="AD45" s="169">
        <f t="shared" si="4"/>
        <v>1</v>
      </c>
      <c r="AE45" s="169">
        <f t="shared" si="4"/>
        <v>1</v>
      </c>
      <c r="AF45" s="169">
        <f t="shared" si="4"/>
        <v>1</v>
      </c>
      <c r="AG45" s="169">
        <f t="shared" si="4"/>
        <v>1</v>
      </c>
      <c r="AH45" s="169">
        <f t="shared" si="4"/>
        <v>1</v>
      </c>
      <c r="AI45" s="169">
        <f t="shared" si="4"/>
        <v>1</v>
      </c>
      <c r="AJ45" s="169">
        <f t="shared" si="4"/>
        <v>0</v>
      </c>
      <c r="AK45" s="169">
        <f t="shared" si="4"/>
        <v>0</v>
      </c>
      <c r="AL45" s="169">
        <f t="shared" si="4"/>
        <v>0</v>
      </c>
      <c r="AM45" s="169">
        <f t="shared" si="4"/>
        <v>0</v>
      </c>
      <c r="AN45" s="169">
        <f t="shared" si="4"/>
        <v>0</v>
      </c>
      <c r="AO45" s="169">
        <f t="shared" si="4"/>
        <v>0</v>
      </c>
      <c r="AP45" s="169">
        <f t="shared" si="4"/>
        <v>0</v>
      </c>
      <c r="AQ45" s="169">
        <f t="shared" si="4"/>
        <v>0</v>
      </c>
      <c r="AR45" s="169">
        <f t="shared" si="4"/>
        <v>0</v>
      </c>
      <c r="AS45" s="169">
        <f t="shared" si="4"/>
        <v>0</v>
      </c>
    </row>
    <row r="46" spans="1:45" ht="15" customHeight="1" x14ac:dyDescent="0.3">
      <c r="A46" s="282"/>
      <c r="B46" s="282"/>
      <c r="E46" s="293"/>
      <c r="G46" s="293"/>
      <c r="I46" s="291"/>
      <c r="J46" s="42"/>
      <c r="K46" s="299"/>
      <c r="L46" s="299"/>
      <c r="M46" s="299"/>
      <c r="N46" s="299"/>
      <c r="O46" s="299"/>
      <c r="P46" s="299"/>
      <c r="Q46" s="299"/>
      <c r="R46" s="299"/>
      <c r="S46" s="299"/>
      <c r="T46" s="299"/>
      <c r="U46" s="299"/>
      <c r="V46" s="299"/>
      <c r="W46" s="299"/>
      <c r="X46" s="299"/>
      <c r="Y46" s="299"/>
      <c r="Z46" s="299"/>
      <c r="AA46" s="299"/>
      <c r="AB46" s="299"/>
      <c r="AC46" s="299"/>
      <c r="AD46" s="299"/>
      <c r="AE46" s="299"/>
      <c r="AF46" s="299"/>
      <c r="AG46" s="299"/>
      <c r="AH46" s="299"/>
      <c r="AI46" s="299"/>
      <c r="AJ46" s="299"/>
      <c r="AK46" s="299"/>
      <c r="AL46" s="299"/>
      <c r="AM46" s="299"/>
      <c r="AN46" s="299"/>
      <c r="AO46" s="299"/>
      <c r="AP46" s="299"/>
      <c r="AQ46" s="299"/>
      <c r="AR46" s="299"/>
      <c r="AS46" s="299"/>
    </row>
    <row r="47" spans="1:45" ht="15" customHeight="1" x14ac:dyDescent="0.3">
      <c r="A47" s="282"/>
      <c r="B47" s="282"/>
      <c r="E47" s="293" t="s">
        <v>411</v>
      </c>
      <c r="G47" s="293" t="s">
        <v>38</v>
      </c>
      <c r="I47" s="291"/>
      <c r="J47" s="42"/>
      <c r="K47" s="299">
        <f xml:space="preserve"> K$45 * (($F34 - $F25) / SUM($K$45:$AS$45))</f>
        <v>0</v>
      </c>
      <c r="L47" s="299">
        <f t="shared" ref="L47:AS47" si="5" xml:space="preserve"> L$45 * (($F34 - $F25) / SUM($K$45:$AS$45))</f>
        <v>0</v>
      </c>
      <c r="M47" s="299">
        <f t="shared" si="5"/>
        <v>0</v>
      </c>
      <c r="N47" s="299">
        <f t="shared" si="5"/>
        <v>0</v>
      </c>
      <c r="O47" s="299">
        <f t="shared" si="5"/>
        <v>0</v>
      </c>
      <c r="P47" s="299">
        <f t="shared" si="5"/>
        <v>0</v>
      </c>
      <c r="Q47" s="299">
        <f t="shared" si="5"/>
        <v>0</v>
      </c>
      <c r="R47" s="299">
        <f t="shared" si="5"/>
        <v>0</v>
      </c>
      <c r="S47" s="299">
        <f t="shared" si="5"/>
        <v>0</v>
      </c>
      <c r="T47" s="299">
        <f t="shared" si="5"/>
        <v>0</v>
      </c>
      <c r="U47" s="299">
        <f t="shared" si="5"/>
        <v>0</v>
      </c>
      <c r="V47" s="299">
        <f t="shared" si="5"/>
        <v>0</v>
      </c>
      <c r="W47" s="299">
        <f t="shared" si="5"/>
        <v>0</v>
      </c>
      <c r="X47" s="299">
        <f t="shared" si="5"/>
        <v>0</v>
      </c>
      <c r="Y47" s="299">
        <f t="shared" si="5"/>
        <v>0</v>
      </c>
      <c r="Z47" s="299">
        <f t="shared" si="5"/>
        <v>0</v>
      </c>
      <c r="AA47" s="299">
        <f t="shared" si="5"/>
        <v>0</v>
      </c>
      <c r="AB47" s="299">
        <f t="shared" si="5"/>
        <v>0</v>
      </c>
      <c r="AC47" s="299">
        <f t="shared" si="5"/>
        <v>1733.6771428571428</v>
      </c>
      <c r="AD47" s="299">
        <f t="shared" si="5"/>
        <v>1733.6771428571428</v>
      </c>
      <c r="AE47" s="299">
        <f t="shared" si="5"/>
        <v>1733.6771428571428</v>
      </c>
      <c r="AF47" s="299">
        <f t="shared" si="5"/>
        <v>1733.6771428571428</v>
      </c>
      <c r="AG47" s="299">
        <f t="shared" si="5"/>
        <v>1733.6771428571428</v>
      </c>
      <c r="AH47" s="299">
        <f t="shared" si="5"/>
        <v>1733.6771428571428</v>
      </c>
      <c r="AI47" s="299">
        <f t="shared" si="5"/>
        <v>1733.6771428571428</v>
      </c>
      <c r="AJ47" s="299">
        <f t="shared" si="5"/>
        <v>0</v>
      </c>
      <c r="AK47" s="299">
        <f t="shared" si="5"/>
        <v>0</v>
      </c>
      <c r="AL47" s="299">
        <f t="shared" si="5"/>
        <v>0</v>
      </c>
      <c r="AM47" s="299">
        <f t="shared" si="5"/>
        <v>0</v>
      </c>
      <c r="AN47" s="299">
        <f t="shared" si="5"/>
        <v>0</v>
      </c>
      <c r="AO47" s="299">
        <f t="shared" si="5"/>
        <v>0</v>
      </c>
      <c r="AP47" s="299">
        <f t="shared" si="5"/>
        <v>0</v>
      </c>
      <c r="AQ47" s="299">
        <f t="shared" si="5"/>
        <v>0</v>
      </c>
      <c r="AR47" s="299">
        <f t="shared" si="5"/>
        <v>0</v>
      </c>
      <c r="AS47" s="299">
        <f t="shared" si="5"/>
        <v>0</v>
      </c>
    </row>
    <row r="48" spans="1:45" ht="15" customHeight="1" x14ac:dyDescent="0.3">
      <c r="I48" s="291"/>
      <c r="J48" s="42"/>
      <c r="AL48" s="290"/>
      <c r="AM48" s="290"/>
      <c r="AN48" s="290"/>
      <c r="AO48" s="290"/>
      <c r="AP48" s="290"/>
      <c r="AQ48" s="290"/>
      <c r="AR48" s="290"/>
      <c r="AS48" s="290"/>
    </row>
    <row r="49" spans="1:45" ht="15" customHeight="1" x14ac:dyDescent="0.3">
      <c r="A49" s="282"/>
      <c r="C49" s="289" t="s">
        <v>412</v>
      </c>
      <c r="E49" s="293"/>
      <c r="I49" s="291"/>
      <c r="J49" s="42"/>
      <c r="AL49" s="290"/>
      <c r="AM49" s="290"/>
      <c r="AN49" s="290"/>
      <c r="AO49" s="290"/>
      <c r="AP49" s="290"/>
      <c r="AQ49" s="290"/>
      <c r="AR49" s="290"/>
      <c r="AS49" s="290"/>
    </row>
    <row r="50" spans="1:45" ht="15" customHeight="1" x14ac:dyDescent="0.3">
      <c r="A50" s="392"/>
      <c r="B50" s="378"/>
      <c r="C50" s="379"/>
      <c r="D50" s="381"/>
      <c r="E50" s="381" t="s">
        <v>165</v>
      </c>
      <c r="F50" s="381"/>
      <c r="G50" s="381" t="s">
        <v>38</v>
      </c>
      <c r="H50" s="387"/>
      <c r="I50" s="387">
        <f>SUM(K50:AS50)</f>
        <v>939749</v>
      </c>
      <c r="J50" s="34"/>
      <c r="K50" s="383">
        <f t="shared" ref="K50:O50" si="6">IF(K11 &gt; 0, K11, K39)</f>
        <v>0</v>
      </c>
      <c r="L50" s="383">
        <f t="shared" si="6"/>
        <v>0</v>
      </c>
      <c r="M50" s="383">
        <f t="shared" si="6"/>
        <v>0</v>
      </c>
      <c r="N50" s="383">
        <f t="shared" si="6"/>
        <v>0</v>
      </c>
      <c r="O50" s="383">
        <f t="shared" si="6"/>
        <v>0</v>
      </c>
      <c r="P50" s="383">
        <f t="shared" ref="P50:R50" si="7">IF(P11 &gt; 0, P11, P39)</f>
        <v>0</v>
      </c>
      <c r="Q50" s="383">
        <f>IF(Q11 &gt; 0, Q11, Q39)</f>
        <v>0</v>
      </c>
      <c r="R50" s="383">
        <f t="shared" si="7"/>
        <v>0</v>
      </c>
      <c r="S50" s="383">
        <f>IF(S11 &gt; 0, S11, S39)</f>
        <v>0</v>
      </c>
      <c r="T50" s="383">
        <f t="shared" ref="T50:AN50" si="8">IF(T11 &gt; 0, T11, T39)</f>
        <v>0</v>
      </c>
      <c r="U50" s="383">
        <f t="shared" si="8"/>
        <v>0</v>
      </c>
      <c r="V50" s="383">
        <f t="shared" si="8"/>
        <v>0</v>
      </c>
      <c r="W50" s="383">
        <f t="shared" si="8"/>
        <v>0</v>
      </c>
      <c r="X50" s="383">
        <f t="shared" si="8"/>
        <v>26145</v>
      </c>
      <c r="Y50" s="383">
        <f t="shared" si="8"/>
        <v>57390</v>
      </c>
      <c r="Z50" s="383">
        <f t="shared" si="8"/>
        <v>59899</v>
      </c>
      <c r="AA50" s="383">
        <f t="shared" si="8"/>
        <v>73852</v>
      </c>
      <c r="AB50" s="383">
        <f t="shared" si="8"/>
        <v>60290</v>
      </c>
      <c r="AC50" s="383">
        <f t="shared" si="8"/>
        <v>82654</v>
      </c>
      <c r="AD50" s="383">
        <f t="shared" si="8"/>
        <v>82654</v>
      </c>
      <c r="AE50" s="383">
        <f t="shared" si="8"/>
        <v>82654</v>
      </c>
      <c r="AF50" s="383">
        <f t="shared" si="8"/>
        <v>82654</v>
      </c>
      <c r="AG50" s="383">
        <f t="shared" si="8"/>
        <v>82654</v>
      </c>
      <c r="AH50" s="383">
        <f t="shared" si="8"/>
        <v>82654</v>
      </c>
      <c r="AI50" s="383">
        <f t="shared" si="8"/>
        <v>68878</v>
      </c>
      <c r="AJ50" s="383">
        <f t="shared" si="8"/>
        <v>68878</v>
      </c>
      <c r="AK50" s="383">
        <f t="shared" si="8"/>
        <v>28493</v>
      </c>
      <c r="AL50" s="383">
        <f t="shared" si="8"/>
        <v>0</v>
      </c>
      <c r="AM50" s="383">
        <f t="shared" si="8"/>
        <v>0</v>
      </c>
      <c r="AN50" s="383">
        <f t="shared" si="8"/>
        <v>0</v>
      </c>
      <c r="AO50" s="383">
        <f>IF(AO11 &gt; 0, AO11, AO39)</f>
        <v>0</v>
      </c>
      <c r="AP50" s="383">
        <f t="shared" ref="AP50:AS50" si="9">IF(AP11 &gt; 0, AP11, AP39)</f>
        <v>0</v>
      </c>
      <c r="AQ50" s="383">
        <f t="shared" si="9"/>
        <v>0</v>
      </c>
      <c r="AR50" s="383">
        <f t="shared" si="9"/>
        <v>0</v>
      </c>
      <c r="AS50" s="383">
        <f t="shared" si="9"/>
        <v>0</v>
      </c>
    </row>
    <row r="51" spans="1:45" ht="15" customHeight="1" x14ac:dyDescent="0.3">
      <c r="A51" s="392"/>
      <c r="B51" s="378"/>
      <c r="C51" s="379"/>
      <c r="D51" s="381"/>
      <c r="E51" s="381" t="s">
        <v>356</v>
      </c>
      <c r="F51" s="381"/>
      <c r="G51" s="381" t="s">
        <v>38</v>
      </c>
      <c r="H51" s="387"/>
      <c r="I51" s="387">
        <f t="shared" ref="I51:I54" si="10">SUM(K51:AS51)</f>
        <v>364525</v>
      </c>
      <c r="J51" s="34"/>
      <c r="K51" s="383">
        <f t="shared" ref="K51:O51" si="11">IF(K12 &gt; 0, K12, K40)</f>
        <v>0</v>
      </c>
      <c r="L51" s="383">
        <f t="shared" si="11"/>
        <v>0</v>
      </c>
      <c r="M51" s="383">
        <f t="shared" si="11"/>
        <v>0</v>
      </c>
      <c r="N51" s="383">
        <f t="shared" si="11"/>
        <v>0</v>
      </c>
      <c r="O51" s="383">
        <f t="shared" si="11"/>
        <v>0</v>
      </c>
      <c r="P51" s="383">
        <f t="shared" ref="P51:R51" si="12">IF(P12 &gt; 0, P12, P40)</f>
        <v>0</v>
      </c>
      <c r="Q51" s="383">
        <f t="shared" si="12"/>
        <v>0</v>
      </c>
      <c r="R51" s="383">
        <f t="shared" si="12"/>
        <v>0</v>
      </c>
      <c r="S51" s="383">
        <f t="shared" ref="S51:AN51" si="13">IF(S12 &gt; 0, S12, S40)</f>
        <v>0</v>
      </c>
      <c r="T51" s="383">
        <f t="shared" si="13"/>
        <v>0</v>
      </c>
      <c r="U51" s="383">
        <f t="shared" si="13"/>
        <v>0</v>
      </c>
      <c r="V51" s="383">
        <f t="shared" si="13"/>
        <v>11808</v>
      </c>
      <c r="W51" s="383">
        <f t="shared" si="13"/>
        <v>29048</v>
      </c>
      <c r="X51" s="383">
        <f t="shared" si="13"/>
        <v>34233</v>
      </c>
      <c r="Y51" s="383">
        <f t="shared" si="13"/>
        <v>32411</v>
      </c>
      <c r="Z51" s="383">
        <f t="shared" si="13"/>
        <v>24924</v>
      </c>
      <c r="AA51" s="383">
        <f t="shared" si="13"/>
        <v>22433</v>
      </c>
      <c r="AB51" s="383">
        <f t="shared" si="13"/>
        <v>21362</v>
      </c>
      <c r="AC51" s="383">
        <f t="shared" si="13"/>
        <v>23504.833333333332</v>
      </c>
      <c r="AD51" s="383">
        <f t="shared" si="13"/>
        <v>23504.833333333332</v>
      </c>
      <c r="AE51" s="383">
        <f t="shared" si="13"/>
        <v>23504.833333333332</v>
      </c>
      <c r="AF51" s="383">
        <f t="shared" si="13"/>
        <v>23504.833333333332</v>
      </c>
      <c r="AG51" s="383">
        <f t="shared" si="13"/>
        <v>23504.833333333332</v>
      </c>
      <c r="AH51" s="383">
        <f t="shared" si="13"/>
        <v>23504.833333333332</v>
      </c>
      <c r="AI51" s="383">
        <f t="shared" si="13"/>
        <v>19587</v>
      </c>
      <c r="AJ51" s="383">
        <f t="shared" si="13"/>
        <v>19587</v>
      </c>
      <c r="AK51" s="383">
        <f t="shared" si="13"/>
        <v>8103</v>
      </c>
      <c r="AL51" s="383">
        <f t="shared" si="13"/>
        <v>0</v>
      </c>
      <c r="AM51" s="383">
        <f t="shared" si="13"/>
        <v>0</v>
      </c>
      <c r="AN51" s="383">
        <f t="shared" si="13"/>
        <v>0</v>
      </c>
      <c r="AO51" s="383">
        <f t="shared" ref="AO51:AP51" si="14">IF(AO12 &gt; 0, AO12, AO40)</f>
        <v>0</v>
      </c>
      <c r="AP51" s="383">
        <f t="shared" si="14"/>
        <v>0</v>
      </c>
      <c r="AQ51" s="383">
        <f t="shared" ref="AQ51:AS51" si="15">IF(AQ12 &gt; 0, AQ12, AQ40)</f>
        <v>0</v>
      </c>
      <c r="AR51" s="383">
        <f t="shared" si="15"/>
        <v>0</v>
      </c>
      <c r="AS51" s="383">
        <f t="shared" si="15"/>
        <v>0</v>
      </c>
    </row>
    <row r="52" spans="1:45" ht="15" customHeight="1" x14ac:dyDescent="0.3">
      <c r="A52" s="392"/>
      <c r="B52" s="378"/>
      <c r="C52" s="379"/>
      <c r="D52" s="381"/>
      <c r="E52" s="381" t="s">
        <v>357</v>
      </c>
      <c r="F52" s="381"/>
      <c r="G52" s="381" t="s">
        <v>38</v>
      </c>
      <c r="H52" s="387"/>
      <c r="I52" s="387">
        <f t="shared" si="10"/>
        <v>40880</v>
      </c>
      <c r="J52" s="34"/>
      <c r="K52" s="383">
        <f t="shared" ref="K52:O52" si="16">IF(K13 &gt; 0, K13, K41)</f>
        <v>0</v>
      </c>
      <c r="L52" s="383">
        <f t="shared" si="16"/>
        <v>0</v>
      </c>
      <c r="M52" s="383">
        <f t="shared" si="16"/>
        <v>0</v>
      </c>
      <c r="N52" s="383">
        <f t="shared" si="16"/>
        <v>0</v>
      </c>
      <c r="O52" s="383">
        <f t="shared" si="16"/>
        <v>0</v>
      </c>
      <c r="P52" s="383">
        <f t="shared" ref="P52:R52" si="17">IF(P13 &gt; 0, P13, P41)</f>
        <v>0</v>
      </c>
      <c r="Q52" s="383">
        <f t="shared" si="17"/>
        <v>0</v>
      </c>
      <c r="R52" s="383">
        <f t="shared" si="17"/>
        <v>0</v>
      </c>
      <c r="S52" s="383">
        <f t="shared" ref="S52:AN52" si="18">IF(S13 &gt; 0, S13, S41)</f>
        <v>0</v>
      </c>
      <c r="T52" s="383">
        <f t="shared" si="18"/>
        <v>0</v>
      </c>
      <c r="U52" s="383">
        <f t="shared" si="18"/>
        <v>0</v>
      </c>
      <c r="V52" s="383">
        <f t="shared" si="18"/>
        <v>735</v>
      </c>
      <c r="W52" s="383">
        <f t="shared" si="18"/>
        <v>4026</v>
      </c>
      <c r="X52" s="383">
        <f t="shared" si="18"/>
        <v>3910</v>
      </c>
      <c r="Y52" s="383">
        <f t="shared" si="18"/>
        <v>3656</v>
      </c>
      <c r="Z52" s="383">
        <f t="shared" si="18"/>
        <v>1848</v>
      </c>
      <c r="AA52" s="383">
        <f t="shared" si="18"/>
        <v>2275</v>
      </c>
      <c r="AB52" s="383">
        <f t="shared" si="18"/>
        <v>3507</v>
      </c>
      <c r="AC52" s="383">
        <f t="shared" si="18"/>
        <v>2611.8333333333335</v>
      </c>
      <c r="AD52" s="383">
        <f t="shared" si="18"/>
        <v>2611.8333333333335</v>
      </c>
      <c r="AE52" s="383">
        <f t="shared" si="18"/>
        <v>2611.8333333333335</v>
      </c>
      <c r="AF52" s="383">
        <f t="shared" si="18"/>
        <v>2611.8333333333335</v>
      </c>
      <c r="AG52" s="383">
        <f t="shared" si="18"/>
        <v>2611.8333333333335</v>
      </c>
      <c r="AH52" s="383">
        <f t="shared" si="18"/>
        <v>2611.8333333333335</v>
      </c>
      <c r="AI52" s="383">
        <f t="shared" si="18"/>
        <v>2176</v>
      </c>
      <c r="AJ52" s="383">
        <f t="shared" si="18"/>
        <v>2176</v>
      </c>
      <c r="AK52" s="383">
        <f t="shared" si="18"/>
        <v>900</v>
      </c>
      <c r="AL52" s="383">
        <f t="shared" si="18"/>
        <v>0</v>
      </c>
      <c r="AM52" s="383">
        <f t="shared" si="18"/>
        <v>0</v>
      </c>
      <c r="AN52" s="383">
        <f t="shared" si="18"/>
        <v>0</v>
      </c>
      <c r="AO52" s="383">
        <f t="shared" ref="AO52:AP52" si="19">IF(AO13 &gt; 0, AO13, AO41)</f>
        <v>0</v>
      </c>
      <c r="AP52" s="383">
        <f t="shared" si="19"/>
        <v>0</v>
      </c>
      <c r="AQ52" s="383">
        <f t="shared" ref="AQ52:AS52" si="20">IF(AQ13 &gt; 0, AQ13, AQ41)</f>
        <v>0</v>
      </c>
      <c r="AR52" s="383">
        <f t="shared" si="20"/>
        <v>0</v>
      </c>
      <c r="AS52" s="383">
        <f t="shared" si="20"/>
        <v>0</v>
      </c>
    </row>
    <row r="53" spans="1:45" ht="15" customHeight="1" x14ac:dyDescent="0.3">
      <c r="A53" s="392"/>
      <c r="B53" s="378"/>
      <c r="C53" s="379"/>
      <c r="D53" s="381"/>
      <c r="E53" s="381" t="s">
        <v>378</v>
      </c>
      <c r="F53" s="381"/>
      <c r="G53" s="381" t="s">
        <v>38</v>
      </c>
      <c r="H53" s="387"/>
      <c r="I53" s="387">
        <f t="shared" si="10"/>
        <v>372689</v>
      </c>
      <c r="J53" s="34"/>
      <c r="K53" s="383">
        <f t="shared" ref="K53:O53" si="21">IF(K14 &gt; 0, K14, K42)</f>
        <v>0</v>
      </c>
      <c r="L53" s="383">
        <f t="shared" si="21"/>
        <v>0</v>
      </c>
      <c r="M53" s="383">
        <f t="shared" si="21"/>
        <v>0</v>
      </c>
      <c r="N53" s="383">
        <f t="shared" si="21"/>
        <v>0</v>
      </c>
      <c r="O53" s="383">
        <f t="shared" si="21"/>
        <v>0</v>
      </c>
      <c r="P53" s="383">
        <f t="shared" ref="P53:R53" si="22">IF(P14 &gt; 0, P14, P42)</f>
        <v>0</v>
      </c>
      <c r="Q53" s="383">
        <f t="shared" si="22"/>
        <v>0</v>
      </c>
      <c r="R53" s="383">
        <f t="shared" si="22"/>
        <v>0</v>
      </c>
      <c r="S53" s="383">
        <f t="shared" ref="S53:AN53" si="23">IF(S14 &gt; 0, S14, S42)</f>
        <v>0</v>
      </c>
      <c r="T53" s="383">
        <f t="shared" si="23"/>
        <v>0</v>
      </c>
      <c r="U53" s="383">
        <f t="shared" si="23"/>
        <v>0</v>
      </c>
      <c r="V53" s="383">
        <f t="shared" si="23"/>
        <v>22146</v>
      </c>
      <c r="W53" s="383">
        <f t="shared" si="23"/>
        <v>71511</v>
      </c>
      <c r="X53" s="383">
        <f t="shared" si="23"/>
        <v>61170</v>
      </c>
      <c r="Y53" s="383">
        <f t="shared" si="23"/>
        <v>36712</v>
      </c>
      <c r="Z53" s="383">
        <f t="shared" si="23"/>
        <v>116222</v>
      </c>
      <c r="AA53" s="383">
        <f t="shared" si="23"/>
        <v>40314</v>
      </c>
      <c r="AB53" s="383">
        <f t="shared" si="23"/>
        <v>24614</v>
      </c>
      <c r="AC53" s="383">
        <f t="shared" si="23"/>
        <v>0</v>
      </c>
      <c r="AD53" s="383">
        <f t="shared" si="23"/>
        <v>0</v>
      </c>
      <c r="AE53" s="383">
        <f t="shared" si="23"/>
        <v>0</v>
      </c>
      <c r="AF53" s="383">
        <f t="shared" si="23"/>
        <v>0</v>
      </c>
      <c r="AG53" s="383">
        <f t="shared" si="23"/>
        <v>0</v>
      </c>
      <c r="AH53" s="383">
        <f t="shared" si="23"/>
        <v>0</v>
      </c>
      <c r="AI53" s="383">
        <f t="shared" si="23"/>
        <v>0</v>
      </c>
      <c r="AJ53" s="383">
        <f t="shared" si="23"/>
        <v>0</v>
      </c>
      <c r="AK53" s="383">
        <f t="shared" si="23"/>
        <v>0</v>
      </c>
      <c r="AL53" s="383">
        <f t="shared" si="23"/>
        <v>0</v>
      </c>
      <c r="AM53" s="383">
        <f t="shared" si="23"/>
        <v>0</v>
      </c>
      <c r="AN53" s="383">
        <f t="shared" si="23"/>
        <v>0</v>
      </c>
      <c r="AO53" s="383">
        <f t="shared" ref="AO53:AP53" si="24">IF(AO14 &gt; 0, AO14, AO42)</f>
        <v>0</v>
      </c>
      <c r="AP53" s="383">
        <f t="shared" si="24"/>
        <v>0</v>
      </c>
      <c r="AQ53" s="383">
        <f t="shared" ref="AQ53:AS53" si="25">IF(AQ14 &gt; 0, AQ14, AQ42)</f>
        <v>0</v>
      </c>
      <c r="AR53" s="383">
        <f t="shared" si="25"/>
        <v>0</v>
      </c>
      <c r="AS53" s="383">
        <f t="shared" si="25"/>
        <v>0</v>
      </c>
    </row>
    <row r="54" spans="1:45" ht="15" customHeight="1" x14ac:dyDescent="0.3">
      <c r="A54" s="392"/>
      <c r="B54" s="378"/>
      <c r="C54" s="379"/>
      <c r="D54" s="381"/>
      <c r="E54" s="381" t="s">
        <v>379</v>
      </c>
      <c r="F54" s="381"/>
      <c r="G54" s="381" t="s">
        <v>38</v>
      </c>
      <c r="H54" s="387"/>
      <c r="I54" s="387">
        <f t="shared" si="10"/>
        <v>50936.000000000015</v>
      </c>
      <c r="J54" s="34"/>
      <c r="K54" s="383">
        <f t="shared" ref="K54:O54" si="26">IF(K15 &gt; 0, K15, K43)</f>
        <v>0</v>
      </c>
      <c r="L54" s="383">
        <f t="shared" si="26"/>
        <v>0</v>
      </c>
      <c r="M54" s="383">
        <f t="shared" si="26"/>
        <v>0</v>
      </c>
      <c r="N54" s="383">
        <f t="shared" si="26"/>
        <v>0</v>
      </c>
      <c r="O54" s="383">
        <f t="shared" si="26"/>
        <v>0</v>
      </c>
      <c r="P54" s="383">
        <f t="shared" ref="P54:R54" si="27">IF(P15 &gt; 0, P15, P43)</f>
        <v>0</v>
      </c>
      <c r="Q54" s="383">
        <f t="shared" si="27"/>
        <v>0</v>
      </c>
      <c r="R54" s="383">
        <f t="shared" si="27"/>
        <v>0</v>
      </c>
      <c r="S54" s="383">
        <f t="shared" ref="S54:AN54" si="28">IF(S15 &gt; 0, S15, S43)</f>
        <v>0</v>
      </c>
      <c r="T54" s="383">
        <f t="shared" si="28"/>
        <v>0</v>
      </c>
      <c r="U54" s="383">
        <f t="shared" si="28"/>
        <v>0</v>
      </c>
      <c r="V54" s="383">
        <f t="shared" si="28"/>
        <v>5003</v>
      </c>
      <c r="W54" s="383">
        <f t="shared" si="28"/>
        <v>7379</v>
      </c>
      <c r="X54" s="383">
        <f t="shared" si="28"/>
        <v>5794</v>
      </c>
      <c r="Y54" s="383">
        <f t="shared" si="28"/>
        <v>1079</v>
      </c>
      <c r="Z54" s="383">
        <f t="shared" si="28"/>
        <v>12902</v>
      </c>
      <c r="AA54" s="383">
        <f t="shared" si="28"/>
        <v>8220</v>
      </c>
      <c r="AB54" s="383">
        <f t="shared" si="28"/>
        <v>1680</v>
      </c>
      <c r="AC54" s="383">
        <f t="shared" si="28"/>
        <v>1479.8333333333333</v>
      </c>
      <c r="AD54" s="383">
        <f t="shared" si="28"/>
        <v>1479.8333333333333</v>
      </c>
      <c r="AE54" s="383">
        <f t="shared" si="28"/>
        <v>1479.8333333333333</v>
      </c>
      <c r="AF54" s="383">
        <f t="shared" si="28"/>
        <v>1479.8333333333333</v>
      </c>
      <c r="AG54" s="383">
        <f t="shared" si="28"/>
        <v>1479.8333333333333</v>
      </c>
      <c r="AH54" s="383">
        <f t="shared" si="28"/>
        <v>1479.8333333333333</v>
      </c>
      <c r="AI54" s="383">
        <f t="shared" si="28"/>
        <v>0</v>
      </c>
      <c r="AJ54" s="383">
        <f t="shared" si="28"/>
        <v>0</v>
      </c>
      <c r="AK54" s="383">
        <f t="shared" si="28"/>
        <v>0</v>
      </c>
      <c r="AL54" s="383">
        <f t="shared" si="28"/>
        <v>0</v>
      </c>
      <c r="AM54" s="383">
        <f t="shared" si="28"/>
        <v>0</v>
      </c>
      <c r="AN54" s="383">
        <f t="shared" si="28"/>
        <v>0</v>
      </c>
      <c r="AO54" s="383">
        <f t="shared" ref="AO54:AP54" si="29">IF(AO15 &gt; 0, AO15, AO43)</f>
        <v>0</v>
      </c>
      <c r="AP54" s="383">
        <f t="shared" si="29"/>
        <v>0</v>
      </c>
      <c r="AQ54" s="383">
        <f t="shared" ref="AQ54:AS54" si="30">IF(AQ15 &gt; 0, AQ15, AQ43)</f>
        <v>0</v>
      </c>
      <c r="AR54" s="383">
        <f t="shared" si="30"/>
        <v>0</v>
      </c>
      <c r="AS54" s="383">
        <f t="shared" si="30"/>
        <v>0</v>
      </c>
    </row>
    <row r="55" spans="1:45" ht="15" customHeight="1" x14ac:dyDescent="0.3">
      <c r="A55" s="510"/>
      <c r="B55" s="511"/>
      <c r="C55" s="512"/>
      <c r="D55" s="513"/>
      <c r="E55" s="513" t="s">
        <v>413</v>
      </c>
      <c r="F55" s="513"/>
      <c r="G55" s="513" t="s">
        <v>38</v>
      </c>
      <c r="H55" s="514"/>
      <c r="I55" s="514">
        <f>SUM(K55:AS55)</f>
        <v>1768779</v>
      </c>
      <c r="J55" s="34"/>
      <c r="K55" s="515">
        <f t="shared" ref="K55:O55" si="31">SUM(K50:K54)</f>
        <v>0</v>
      </c>
      <c r="L55" s="515">
        <f t="shared" si="31"/>
        <v>0</v>
      </c>
      <c r="M55" s="515">
        <f t="shared" si="31"/>
        <v>0</v>
      </c>
      <c r="N55" s="515">
        <f t="shared" si="31"/>
        <v>0</v>
      </c>
      <c r="O55" s="515">
        <f t="shared" si="31"/>
        <v>0</v>
      </c>
      <c r="P55" s="515">
        <f t="shared" ref="P55:R55" si="32">SUM(P50:P54)</f>
        <v>0</v>
      </c>
      <c r="Q55" s="515">
        <f t="shared" si="32"/>
        <v>0</v>
      </c>
      <c r="R55" s="515">
        <f t="shared" si="32"/>
        <v>0</v>
      </c>
      <c r="S55" s="515">
        <f>SUM(S50:S54)</f>
        <v>0</v>
      </c>
      <c r="T55" s="515">
        <f t="shared" ref="T55:AN55" si="33">SUM(T50:T54)</f>
        <v>0</v>
      </c>
      <c r="U55" s="515">
        <f t="shared" si="33"/>
        <v>0</v>
      </c>
      <c r="V55" s="515">
        <f t="shared" si="33"/>
        <v>39692</v>
      </c>
      <c r="W55" s="515">
        <f t="shared" si="33"/>
        <v>111964</v>
      </c>
      <c r="X55" s="515">
        <f t="shared" si="33"/>
        <v>131252</v>
      </c>
      <c r="Y55" s="515">
        <f t="shared" si="33"/>
        <v>131248</v>
      </c>
      <c r="Z55" s="515">
        <f t="shared" si="33"/>
        <v>215795</v>
      </c>
      <c r="AA55" s="515">
        <f t="shared" si="33"/>
        <v>147094</v>
      </c>
      <c r="AB55" s="515">
        <f t="shared" si="33"/>
        <v>111453</v>
      </c>
      <c r="AC55" s="515">
        <f t="shared" si="33"/>
        <v>110250.49999999999</v>
      </c>
      <c r="AD55" s="515">
        <f t="shared" si="33"/>
        <v>110250.49999999999</v>
      </c>
      <c r="AE55" s="515">
        <f t="shared" si="33"/>
        <v>110250.49999999999</v>
      </c>
      <c r="AF55" s="515">
        <f t="shared" si="33"/>
        <v>110250.49999999999</v>
      </c>
      <c r="AG55" s="515">
        <f t="shared" si="33"/>
        <v>110250.49999999999</v>
      </c>
      <c r="AH55" s="515">
        <f t="shared" si="33"/>
        <v>110250.49999999999</v>
      </c>
      <c r="AI55" s="515">
        <f t="shared" si="33"/>
        <v>90641</v>
      </c>
      <c r="AJ55" s="515">
        <f t="shared" si="33"/>
        <v>90641</v>
      </c>
      <c r="AK55" s="515">
        <f t="shared" si="33"/>
        <v>37496</v>
      </c>
      <c r="AL55" s="515">
        <f t="shared" si="33"/>
        <v>0</v>
      </c>
      <c r="AM55" s="515">
        <f t="shared" si="33"/>
        <v>0</v>
      </c>
      <c r="AN55" s="515">
        <f t="shared" si="33"/>
        <v>0</v>
      </c>
      <c r="AO55" s="515">
        <f t="shared" ref="AO55:AP55" si="34">SUM(AO50:AO54)</f>
        <v>0</v>
      </c>
      <c r="AP55" s="515">
        <f t="shared" si="34"/>
        <v>0</v>
      </c>
      <c r="AQ55" s="515">
        <f t="shared" ref="AQ55:AS55" si="35">SUM(AQ50:AQ54)</f>
        <v>0</v>
      </c>
      <c r="AR55" s="515">
        <f t="shared" si="35"/>
        <v>0</v>
      </c>
      <c r="AS55" s="515">
        <f t="shared" si="35"/>
        <v>0</v>
      </c>
    </row>
    <row r="56" spans="1:45" ht="15" customHeight="1" x14ac:dyDescent="0.3">
      <c r="A56" s="309"/>
      <c r="B56" s="310"/>
      <c r="C56" s="311"/>
      <c r="D56" s="312"/>
      <c r="E56" s="313"/>
      <c r="F56" s="312"/>
      <c r="G56" s="312"/>
      <c r="H56" s="314"/>
      <c r="I56" s="314"/>
      <c r="J56" s="42"/>
      <c r="K56" s="299"/>
      <c r="L56" s="299"/>
      <c r="M56" s="299"/>
      <c r="N56" s="299"/>
      <c r="O56" s="299"/>
      <c r="P56" s="299"/>
      <c r="Q56" s="299"/>
      <c r="R56" s="299"/>
      <c r="S56" s="299"/>
      <c r="T56" s="299"/>
      <c r="U56" s="299"/>
      <c r="V56" s="299"/>
      <c r="W56" s="299"/>
      <c r="X56" s="299"/>
      <c r="Y56" s="299"/>
      <c r="Z56" s="299"/>
      <c r="AA56" s="299"/>
      <c r="AB56" s="299"/>
      <c r="AC56" s="299"/>
      <c r="AD56" s="299"/>
      <c r="AE56" s="299"/>
      <c r="AF56" s="299"/>
      <c r="AG56" s="299"/>
      <c r="AH56" s="299"/>
      <c r="AI56" s="299"/>
      <c r="AJ56" s="299"/>
      <c r="AK56" s="299"/>
      <c r="AL56" s="299"/>
      <c r="AM56" s="299"/>
      <c r="AN56" s="299"/>
      <c r="AO56" s="299"/>
      <c r="AP56" s="299"/>
      <c r="AQ56" s="299"/>
      <c r="AR56" s="299"/>
      <c r="AS56" s="299"/>
    </row>
    <row r="57" spans="1:45" ht="15" customHeight="1" x14ac:dyDescent="0.3">
      <c r="E57" s="290" t="s">
        <v>202</v>
      </c>
      <c r="G57" s="290" t="s">
        <v>160</v>
      </c>
      <c r="I57" s="291"/>
      <c r="J57" s="42"/>
      <c r="K57" s="290">
        <f t="shared" ref="K57:O57" si="36">(K55 &gt; 0) * 1</f>
        <v>0</v>
      </c>
      <c r="L57" s="290">
        <f t="shared" si="36"/>
        <v>0</v>
      </c>
      <c r="M57" s="290">
        <f t="shared" si="36"/>
        <v>0</v>
      </c>
      <c r="N57" s="290">
        <f t="shared" si="36"/>
        <v>0</v>
      </c>
      <c r="O57" s="290">
        <f t="shared" si="36"/>
        <v>0</v>
      </c>
      <c r="P57" s="290">
        <f t="shared" ref="P57:R57" si="37">(P55 &gt; 0) * 1</f>
        <v>0</v>
      </c>
      <c r="Q57" s="290">
        <f t="shared" si="37"/>
        <v>0</v>
      </c>
      <c r="R57" s="290">
        <f t="shared" si="37"/>
        <v>0</v>
      </c>
      <c r="S57" s="290">
        <f>(S55 &gt; 0) * 1</f>
        <v>0</v>
      </c>
      <c r="T57" s="290">
        <f t="shared" ref="T57:AP57" si="38">(T55 &gt; 0) * 1</f>
        <v>0</v>
      </c>
      <c r="U57" s="290">
        <f t="shared" si="38"/>
        <v>0</v>
      </c>
      <c r="V57" s="290">
        <f t="shared" si="38"/>
        <v>1</v>
      </c>
      <c r="W57" s="290">
        <f t="shared" si="38"/>
        <v>1</v>
      </c>
      <c r="X57" s="290">
        <f t="shared" si="38"/>
        <v>1</v>
      </c>
      <c r="Y57" s="290">
        <f t="shared" si="38"/>
        <v>1</v>
      </c>
      <c r="Z57" s="290">
        <f t="shared" si="38"/>
        <v>1</v>
      </c>
      <c r="AA57" s="290">
        <f t="shared" si="38"/>
        <v>1</v>
      </c>
      <c r="AB57" s="290">
        <f t="shared" si="38"/>
        <v>1</v>
      </c>
      <c r="AC57" s="290">
        <f t="shared" si="38"/>
        <v>1</v>
      </c>
      <c r="AD57" s="290">
        <f t="shared" si="38"/>
        <v>1</v>
      </c>
      <c r="AE57" s="290">
        <f t="shared" si="38"/>
        <v>1</v>
      </c>
      <c r="AF57" s="290">
        <f t="shared" si="38"/>
        <v>1</v>
      </c>
      <c r="AG57" s="290">
        <f t="shared" si="38"/>
        <v>1</v>
      </c>
      <c r="AH57" s="290">
        <f t="shared" si="38"/>
        <v>1</v>
      </c>
      <c r="AI57" s="290">
        <f t="shared" si="38"/>
        <v>1</v>
      </c>
      <c r="AJ57" s="290">
        <f t="shared" si="38"/>
        <v>1</v>
      </c>
      <c r="AK57" s="290">
        <f t="shared" si="38"/>
        <v>1</v>
      </c>
      <c r="AL57" s="290">
        <f t="shared" si="38"/>
        <v>0</v>
      </c>
      <c r="AM57" s="290">
        <f t="shared" si="38"/>
        <v>0</v>
      </c>
      <c r="AN57" s="290">
        <f t="shared" si="38"/>
        <v>0</v>
      </c>
      <c r="AO57" s="290">
        <f t="shared" si="38"/>
        <v>0</v>
      </c>
      <c r="AP57" s="290">
        <f t="shared" si="38"/>
        <v>0</v>
      </c>
      <c r="AQ57" s="290">
        <f t="shared" ref="AQ57:AS57" si="39">(AQ55 &gt; 0) * 1</f>
        <v>0</v>
      </c>
      <c r="AR57" s="290">
        <f t="shared" si="39"/>
        <v>0</v>
      </c>
      <c r="AS57" s="290">
        <f t="shared" si="39"/>
        <v>0</v>
      </c>
    </row>
    <row r="58" spans="1:45" ht="15" customHeight="1" x14ac:dyDescent="0.3">
      <c r="E58" s="290" t="s">
        <v>204</v>
      </c>
      <c r="G58" s="290" t="s">
        <v>124</v>
      </c>
      <c r="I58" s="291"/>
      <c r="J58" s="42"/>
      <c r="K58" s="290">
        <f>K57 + J58</f>
        <v>0</v>
      </c>
      <c r="L58" s="290">
        <f t="shared" ref="L58:AS58" si="40">L57 + K58</f>
        <v>0</v>
      </c>
      <c r="M58" s="290">
        <f t="shared" si="40"/>
        <v>0</v>
      </c>
      <c r="N58" s="290">
        <f t="shared" si="40"/>
        <v>0</v>
      </c>
      <c r="O58" s="290">
        <f t="shared" si="40"/>
        <v>0</v>
      </c>
      <c r="P58" s="290">
        <f t="shared" si="40"/>
        <v>0</v>
      </c>
      <c r="Q58" s="290">
        <f t="shared" si="40"/>
        <v>0</v>
      </c>
      <c r="R58" s="290">
        <f t="shared" si="40"/>
        <v>0</v>
      </c>
      <c r="S58" s="290">
        <f t="shared" si="40"/>
        <v>0</v>
      </c>
      <c r="T58" s="290">
        <f t="shared" si="40"/>
        <v>0</v>
      </c>
      <c r="U58" s="290">
        <f t="shared" si="40"/>
        <v>0</v>
      </c>
      <c r="V58" s="290">
        <f t="shared" si="40"/>
        <v>1</v>
      </c>
      <c r="W58" s="290">
        <f t="shared" si="40"/>
        <v>2</v>
      </c>
      <c r="X58" s="290">
        <f t="shared" si="40"/>
        <v>3</v>
      </c>
      <c r="Y58" s="290">
        <f t="shared" si="40"/>
        <v>4</v>
      </c>
      <c r="Z58" s="290">
        <f t="shared" si="40"/>
        <v>5</v>
      </c>
      <c r="AA58" s="290">
        <f t="shared" si="40"/>
        <v>6</v>
      </c>
      <c r="AB58" s="290">
        <f t="shared" si="40"/>
        <v>7</v>
      </c>
      <c r="AC58" s="290">
        <f t="shared" si="40"/>
        <v>8</v>
      </c>
      <c r="AD58" s="290">
        <f t="shared" si="40"/>
        <v>9</v>
      </c>
      <c r="AE58" s="290">
        <f t="shared" si="40"/>
        <v>10</v>
      </c>
      <c r="AF58" s="290">
        <f t="shared" si="40"/>
        <v>11</v>
      </c>
      <c r="AG58" s="290">
        <f t="shared" si="40"/>
        <v>12</v>
      </c>
      <c r="AH58" s="290">
        <f t="shared" si="40"/>
        <v>13</v>
      </c>
      <c r="AI58" s="290">
        <f t="shared" si="40"/>
        <v>14</v>
      </c>
      <c r="AJ58" s="290">
        <f t="shared" si="40"/>
        <v>15</v>
      </c>
      <c r="AK58" s="290">
        <f t="shared" si="40"/>
        <v>16</v>
      </c>
      <c r="AL58" s="290">
        <f t="shared" si="40"/>
        <v>16</v>
      </c>
      <c r="AM58" s="290">
        <f t="shared" si="40"/>
        <v>16</v>
      </c>
      <c r="AN58" s="290">
        <f t="shared" si="40"/>
        <v>16</v>
      </c>
      <c r="AO58" s="290">
        <f t="shared" si="40"/>
        <v>16</v>
      </c>
      <c r="AP58" s="290">
        <f t="shared" si="40"/>
        <v>16</v>
      </c>
      <c r="AQ58" s="290">
        <f t="shared" si="40"/>
        <v>16</v>
      </c>
      <c r="AR58" s="290">
        <f t="shared" si="40"/>
        <v>16</v>
      </c>
      <c r="AS58" s="290">
        <f t="shared" si="40"/>
        <v>16</v>
      </c>
    </row>
    <row r="59" spans="1:45" ht="15" customHeight="1" x14ac:dyDescent="0.3">
      <c r="A59" s="282"/>
      <c r="E59" s="293"/>
      <c r="G59" s="293"/>
      <c r="I59" s="291"/>
      <c r="J59" s="42"/>
      <c r="K59" s="299"/>
      <c r="L59" s="299"/>
      <c r="M59" s="299"/>
      <c r="N59" s="299"/>
      <c r="O59" s="299"/>
      <c r="P59" s="299"/>
      <c r="Q59" s="299"/>
      <c r="R59" s="299"/>
      <c r="S59" s="299"/>
      <c r="T59" s="299"/>
      <c r="U59" s="299"/>
      <c r="V59" s="299"/>
      <c r="W59" s="299"/>
      <c r="X59" s="299"/>
      <c r="Y59" s="299"/>
      <c r="Z59" s="299"/>
      <c r="AA59" s="299"/>
      <c r="AB59" s="299"/>
      <c r="AC59" s="299"/>
      <c r="AD59" s="299"/>
      <c r="AE59" s="299"/>
      <c r="AF59" s="299"/>
      <c r="AG59" s="299"/>
      <c r="AH59" s="299"/>
      <c r="AI59" s="299"/>
      <c r="AJ59" s="299"/>
      <c r="AK59" s="299"/>
      <c r="AL59" s="299"/>
      <c r="AM59" s="299"/>
      <c r="AN59" s="299"/>
      <c r="AO59" s="299"/>
      <c r="AP59" s="299"/>
      <c r="AQ59" s="299"/>
      <c r="AR59" s="299"/>
      <c r="AS59" s="299"/>
    </row>
    <row r="60" spans="1:45" ht="15" customHeight="1" x14ac:dyDescent="0.3">
      <c r="A60" s="392"/>
      <c r="B60" s="378"/>
      <c r="C60" s="379"/>
      <c r="D60" s="381"/>
      <c r="E60" s="381" t="s">
        <v>43</v>
      </c>
      <c r="F60" s="381"/>
      <c r="G60" s="381" t="s">
        <v>38</v>
      </c>
      <c r="H60" s="387"/>
      <c r="I60" s="387">
        <f>SUM(K60:AS60)</f>
        <v>22151</v>
      </c>
      <c r="J60" s="34"/>
      <c r="K60" s="383">
        <f t="shared" ref="K60:O60" si="41">IF(K17 &gt; 0, K17, K47)</f>
        <v>0</v>
      </c>
      <c r="L60" s="383">
        <f t="shared" si="41"/>
        <v>0</v>
      </c>
      <c r="M60" s="383">
        <f t="shared" si="41"/>
        <v>0</v>
      </c>
      <c r="N60" s="383">
        <f t="shared" si="41"/>
        <v>0</v>
      </c>
      <c r="O60" s="383">
        <f t="shared" si="41"/>
        <v>0</v>
      </c>
      <c r="P60" s="383">
        <f t="shared" ref="P60:R60" si="42">IF(P17 &gt; 0, P17, P47)</f>
        <v>0</v>
      </c>
      <c r="Q60" s="383">
        <f t="shared" si="42"/>
        <v>0</v>
      </c>
      <c r="R60" s="383">
        <f t="shared" si="42"/>
        <v>0</v>
      </c>
      <c r="S60" s="383">
        <f t="shared" ref="S60:AP60" si="43">IF(S17 &gt; 0, S17, S47)</f>
        <v>0</v>
      </c>
      <c r="T60" s="383">
        <f t="shared" si="43"/>
        <v>0</v>
      </c>
      <c r="U60" s="383">
        <f t="shared" si="43"/>
        <v>0</v>
      </c>
      <c r="V60" s="383">
        <f t="shared" si="43"/>
        <v>0</v>
      </c>
      <c r="W60" s="383">
        <f t="shared" si="43"/>
        <v>0</v>
      </c>
      <c r="X60" s="383">
        <f t="shared" si="43"/>
        <v>708.03</v>
      </c>
      <c r="Y60" s="383">
        <f t="shared" si="43"/>
        <v>1423.08</v>
      </c>
      <c r="Z60" s="383">
        <f t="shared" si="43"/>
        <v>1606.93</v>
      </c>
      <c r="AA60" s="383">
        <f t="shared" si="43"/>
        <v>2506.1799999999998</v>
      </c>
      <c r="AB60" s="383">
        <f t="shared" si="43"/>
        <v>1678.94</v>
      </c>
      <c r="AC60" s="383">
        <f t="shared" si="43"/>
        <v>1733.6771428571428</v>
      </c>
      <c r="AD60" s="383">
        <f t="shared" si="43"/>
        <v>1733.6771428571428</v>
      </c>
      <c r="AE60" s="383">
        <f t="shared" si="43"/>
        <v>1733.6771428571428</v>
      </c>
      <c r="AF60" s="383">
        <f t="shared" si="43"/>
        <v>1733.6771428571428</v>
      </c>
      <c r="AG60" s="383">
        <f t="shared" si="43"/>
        <v>1733.6771428571428</v>
      </c>
      <c r="AH60" s="383">
        <f t="shared" si="43"/>
        <v>1733.6771428571428</v>
      </c>
      <c r="AI60" s="383">
        <f t="shared" si="43"/>
        <v>1733.6771428571428</v>
      </c>
      <c r="AJ60" s="383">
        <f t="shared" si="43"/>
        <v>1479.91</v>
      </c>
      <c r="AK60" s="383">
        <f t="shared" si="43"/>
        <v>612.19000000000005</v>
      </c>
      <c r="AL60" s="383">
        <f t="shared" si="43"/>
        <v>0</v>
      </c>
      <c r="AM60" s="383">
        <f t="shared" si="43"/>
        <v>0</v>
      </c>
      <c r="AN60" s="383">
        <f t="shared" si="43"/>
        <v>0</v>
      </c>
      <c r="AO60" s="383">
        <f t="shared" si="43"/>
        <v>0</v>
      </c>
      <c r="AP60" s="383">
        <f t="shared" si="43"/>
        <v>0</v>
      </c>
      <c r="AQ60" s="383">
        <f t="shared" ref="AQ60:AS60" si="44">IF(AQ17 &gt; 0, AQ17, AQ47)</f>
        <v>0</v>
      </c>
      <c r="AR60" s="383">
        <f t="shared" si="44"/>
        <v>0</v>
      </c>
      <c r="AS60" s="383">
        <f t="shared" si="44"/>
        <v>0</v>
      </c>
    </row>
    <row r="61" spans="1:45" ht="15" customHeight="1" x14ac:dyDescent="0.3">
      <c r="A61" s="282"/>
      <c r="E61" s="293"/>
      <c r="G61" s="293"/>
      <c r="I61" s="291"/>
      <c r="J61" s="42"/>
      <c r="K61" s="299"/>
      <c r="L61" s="299"/>
      <c r="M61" s="299"/>
      <c r="N61" s="299"/>
      <c r="O61" s="299"/>
      <c r="P61" s="299"/>
      <c r="Q61" s="299"/>
      <c r="R61" s="299"/>
      <c r="S61" s="299"/>
      <c r="T61" s="299"/>
      <c r="U61" s="299"/>
      <c r="V61" s="299"/>
      <c r="W61" s="299"/>
      <c r="X61" s="299"/>
      <c r="Y61" s="299"/>
      <c r="Z61" s="299"/>
      <c r="AA61" s="299"/>
      <c r="AB61" s="299"/>
      <c r="AC61" s="299"/>
      <c r="AD61" s="299"/>
      <c r="AE61" s="299"/>
      <c r="AF61" s="299"/>
      <c r="AG61" s="299"/>
      <c r="AH61" s="299"/>
      <c r="AI61" s="299"/>
      <c r="AJ61" s="299"/>
      <c r="AK61" s="299"/>
      <c r="AL61" s="299"/>
      <c r="AM61" s="299"/>
      <c r="AN61" s="299"/>
      <c r="AO61" s="299"/>
      <c r="AP61" s="299"/>
      <c r="AQ61" s="299"/>
      <c r="AR61" s="299"/>
      <c r="AS61" s="299"/>
    </row>
    <row r="62" spans="1:45" ht="15" customHeight="1" x14ac:dyDescent="0.3">
      <c r="A62"/>
      <c r="B62" s="288" t="s">
        <v>380</v>
      </c>
      <c r="D62" s="292"/>
      <c r="E62" s="293"/>
      <c r="F62" s="293"/>
      <c r="G62" s="293"/>
      <c r="H62" s="315"/>
      <c r="I62" s="315"/>
      <c r="J62" s="42"/>
      <c r="K62" s="299"/>
      <c r="L62" s="299"/>
      <c r="M62" s="299"/>
      <c r="N62" s="299"/>
      <c r="O62" s="299"/>
      <c r="P62" s="299"/>
      <c r="Q62" s="299"/>
      <c r="R62" s="299"/>
      <c r="S62" s="299"/>
      <c r="T62" s="299"/>
      <c r="U62" s="299"/>
      <c r="V62" s="299"/>
      <c r="W62" s="299"/>
      <c r="X62" s="299"/>
      <c r="Y62" s="299"/>
      <c r="Z62" s="299"/>
      <c r="AA62" s="299"/>
      <c r="AB62" s="299"/>
      <c r="AC62" s="299"/>
      <c r="AD62" s="299"/>
      <c r="AE62" s="299"/>
      <c r="AF62" s="299"/>
      <c r="AG62" s="299"/>
      <c r="AH62" s="299"/>
      <c r="AI62" s="299"/>
      <c r="AJ62" s="299"/>
      <c r="AK62" s="299"/>
      <c r="AL62" s="299"/>
      <c r="AM62" s="299"/>
      <c r="AN62" s="299"/>
      <c r="AO62" s="299"/>
      <c r="AP62" s="299"/>
      <c r="AQ62" s="299"/>
      <c r="AR62" s="299"/>
      <c r="AS62" s="299"/>
    </row>
    <row r="63" spans="1:45" ht="15" customHeight="1" x14ac:dyDescent="0.3">
      <c r="A63"/>
      <c r="C63" s="289" t="s">
        <v>388</v>
      </c>
      <c r="D63" s="292"/>
      <c r="E63" s="293"/>
      <c r="F63" s="293"/>
      <c r="G63" s="293"/>
      <c r="H63" s="315"/>
      <c r="I63" s="315"/>
      <c r="J63" s="42"/>
      <c r="K63" s="299"/>
      <c r="L63" s="299"/>
      <c r="M63" s="299"/>
      <c r="N63" s="299"/>
      <c r="O63" s="299"/>
      <c r="P63" s="299"/>
      <c r="Q63" s="299"/>
      <c r="R63" s="299"/>
      <c r="S63" s="299"/>
      <c r="T63" s="299"/>
      <c r="U63" s="299"/>
      <c r="V63" s="74"/>
      <c r="W63" s="74"/>
      <c r="X63" s="74"/>
      <c r="Y63" s="74"/>
      <c r="Z63" s="74"/>
      <c r="AA63" s="74"/>
      <c r="AB63" s="74"/>
      <c r="AC63" s="74"/>
      <c r="AD63" s="74"/>
      <c r="AE63" s="74"/>
      <c r="AF63" s="74"/>
      <c r="AG63" s="74"/>
      <c r="AH63" s="74"/>
      <c r="AI63" s="74"/>
      <c r="AJ63" s="74"/>
      <c r="AK63" s="299"/>
      <c r="AL63" s="299"/>
      <c r="AM63" s="299"/>
      <c r="AN63" s="299"/>
      <c r="AO63" s="299"/>
      <c r="AP63" s="299"/>
      <c r="AQ63" s="299"/>
      <c r="AR63" s="299"/>
      <c r="AS63" s="299"/>
    </row>
    <row r="64" spans="1:45" ht="15" customHeight="1" x14ac:dyDescent="0.3">
      <c r="A64"/>
      <c r="D64" s="292"/>
      <c r="E64" s="362" t="str">
        <f xml:space="preserve"> 'Inputs_ FS'!E$28</f>
        <v>Copper price: FS</v>
      </c>
      <c r="F64" s="362">
        <f xml:space="preserve"> 'Inputs_ FS'!F$28</f>
        <v>0</v>
      </c>
      <c r="G64" s="362" t="str">
        <f xml:space="preserve"> 'Inputs_ FS'!G$28</f>
        <v>$ /tCu</v>
      </c>
      <c r="H64" s="362" t="str">
        <f xml:space="preserve"> 'Inputs_ FS'!H$28</f>
        <v>M</v>
      </c>
      <c r="I64" s="362">
        <f xml:space="preserve"> 'Inputs_ FS'!I$28</f>
        <v>0</v>
      </c>
      <c r="J64" s="362">
        <f xml:space="preserve"> 'Inputs_ FS'!J$28</f>
        <v>0</v>
      </c>
      <c r="K64" s="362">
        <f xml:space="preserve"> 'Inputs_ FS'!K$28</f>
        <v>0</v>
      </c>
      <c r="L64" s="362">
        <f xml:space="preserve"> 'Inputs_ FS'!L$28</f>
        <v>0</v>
      </c>
      <c r="M64" s="362">
        <f xml:space="preserve"> 'Inputs_ FS'!M$28</f>
        <v>0</v>
      </c>
      <c r="N64" s="362">
        <f xml:space="preserve"> 'Inputs_ FS'!N$28</f>
        <v>0</v>
      </c>
      <c r="O64" s="362">
        <f xml:space="preserve"> 'Inputs_ FS'!O$28</f>
        <v>0</v>
      </c>
      <c r="P64" s="362">
        <f xml:space="preserve"> 'Inputs_ FS'!P$28</f>
        <v>0</v>
      </c>
      <c r="Q64" s="362">
        <f xml:space="preserve"> 'Inputs_ FS'!Q$28</f>
        <v>0</v>
      </c>
      <c r="R64" s="362">
        <f xml:space="preserve"> 'Inputs_ FS'!R$28</f>
        <v>0</v>
      </c>
      <c r="S64" s="362">
        <f xml:space="preserve"> 'Inputs_ FS'!S$28</f>
        <v>0</v>
      </c>
      <c r="T64" s="362">
        <f xml:space="preserve"> 'Inputs_ FS'!T$28</f>
        <v>0</v>
      </c>
      <c r="U64" s="362">
        <f xml:space="preserve"> 'Inputs_ FS'!U$28</f>
        <v>0</v>
      </c>
      <c r="V64" s="362">
        <f xml:space="preserve"> 'Inputs_ FS'!V$28</f>
        <v>5370</v>
      </c>
      <c r="W64" s="362">
        <f xml:space="preserve"> 'Inputs_ FS'!W$28</f>
        <v>6009</v>
      </c>
      <c r="X64" s="362">
        <f xml:space="preserve"> 'Inputs_ FS'!X$28</f>
        <v>5535</v>
      </c>
      <c r="Y64" s="362">
        <f xml:space="preserve"> 'Inputs_ FS'!Y$28</f>
        <v>5998</v>
      </c>
      <c r="Z64" s="362">
        <f xml:space="preserve"> 'Inputs_ FS'!Z$28</f>
        <v>8360</v>
      </c>
      <c r="AA64" s="362">
        <f xml:space="preserve"> 'Inputs_ FS'!AA$28</f>
        <v>6819</v>
      </c>
      <c r="AB64" s="362">
        <f xml:space="preserve"> 'Inputs_ FS'!AB$28</f>
        <v>8000</v>
      </c>
      <c r="AC64" s="362">
        <f xml:space="preserve"> 'Inputs_ FS'!AC$28</f>
        <v>8000</v>
      </c>
      <c r="AD64" s="362">
        <f xml:space="preserve"> 'Inputs_ FS'!AD$28</f>
        <v>8000</v>
      </c>
      <c r="AE64" s="362">
        <f xml:space="preserve"> 'Inputs_ FS'!AE$28</f>
        <v>8000</v>
      </c>
      <c r="AF64" s="362">
        <f xml:space="preserve"> 'Inputs_ FS'!AF$28</f>
        <v>8000</v>
      </c>
      <c r="AG64" s="362">
        <f xml:space="preserve"> 'Inputs_ FS'!AG$28</f>
        <v>8000</v>
      </c>
      <c r="AH64" s="362">
        <f xml:space="preserve"> 'Inputs_ FS'!AH$28</f>
        <v>8000</v>
      </c>
      <c r="AI64" s="362">
        <f xml:space="preserve"> 'Inputs_ FS'!AI$28</f>
        <v>8000</v>
      </c>
      <c r="AJ64" s="362">
        <f xml:space="preserve"> 'Inputs_ FS'!AJ$28</f>
        <v>8000</v>
      </c>
      <c r="AK64" s="362">
        <f xml:space="preserve"> 'Inputs_ FS'!AK$28</f>
        <v>8000</v>
      </c>
      <c r="AL64" s="362">
        <f xml:space="preserve"> 'Inputs_ FS'!AL$28</f>
        <v>0</v>
      </c>
      <c r="AM64" s="362">
        <f xml:space="preserve"> 'Inputs_ FS'!AM$28</f>
        <v>0</v>
      </c>
      <c r="AN64" s="362">
        <f xml:space="preserve"> 'Inputs_ FS'!AN$28</f>
        <v>0</v>
      </c>
      <c r="AO64" s="362">
        <f xml:space="preserve"> 'Inputs_ FS'!AO$28</f>
        <v>0</v>
      </c>
      <c r="AP64" s="362">
        <f xml:space="preserve"> 'Inputs_ FS'!AP$28</f>
        <v>0</v>
      </c>
      <c r="AQ64" s="362">
        <f xml:space="preserve"> 'Inputs_ FS'!AQ$28</f>
        <v>0</v>
      </c>
      <c r="AR64" s="362">
        <f xml:space="preserve"> 'Inputs_ FS'!AR$28</f>
        <v>0</v>
      </c>
      <c r="AS64" s="362">
        <f xml:space="preserve"> 'Inputs_ FS'!AS$28</f>
        <v>0</v>
      </c>
    </row>
    <row r="65" spans="1:45" ht="15" customHeight="1" x14ac:dyDescent="0.3">
      <c r="A65"/>
      <c r="D65" s="292"/>
      <c r="E65" s="362" t="str">
        <f xml:space="preserve"> 'Inputs_ FS'!E$29</f>
        <v>Copper cathode price</v>
      </c>
      <c r="F65" s="362">
        <f xml:space="preserve"> 'Inputs_ FS'!F$29</f>
        <v>0</v>
      </c>
      <c r="G65" s="362" t="str">
        <f xml:space="preserve"> 'Inputs_ FS'!G$29</f>
        <v>$ /tCu</v>
      </c>
      <c r="H65" s="362" t="str">
        <f xml:space="preserve"> 'Inputs_ FS'!H$29</f>
        <v>M</v>
      </c>
      <c r="I65" s="362">
        <f xml:space="preserve"> 'Inputs_ FS'!I$29</f>
        <v>0</v>
      </c>
      <c r="J65" s="362">
        <f xml:space="preserve"> 'Inputs_ FS'!J$29</f>
        <v>0</v>
      </c>
      <c r="K65" s="362">
        <f xml:space="preserve"> 'Inputs_ FS'!K$29</f>
        <v>0</v>
      </c>
      <c r="L65" s="362">
        <f xml:space="preserve"> 'Inputs_ FS'!L$29</f>
        <v>0</v>
      </c>
      <c r="M65" s="362">
        <f xml:space="preserve"> 'Inputs_ FS'!M$29</f>
        <v>0</v>
      </c>
      <c r="N65" s="362">
        <f xml:space="preserve"> 'Inputs_ FS'!N$29</f>
        <v>0</v>
      </c>
      <c r="O65" s="362">
        <f xml:space="preserve"> 'Inputs_ FS'!O$29</f>
        <v>0</v>
      </c>
      <c r="P65" s="362">
        <f xml:space="preserve"> 'Inputs_ FS'!P$29</f>
        <v>0</v>
      </c>
      <c r="Q65" s="362">
        <f xml:space="preserve"> 'Inputs_ FS'!Q$29</f>
        <v>0</v>
      </c>
      <c r="R65" s="362">
        <f xml:space="preserve"> 'Inputs_ FS'!R$29</f>
        <v>0</v>
      </c>
      <c r="S65" s="362">
        <f xml:space="preserve"> 'Inputs_ FS'!S$29</f>
        <v>0</v>
      </c>
      <c r="T65" s="362">
        <f xml:space="preserve"> 'Inputs_ FS'!T$29</f>
        <v>0</v>
      </c>
      <c r="U65" s="362">
        <f xml:space="preserve"> 'Inputs_ FS'!U$29</f>
        <v>0</v>
      </c>
      <c r="V65" s="362">
        <f xml:space="preserve"> 'Inputs_ FS'!V$29</f>
        <v>0</v>
      </c>
      <c r="W65" s="362">
        <f xml:space="preserve"> 'Inputs_ FS'!W$29</f>
        <v>0</v>
      </c>
      <c r="X65" s="362">
        <f xml:space="preserve"> 'Inputs_ FS'!X$29</f>
        <v>5535</v>
      </c>
      <c r="Y65" s="362">
        <f xml:space="preserve"> 'Inputs_ FS'!Y$29</f>
        <v>5998</v>
      </c>
      <c r="Z65" s="362">
        <f xml:space="preserve"> 'Inputs_ FS'!Z$29</f>
        <v>8360</v>
      </c>
      <c r="AA65" s="362">
        <f xml:space="preserve"> 'Inputs_ FS'!AA$29</f>
        <v>6819</v>
      </c>
      <c r="AB65" s="362">
        <f xml:space="preserve"> 'Inputs_ FS'!AB$29</f>
        <v>8000</v>
      </c>
      <c r="AC65" s="362">
        <f xml:space="preserve"> 'Inputs_ FS'!AC$29</f>
        <v>8000</v>
      </c>
      <c r="AD65" s="362">
        <f xml:space="preserve"> 'Inputs_ FS'!AD$29</f>
        <v>8000</v>
      </c>
      <c r="AE65" s="362">
        <f xml:space="preserve"> 'Inputs_ FS'!AE$29</f>
        <v>8000</v>
      </c>
      <c r="AF65" s="362">
        <f xml:space="preserve"> 'Inputs_ FS'!AF$29</f>
        <v>8000</v>
      </c>
      <c r="AG65" s="362">
        <f xml:space="preserve"> 'Inputs_ FS'!AG$29</f>
        <v>8000</v>
      </c>
      <c r="AH65" s="362">
        <f xml:space="preserve"> 'Inputs_ FS'!AH$29</f>
        <v>8000</v>
      </c>
      <c r="AI65" s="362">
        <f xml:space="preserve"> 'Inputs_ FS'!AI$29</f>
        <v>8000</v>
      </c>
      <c r="AJ65" s="362">
        <f xml:space="preserve"> 'Inputs_ FS'!AJ$29</f>
        <v>8000</v>
      </c>
      <c r="AK65" s="362">
        <f xml:space="preserve"> 'Inputs_ FS'!AK$29</f>
        <v>8000</v>
      </c>
      <c r="AL65" s="362">
        <f xml:space="preserve"> 'Inputs_ FS'!AL$29</f>
        <v>0</v>
      </c>
      <c r="AM65" s="362">
        <f xml:space="preserve"> 'Inputs_ FS'!AM$29</f>
        <v>0</v>
      </c>
      <c r="AN65" s="362">
        <f xml:space="preserve"> 'Inputs_ FS'!AN$29</f>
        <v>0</v>
      </c>
      <c r="AO65" s="362">
        <f xml:space="preserve"> 'Inputs_ FS'!AO$29</f>
        <v>0</v>
      </c>
      <c r="AP65" s="362">
        <f xml:space="preserve"> 'Inputs_ FS'!AP$29</f>
        <v>0</v>
      </c>
      <c r="AQ65" s="362">
        <f xml:space="preserve"> 'Inputs_ FS'!AQ$29</f>
        <v>0</v>
      </c>
      <c r="AR65" s="362">
        <f xml:space="preserve"> 'Inputs_ FS'!AR$29</f>
        <v>0</v>
      </c>
      <c r="AS65" s="362">
        <f xml:space="preserve"> 'Inputs_ FS'!AS$29</f>
        <v>0</v>
      </c>
    </row>
    <row r="66" spans="1:45" ht="15" customHeight="1" x14ac:dyDescent="0.3">
      <c r="A66"/>
      <c r="D66" s="292"/>
      <c r="E66" s="362" t="str">
        <f xml:space="preserve"> 'Inputs_ FS'!E$30</f>
        <v>Blister copper price</v>
      </c>
      <c r="F66" s="362">
        <f xml:space="preserve"> 'Inputs_ FS'!F$30</f>
        <v>0</v>
      </c>
      <c r="G66" s="362" t="str">
        <f xml:space="preserve"> 'Inputs_ FS'!G$30</f>
        <v>$ /tCu</v>
      </c>
      <c r="H66" s="362" t="str">
        <f xml:space="preserve"> 'Inputs_ FS'!H$30</f>
        <v>M</v>
      </c>
      <c r="I66" s="362">
        <f xml:space="preserve"> 'Inputs_ FS'!I$30</f>
        <v>0</v>
      </c>
      <c r="J66" s="362">
        <f xml:space="preserve"> 'Inputs_ FS'!J$30</f>
        <v>0</v>
      </c>
      <c r="K66" s="362">
        <f xml:space="preserve"> 'Inputs_ FS'!K$30</f>
        <v>0</v>
      </c>
      <c r="L66" s="362">
        <f xml:space="preserve"> 'Inputs_ FS'!L$30</f>
        <v>0</v>
      </c>
      <c r="M66" s="362">
        <f xml:space="preserve"> 'Inputs_ FS'!M$30</f>
        <v>0</v>
      </c>
      <c r="N66" s="362">
        <f xml:space="preserve"> 'Inputs_ FS'!N$30</f>
        <v>0</v>
      </c>
      <c r="O66" s="362">
        <f xml:space="preserve"> 'Inputs_ FS'!O$30</f>
        <v>0</v>
      </c>
      <c r="P66" s="362">
        <f xml:space="preserve"> 'Inputs_ FS'!P$30</f>
        <v>0</v>
      </c>
      <c r="Q66" s="362">
        <f xml:space="preserve"> 'Inputs_ FS'!Q$30</f>
        <v>0</v>
      </c>
      <c r="R66" s="362">
        <f xml:space="preserve"> 'Inputs_ FS'!R$30</f>
        <v>0</v>
      </c>
      <c r="S66" s="362">
        <f xml:space="preserve"> 'Inputs_ FS'!S$30</f>
        <v>0</v>
      </c>
      <c r="T66" s="362">
        <f xml:space="preserve"> 'Inputs_ FS'!T$30</f>
        <v>0</v>
      </c>
      <c r="U66" s="362">
        <f xml:space="preserve"> 'Inputs_ FS'!U$30</f>
        <v>0</v>
      </c>
      <c r="V66" s="362">
        <f xml:space="preserve"> 'Inputs_ FS'!V$30</f>
        <v>5354</v>
      </c>
      <c r="W66" s="362">
        <f xml:space="preserve"> 'Inputs_ FS'!W$30</f>
        <v>5991</v>
      </c>
      <c r="X66" s="362">
        <f xml:space="preserve"> 'Inputs_ FS'!X$30</f>
        <v>5519</v>
      </c>
      <c r="Y66" s="362">
        <f xml:space="preserve"> 'Inputs_ FS'!Y$30</f>
        <v>5980</v>
      </c>
      <c r="Z66" s="362">
        <f xml:space="preserve"> 'Inputs_ FS'!Z$30</f>
        <v>8335</v>
      </c>
      <c r="AA66" s="362">
        <f xml:space="preserve"> 'Inputs_ FS'!AA$30</f>
        <v>6798</v>
      </c>
      <c r="AB66" s="362">
        <f xml:space="preserve"> 'Inputs_ FS'!AB$30</f>
        <v>7976</v>
      </c>
      <c r="AC66" s="362">
        <f xml:space="preserve"> 'Inputs_ FS'!AC$30</f>
        <v>7976</v>
      </c>
      <c r="AD66" s="362">
        <f xml:space="preserve"> 'Inputs_ FS'!AD$30</f>
        <v>7976</v>
      </c>
      <c r="AE66" s="362">
        <f xml:space="preserve"> 'Inputs_ FS'!AE$30</f>
        <v>7976</v>
      </c>
      <c r="AF66" s="362">
        <f xml:space="preserve"> 'Inputs_ FS'!AF$30</f>
        <v>7976</v>
      </c>
      <c r="AG66" s="362">
        <f xml:space="preserve"> 'Inputs_ FS'!AG$30</f>
        <v>7976</v>
      </c>
      <c r="AH66" s="362">
        <f xml:space="preserve"> 'Inputs_ FS'!AH$30</f>
        <v>7976</v>
      </c>
      <c r="AI66" s="362">
        <f xml:space="preserve"> 'Inputs_ FS'!AI$30</f>
        <v>7976</v>
      </c>
      <c r="AJ66" s="362">
        <f xml:space="preserve"> 'Inputs_ FS'!AJ$30</f>
        <v>7976</v>
      </c>
      <c r="AK66" s="362">
        <f xml:space="preserve"> 'Inputs_ FS'!AK$30</f>
        <v>7976</v>
      </c>
      <c r="AL66" s="362">
        <f xml:space="preserve"> 'Inputs_ FS'!AL$30</f>
        <v>0</v>
      </c>
      <c r="AM66" s="362">
        <f xml:space="preserve"> 'Inputs_ FS'!AM$30</f>
        <v>0</v>
      </c>
      <c r="AN66" s="362">
        <f xml:space="preserve"> 'Inputs_ FS'!AN$30</f>
        <v>0</v>
      </c>
      <c r="AO66" s="362">
        <f xml:space="preserve"> 'Inputs_ FS'!AO$30</f>
        <v>0</v>
      </c>
      <c r="AP66" s="362">
        <f xml:space="preserve"> 'Inputs_ FS'!AP$30</f>
        <v>0</v>
      </c>
      <c r="AQ66" s="362">
        <f xml:space="preserve"> 'Inputs_ FS'!AQ$30</f>
        <v>0</v>
      </c>
      <c r="AR66" s="362">
        <f xml:space="preserve"> 'Inputs_ FS'!AR$30</f>
        <v>0</v>
      </c>
      <c r="AS66" s="362">
        <f xml:space="preserve"> 'Inputs_ FS'!AS$30</f>
        <v>0</v>
      </c>
    </row>
    <row r="67" spans="1:45" ht="15" customHeight="1" x14ac:dyDescent="0.3">
      <c r="A67"/>
      <c r="D67" s="292"/>
      <c r="E67" s="362" t="str">
        <f xml:space="preserve"> 'Inputs_ FS'!E$31</f>
        <v>Copper matt price</v>
      </c>
      <c r="F67" s="362">
        <f xml:space="preserve"> 'Inputs_ FS'!F$31</f>
        <v>0</v>
      </c>
      <c r="G67" s="362" t="str">
        <f xml:space="preserve"> 'Inputs_ FS'!G$31</f>
        <v>$ /tCu</v>
      </c>
      <c r="H67" s="362" t="str">
        <f xml:space="preserve"> 'Inputs_ FS'!H$31</f>
        <v>M</v>
      </c>
      <c r="I67" s="362">
        <f xml:space="preserve"> 'Inputs_ FS'!I$31</f>
        <v>0</v>
      </c>
      <c r="J67" s="362">
        <f xml:space="preserve"> 'Inputs_ FS'!J$31</f>
        <v>0</v>
      </c>
      <c r="K67" s="362">
        <f xml:space="preserve"> 'Inputs_ FS'!K$31</f>
        <v>0</v>
      </c>
      <c r="L67" s="362">
        <f xml:space="preserve"> 'Inputs_ FS'!L$31</f>
        <v>0</v>
      </c>
      <c r="M67" s="362">
        <f xml:space="preserve"> 'Inputs_ FS'!M$31</f>
        <v>0</v>
      </c>
      <c r="N67" s="362">
        <f xml:space="preserve"> 'Inputs_ FS'!N$31</f>
        <v>0</v>
      </c>
      <c r="O67" s="362">
        <f xml:space="preserve"> 'Inputs_ FS'!O$31</f>
        <v>0</v>
      </c>
      <c r="P67" s="362">
        <f xml:space="preserve"> 'Inputs_ FS'!P$31</f>
        <v>0</v>
      </c>
      <c r="Q67" s="362">
        <f xml:space="preserve"> 'Inputs_ FS'!Q$31</f>
        <v>0</v>
      </c>
      <c r="R67" s="362">
        <f xml:space="preserve"> 'Inputs_ FS'!R$31</f>
        <v>0</v>
      </c>
      <c r="S67" s="362">
        <f xml:space="preserve"> 'Inputs_ FS'!S$31</f>
        <v>0</v>
      </c>
      <c r="T67" s="362">
        <f xml:space="preserve"> 'Inputs_ FS'!T$31</f>
        <v>0</v>
      </c>
      <c r="U67" s="362">
        <f xml:space="preserve"> 'Inputs_ FS'!U$31</f>
        <v>0</v>
      </c>
      <c r="V67" s="362">
        <f xml:space="preserve"> 'Inputs_ FS'!V$31</f>
        <v>4296</v>
      </c>
      <c r="W67" s="362">
        <f xml:space="preserve"> 'Inputs_ FS'!W$31</f>
        <v>4807</v>
      </c>
      <c r="X67" s="362">
        <f xml:space="preserve"> 'Inputs_ FS'!X$31</f>
        <v>4428</v>
      </c>
      <c r="Y67" s="362">
        <f xml:space="preserve"> 'Inputs_ FS'!Y$31</f>
        <v>4799</v>
      </c>
      <c r="Z67" s="362">
        <f xml:space="preserve"> 'Inputs_ FS'!Z$31</f>
        <v>6688</v>
      </c>
      <c r="AA67" s="362">
        <f xml:space="preserve"> 'Inputs_ FS'!AA$31</f>
        <v>5455</v>
      </c>
      <c r="AB67" s="362">
        <f xml:space="preserve"> 'Inputs_ FS'!AB$31</f>
        <v>6400</v>
      </c>
      <c r="AC67" s="362">
        <f xml:space="preserve"> 'Inputs_ FS'!AC$31</f>
        <v>6400</v>
      </c>
      <c r="AD67" s="362">
        <f xml:space="preserve"> 'Inputs_ FS'!AD$31</f>
        <v>6400</v>
      </c>
      <c r="AE67" s="362">
        <f xml:space="preserve"> 'Inputs_ FS'!AE$31</f>
        <v>6400</v>
      </c>
      <c r="AF67" s="362">
        <f xml:space="preserve"> 'Inputs_ FS'!AF$31</f>
        <v>6400</v>
      </c>
      <c r="AG67" s="362">
        <f xml:space="preserve"> 'Inputs_ FS'!AG$31</f>
        <v>6400</v>
      </c>
      <c r="AH67" s="362">
        <f xml:space="preserve"> 'Inputs_ FS'!AH$31</f>
        <v>6400</v>
      </c>
      <c r="AI67" s="362">
        <f xml:space="preserve"> 'Inputs_ FS'!AI$31</f>
        <v>6400</v>
      </c>
      <c r="AJ67" s="362">
        <f xml:space="preserve"> 'Inputs_ FS'!AJ$31</f>
        <v>6400</v>
      </c>
      <c r="AK67" s="362">
        <f xml:space="preserve"> 'Inputs_ FS'!AK$31</f>
        <v>6400</v>
      </c>
      <c r="AL67" s="362">
        <f xml:space="preserve"> 'Inputs_ FS'!AL$31</f>
        <v>0</v>
      </c>
      <c r="AM67" s="362">
        <f xml:space="preserve"> 'Inputs_ FS'!AM$31</f>
        <v>0</v>
      </c>
      <c r="AN67" s="362">
        <f xml:space="preserve"> 'Inputs_ FS'!AN$31</f>
        <v>0</v>
      </c>
      <c r="AO67" s="362">
        <f xml:space="preserve"> 'Inputs_ FS'!AO$31</f>
        <v>0</v>
      </c>
      <c r="AP67" s="362">
        <f xml:space="preserve"> 'Inputs_ FS'!AP$31</f>
        <v>0</v>
      </c>
      <c r="AQ67" s="362">
        <f xml:space="preserve"> 'Inputs_ FS'!AQ$31</f>
        <v>0</v>
      </c>
      <c r="AR67" s="362">
        <f xml:space="preserve"> 'Inputs_ FS'!AR$31</f>
        <v>0</v>
      </c>
      <c r="AS67" s="362">
        <f xml:space="preserve"> 'Inputs_ FS'!AS$31</f>
        <v>0</v>
      </c>
    </row>
    <row r="68" spans="1:45" ht="15" customHeight="1" x14ac:dyDescent="0.3">
      <c r="A68"/>
      <c r="D68" s="292"/>
      <c r="E68" s="362" t="str">
        <f xml:space="preserve"> 'Inputs_ FS'!E$32</f>
        <v>Copper sulfide concentrates price</v>
      </c>
      <c r="F68" s="362">
        <f xml:space="preserve"> 'Inputs_ FS'!F$32</f>
        <v>0</v>
      </c>
      <c r="G68" s="362" t="str">
        <f xml:space="preserve"> 'Inputs_ FS'!G$32</f>
        <v>$ /tCu</v>
      </c>
      <c r="H68" s="362" t="str">
        <f xml:space="preserve"> 'Inputs_ FS'!H$32</f>
        <v>M</v>
      </c>
      <c r="I68" s="362">
        <f xml:space="preserve"> 'Inputs_ FS'!I$32</f>
        <v>0</v>
      </c>
      <c r="J68" s="362">
        <f xml:space="preserve"> 'Inputs_ FS'!J$32</f>
        <v>0</v>
      </c>
      <c r="K68" s="362">
        <f xml:space="preserve"> 'Inputs_ FS'!K$32</f>
        <v>0</v>
      </c>
      <c r="L68" s="362">
        <f xml:space="preserve"> 'Inputs_ FS'!L$32</f>
        <v>0</v>
      </c>
      <c r="M68" s="362">
        <f xml:space="preserve"> 'Inputs_ FS'!M$32</f>
        <v>0</v>
      </c>
      <c r="N68" s="362">
        <f xml:space="preserve"> 'Inputs_ FS'!N$32</f>
        <v>0</v>
      </c>
      <c r="O68" s="362">
        <f xml:space="preserve"> 'Inputs_ FS'!O$32</f>
        <v>0</v>
      </c>
      <c r="P68" s="362">
        <f xml:space="preserve"> 'Inputs_ FS'!P$32</f>
        <v>0</v>
      </c>
      <c r="Q68" s="362">
        <f xml:space="preserve"> 'Inputs_ FS'!Q$32</f>
        <v>0</v>
      </c>
      <c r="R68" s="362">
        <f xml:space="preserve"> 'Inputs_ FS'!R$32</f>
        <v>0</v>
      </c>
      <c r="S68" s="362">
        <f xml:space="preserve"> 'Inputs_ FS'!S$32</f>
        <v>0</v>
      </c>
      <c r="T68" s="362">
        <f xml:space="preserve"> 'Inputs_ FS'!T$32</f>
        <v>0</v>
      </c>
      <c r="U68" s="362">
        <f xml:space="preserve"> 'Inputs_ FS'!U$32</f>
        <v>0</v>
      </c>
      <c r="V68" s="362">
        <f xml:space="preserve"> 'Inputs_ FS'!V$32</f>
        <v>1123</v>
      </c>
      <c r="W68" s="362">
        <f xml:space="preserve"> 'Inputs_ FS'!W$32</f>
        <v>833</v>
      </c>
      <c r="X68" s="362">
        <f xml:space="preserve"> 'Inputs_ FS'!X$32</f>
        <v>815</v>
      </c>
      <c r="Y68" s="362">
        <f xml:space="preserve"> 'Inputs_ FS'!Y$32</f>
        <v>2096</v>
      </c>
      <c r="Z68" s="362">
        <f xml:space="preserve"> 'Inputs_ FS'!Z$32</f>
        <v>2447</v>
      </c>
      <c r="AA68" s="362">
        <f xml:space="preserve"> 'Inputs_ FS'!AA$32</f>
        <v>6001</v>
      </c>
      <c r="AB68" s="362">
        <f xml:space="preserve"> 'Inputs_ FS'!AB$32</f>
        <v>7040</v>
      </c>
      <c r="AC68" s="362">
        <f xml:space="preserve"> 'Inputs_ FS'!AC$32</f>
        <v>7040</v>
      </c>
      <c r="AD68" s="362">
        <f xml:space="preserve"> 'Inputs_ FS'!AD$32</f>
        <v>7040</v>
      </c>
      <c r="AE68" s="362">
        <f xml:space="preserve"> 'Inputs_ FS'!AE$32</f>
        <v>7040</v>
      </c>
      <c r="AF68" s="362">
        <f xml:space="preserve"> 'Inputs_ FS'!AF$32</f>
        <v>7040</v>
      </c>
      <c r="AG68" s="362">
        <f xml:space="preserve"> 'Inputs_ FS'!AG$32</f>
        <v>7040</v>
      </c>
      <c r="AH68" s="362">
        <f xml:space="preserve"> 'Inputs_ FS'!AH$32</f>
        <v>7040</v>
      </c>
      <c r="AI68" s="362">
        <f xml:space="preserve"> 'Inputs_ FS'!AI$32</f>
        <v>7040</v>
      </c>
      <c r="AJ68" s="362">
        <f xml:space="preserve"> 'Inputs_ FS'!AJ$32</f>
        <v>7040</v>
      </c>
      <c r="AK68" s="362">
        <f xml:space="preserve"> 'Inputs_ FS'!AK$32</f>
        <v>7040</v>
      </c>
      <c r="AL68" s="362">
        <f xml:space="preserve"> 'Inputs_ FS'!AL$32</f>
        <v>0</v>
      </c>
      <c r="AM68" s="362">
        <f xml:space="preserve"> 'Inputs_ FS'!AM$32</f>
        <v>0</v>
      </c>
      <c r="AN68" s="362">
        <f xml:space="preserve"> 'Inputs_ FS'!AN$32</f>
        <v>0</v>
      </c>
      <c r="AO68" s="362">
        <f xml:space="preserve"> 'Inputs_ FS'!AO$32</f>
        <v>0</v>
      </c>
      <c r="AP68" s="362">
        <f xml:space="preserve"> 'Inputs_ FS'!AP$32</f>
        <v>0</v>
      </c>
      <c r="AQ68" s="362">
        <f xml:space="preserve"> 'Inputs_ FS'!AQ$32</f>
        <v>0</v>
      </c>
      <c r="AR68" s="362">
        <f xml:space="preserve"> 'Inputs_ FS'!AR$32</f>
        <v>0</v>
      </c>
      <c r="AS68" s="362">
        <f xml:space="preserve"> 'Inputs_ FS'!AS$32</f>
        <v>0</v>
      </c>
    </row>
    <row r="69" spans="1:45" ht="15" customHeight="1" x14ac:dyDescent="0.3">
      <c r="A69"/>
      <c r="D69" s="292"/>
      <c r="E69" s="362" t="str">
        <f xml:space="preserve"> 'Inputs_ FS'!E$33</f>
        <v>Copper oxide concentrates price</v>
      </c>
      <c r="F69" s="362">
        <f xml:space="preserve"> 'Inputs_ FS'!F$33</f>
        <v>0</v>
      </c>
      <c r="G69" s="362" t="str">
        <f xml:space="preserve"> 'Inputs_ FS'!G$33</f>
        <v>$ /tCu</v>
      </c>
      <c r="H69" s="362" t="str">
        <f xml:space="preserve"> 'Inputs_ FS'!H$33</f>
        <v>M</v>
      </c>
      <c r="I69" s="362">
        <f xml:space="preserve"> 'Inputs_ FS'!I$33</f>
        <v>0</v>
      </c>
      <c r="J69" s="362">
        <f xml:space="preserve"> 'Inputs_ FS'!J$33</f>
        <v>0</v>
      </c>
      <c r="K69" s="362">
        <f xml:space="preserve"> 'Inputs_ FS'!K$33</f>
        <v>0</v>
      </c>
      <c r="L69" s="362">
        <f xml:space="preserve"> 'Inputs_ FS'!L$33</f>
        <v>0</v>
      </c>
      <c r="M69" s="362">
        <f xml:space="preserve"> 'Inputs_ FS'!M$33</f>
        <v>0</v>
      </c>
      <c r="N69" s="362">
        <f xml:space="preserve"> 'Inputs_ FS'!N$33</f>
        <v>0</v>
      </c>
      <c r="O69" s="362">
        <f xml:space="preserve"> 'Inputs_ FS'!O$33</f>
        <v>0</v>
      </c>
      <c r="P69" s="362">
        <f xml:space="preserve"> 'Inputs_ FS'!P$33</f>
        <v>0</v>
      </c>
      <c r="Q69" s="362">
        <f xml:space="preserve"> 'Inputs_ FS'!Q$33</f>
        <v>0</v>
      </c>
      <c r="R69" s="362">
        <f xml:space="preserve"> 'Inputs_ FS'!R$33</f>
        <v>0</v>
      </c>
      <c r="S69" s="362">
        <f xml:space="preserve"> 'Inputs_ FS'!S$33</f>
        <v>0</v>
      </c>
      <c r="T69" s="362">
        <f xml:space="preserve"> 'Inputs_ FS'!T$33</f>
        <v>0</v>
      </c>
      <c r="U69" s="362">
        <f xml:space="preserve"> 'Inputs_ FS'!U$33</f>
        <v>0</v>
      </c>
      <c r="V69" s="362">
        <f xml:space="preserve"> 'Inputs_ FS'!V$33</f>
        <v>2685</v>
      </c>
      <c r="W69" s="362">
        <f xml:space="preserve"> 'Inputs_ FS'!W$33</f>
        <v>3005</v>
      </c>
      <c r="X69" s="362">
        <f xml:space="preserve"> 'Inputs_ FS'!X$33</f>
        <v>2768</v>
      </c>
      <c r="Y69" s="362">
        <f xml:space="preserve"> 'Inputs_ FS'!Y$33</f>
        <v>2999</v>
      </c>
      <c r="Z69" s="362">
        <f xml:space="preserve"> 'Inputs_ FS'!Z$33</f>
        <v>4180</v>
      </c>
      <c r="AA69" s="362">
        <f xml:space="preserve"> 'Inputs_ FS'!AA$33</f>
        <v>3409</v>
      </c>
      <c r="AB69" s="362">
        <f xml:space="preserve"> 'Inputs_ FS'!AB$33</f>
        <v>4000</v>
      </c>
      <c r="AC69" s="362">
        <f xml:space="preserve"> 'Inputs_ FS'!AC$33</f>
        <v>4000</v>
      </c>
      <c r="AD69" s="362">
        <f xml:space="preserve"> 'Inputs_ FS'!AD$33</f>
        <v>4000</v>
      </c>
      <c r="AE69" s="362">
        <f xml:space="preserve"> 'Inputs_ FS'!AE$33</f>
        <v>4000</v>
      </c>
      <c r="AF69" s="362">
        <f xml:space="preserve"> 'Inputs_ FS'!AF$33</f>
        <v>4000</v>
      </c>
      <c r="AG69" s="362">
        <f xml:space="preserve"> 'Inputs_ FS'!AG$33</f>
        <v>4000</v>
      </c>
      <c r="AH69" s="362">
        <f xml:space="preserve"> 'Inputs_ FS'!AH$33</f>
        <v>4000</v>
      </c>
      <c r="AI69" s="362">
        <f xml:space="preserve"> 'Inputs_ FS'!AI$33</f>
        <v>4000</v>
      </c>
      <c r="AJ69" s="362">
        <f xml:space="preserve"> 'Inputs_ FS'!AJ$33</f>
        <v>4000</v>
      </c>
      <c r="AK69" s="362">
        <f xml:space="preserve"> 'Inputs_ FS'!AK$33</f>
        <v>4000</v>
      </c>
      <c r="AL69" s="362">
        <f xml:space="preserve"> 'Inputs_ FS'!AL$33</f>
        <v>0</v>
      </c>
      <c r="AM69" s="362">
        <f xml:space="preserve"> 'Inputs_ FS'!AM$33</f>
        <v>0</v>
      </c>
      <c r="AN69" s="362">
        <f xml:space="preserve"> 'Inputs_ FS'!AN$33</f>
        <v>0</v>
      </c>
      <c r="AO69" s="362">
        <f xml:space="preserve"> 'Inputs_ FS'!AO$33</f>
        <v>0</v>
      </c>
      <c r="AP69" s="362">
        <f xml:space="preserve"> 'Inputs_ FS'!AP$33</f>
        <v>0</v>
      </c>
      <c r="AQ69" s="362">
        <f xml:space="preserve"> 'Inputs_ FS'!AQ$33</f>
        <v>0</v>
      </c>
      <c r="AR69" s="362">
        <f xml:space="preserve"> 'Inputs_ FS'!AR$33</f>
        <v>0</v>
      </c>
      <c r="AS69" s="362">
        <f xml:space="preserve"> 'Inputs_ FS'!AS$33</f>
        <v>0</v>
      </c>
    </row>
    <row r="70" spans="1:45" ht="15" customHeight="1" x14ac:dyDescent="0.3">
      <c r="A70"/>
      <c r="D70" s="292"/>
      <c r="E70" s="362"/>
      <c r="F70" s="362"/>
      <c r="G70" s="362"/>
      <c r="H70" s="362"/>
      <c r="I70" s="362"/>
      <c r="J70" s="362"/>
      <c r="K70" s="362"/>
      <c r="L70" s="362"/>
      <c r="M70" s="362"/>
      <c r="N70" s="362"/>
      <c r="O70" s="362"/>
      <c r="P70" s="362"/>
      <c r="Q70" s="362"/>
      <c r="R70" s="362"/>
      <c r="S70" s="362"/>
      <c r="T70" s="362"/>
      <c r="U70" s="362"/>
      <c r="V70" s="362"/>
      <c r="W70" s="362"/>
      <c r="X70" s="362"/>
      <c r="Y70" s="362"/>
      <c r="Z70" s="362"/>
      <c r="AA70" s="362"/>
      <c r="AB70" s="362"/>
      <c r="AC70" s="362"/>
      <c r="AD70" s="362"/>
      <c r="AE70" s="362"/>
      <c r="AF70" s="362"/>
      <c r="AG70" s="362"/>
      <c r="AH70" s="362"/>
      <c r="AI70" s="362"/>
      <c r="AJ70" s="362"/>
      <c r="AK70" s="362"/>
      <c r="AL70" s="362"/>
      <c r="AM70" s="362"/>
      <c r="AN70" s="362"/>
      <c r="AO70" s="362"/>
      <c r="AP70" s="362"/>
      <c r="AQ70" s="362"/>
      <c r="AR70" s="362"/>
      <c r="AS70" s="362"/>
    </row>
    <row r="71" spans="1:45" ht="15" customHeight="1" x14ac:dyDescent="0.3">
      <c r="A71"/>
      <c r="D71" s="292"/>
      <c r="E71" s="362" t="str">
        <f xml:space="preserve"> 'Inputs_ FS'!E$35</f>
        <v>Cobalt</v>
      </c>
      <c r="F71" s="362">
        <f xml:space="preserve"> 'Inputs_ FS'!F$35</f>
        <v>0</v>
      </c>
      <c r="G71" s="362" t="str">
        <f xml:space="preserve"> 'Inputs_ FS'!G$35</f>
        <v>$ /lbCo</v>
      </c>
      <c r="H71" s="362" t="str">
        <f xml:space="preserve"> 'Inputs_ FS'!H$35</f>
        <v>M</v>
      </c>
      <c r="I71" s="362">
        <f xml:space="preserve"> 'Inputs_ FS'!I$35</f>
        <v>0</v>
      </c>
      <c r="J71" s="362">
        <f xml:space="preserve"> 'Inputs_ FS'!J$35</f>
        <v>0</v>
      </c>
      <c r="K71" s="362">
        <f xml:space="preserve"> 'Inputs_ FS'!K$35</f>
        <v>0</v>
      </c>
      <c r="L71" s="362">
        <f xml:space="preserve"> 'Inputs_ FS'!L$35</f>
        <v>0</v>
      </c>
      <c r="M71" s="362">
        <f xml:space="preserve"> 'Inputs_ FS'!M$35</f>
        <v>0</v>
      </c>
      <c r="N71" s="362">
        <f xml:space="preserve"> 'Inputs_ FS'!N$35</f>
        <v>0</v>
      </c>
      <c r="O71" s="362">
        <f xml:space="preserve"> 'Inputs_ FS'!O$35</f>
        <v>0</v>
      </c>
      <c r="P71" s="362">
        <f xml:space="preserve"> 'Inputs_ FS'!P$35</f>
        <v>0</v>
      </c>
      <c r="Q71" s="362">
        <f xml:space="preserve"> 'Inputs_ FS'!Q$35</f>
        <v>0</v>
      </c>
      <c r="R71" s="362">
        <f xml:space="preserve"> 'Inputs_ FS'!R$35</f>
        <v>0</v>
      </c>
      <c r="S71" s="362">
        <f xml:space="preserve"> 'Inputs_ FS'!S$35</f>
        <v>0</v>
      </c>
      <c r="T71" s="362">
        <f xml:space="preserve"> 'Inputs_ FS'!T$35</f>
        <v>0</v>
      </c>
      <c r="U71" s="362">
        <f xml:space="preserve"> 'Inputs_ FS'!U$35</f>
        <v>0</v>
      </c>
      <c r="V71" s="362">
        <f xml:space="preserve"> 'Inputs_ FS'!V$35</f>
        <v>18</v>
      </c>
      <c r="W71" s="362">
        <f xml:space="preserve"> 'Inputs_ FS'!W$35</f>
        <v>18</v>
      </c>
      <c r="X71" s="362">
        <f xml:space="preserve"> 'Inputs_ FS'!X$35</f>
        <v>16</v>
      </c>
      <c r="Y71" s="362">
        <f xml:space="preserve"> 'Inputs_ FS'!Y$35</f>
        <v>15</v>
      </c>
      <c r="Z71" s="362">
        <f xml:space="preserve"> 'Inputs_ FS'!Z$35</f>
        <v>24</v>
      </c>
      <c r="AA71" s="362">
        <f xml:space="preserve"> 'Inputs_ FS'!AA$35</f>
        <v>27</v>
      </c>
      <c r="AB71" s="362">
        <f xml:space="preserve"> 'Inputs_ FS'!AB$35</f>
        <v>18</v>
      </c>
      <c r="AC71" s="362">
        <f xml:space="preserve"> 'Inputs_ FS'!AC$35</f>
        <v>18</v>
      </c>
      <c r="AD71" s="362">
        <f xml:space="preserve"> 'Inputs_ FS'!AD$35</f>
        <v>18</v>
      </c>
      <c r="AE71" s="362">
        <f xml:space="preserve"> 'Inputs_ FS'!AE$35</f>
        <v>18</v>
      </c>
      <c r="AF71" s="362">
        <f xml:space="preserve"> 'Inputs_ FS'!AF$35</f>
        <v>18</v>
      </c>
      <c r="AG71" s="362">
        <f xml:space="preserve"> 'Inputs_ FS'!AG$35</f>
        <v>18</v>
      </c>
      <c r="AH71" s="362">
        <f xml:space="preserve"> 'Inputs_ FS'!AH$35</f>
        <v>18</v>
      </c>
      <c r="AI71" s="362">
        <f xml:space="preserve"> 'Inputs_ FS'!AI$35</f>
        <v>18</v>
      </c>
      <c r="AJ71" s="362">
        <f xml:space="preserve"> 'Inputs_ FS'!AJ$35</f>
        <v>18</v>
      </c>
      <c r="AK71" s="362">
        <f xml:space="preserve"> 'Inputs_ FS'!AK$35</f>
        <v>18</v>
      </c>
      <c r="AL71" s="362">
        <f xml:space="preserve"> 'Inputs_ FS'!AL$35</f>
        <v>0</v>
      </c>
      <c r="AM71" s="362">
        <f xml:space="preserve"> 'Inputs_ FS'!AM$35</f>
        <v>0</v>
      </c>
      <c r="AN71" s="362">
        <f xml:space="preserve"> 'Inputs_ FS'!AN$35</f>
        <v>0</v>
      </c>
      <c r="AO71" s="362">
        <f xml:space="preserve"> 'Inputs_ FS'!AO$35</f>
        <v>0</v>
      </c>
      <c r="AP71" s="362">
        <f xml:space="preserve"> 'Inputs_ FS'!AP$35</f>
        <v>0</v>
      </c>
      <c r="AQ71" s="362">
        <f xml:space="preserve"> 'Inputs_ FS'!AQ$35</f>
        <v>0</v>
      </c>
      <c r="AR71" s="362">
        <f xml:space="preserve"> 'Inputs_ FS'!AR$35</f>
        <v>0</v>
      </c>
      <c r="AS71" s="362">
        <f xml:space="preserve"> 'Inputs_ FS'!AS$35</f>
        <v>0</v>
      </c>
    </row>
    <row r="72" spans="1:45" ht="15" customHeight="1" x14ac:dyDescent="0.3">
      <c r="A72"/>
      <c r="D72" s="292"/>
      <c r="E72" s="362" t="str">
        <f xml:space="preserve"> 'Inputs_ FS'!E$36</f>
        <v>Payable rate</v>
      </c>
      <c r="F72" s="95">
        <f xml:space="preserve"> 'Inputs_ FS'!F$36</f>
        <v>0.7</v>
      </c>
      <c r="G72" s="362" t="str">
        <f xml:space="preserve"> 'Inputs_ FS'!G$36</f>
        <v>%</v>
      </c>
      <c r="H72" s="362" t="str">
        <f xml:space="preserve"> 'Inputs_ FS'!H$36</f>
        <v>M</v>
      </c>
      <c r="I72" s="362"/>
      <c r="J72" s="362"/>
      <c r="K72" s="362"/>
      <c r="L72" s="362"/>
      <c r="M72" s="362"/>
      <c r="N72" s="362"/>
      <c r="O72" s="362"/>
      <c r="P72" s="362"/>
      <c r="Q72" s="362"/>
      <c r="R72" s="362"/>
      <c r="S72" s="362"/>
      <c r="T72" s="362"/>
      <c r="U72" s="362"/>
      <c r="V72" s="362"/>
      <c r="W72" s="362"/>
      <c r="X72" s="362"/>
      <c r="Y72" s="362"/>
      <c r="Z72" s="362"/>
      <c r="AA72" s="362"/>
      <c r="AB72" s="362"/>
      <c r="AC72" s="362"/>
      <c r="AD72" s="362"/>
      <c r="AE72" s="362"/>
      <c r="AF72" s="362"/>
      <c r="AG72" s="362"/>
      <c r="AH72" s="362"/>
      <c r="AI72" s="362"/>
      <c r="AJ72" s="362"/>
      <c r="AK72" s="362"/>
      <c r="AL72" s="362"/>
      <c r="AM72" s="362"/>
      <c r="AN72" s="362"/>
      <c r="AO72" s="362"/>
      <c r="AP72" s="362"/>
      <c r="AQ72" s="362"/>
      <c r="AR72" s="362"/>
      <c r="AS72" s="362"/>
    </row>
    <row r="73" spans="1:45" ht="15" customHeight="1" x14ac:dyDescent="0.3">
      <c r="A73" s="70"/>
      <c r="B73" s="378"/>
      <c r="C73" s="379"/>
      <c r="D73" s="380"/>
      <c r="E73" s="381" t="s">
        <v>551</v>
      </c>
      <c r="F73" s="381"/>
      <c r="G73" s="381" t="s">
        <v>488</v>
      </c>
      <c r="H73" s="526"/>
      <c r="I73" s="526"/>
      <c r="J73" s="34"/>
      <c r="K73" s="383">
        <f t="shared" ref="K73:O73" si="45">K71 * $F72</f>
        <v>0</v>
      </c>
      <c r="L73" s="383">
        <f t="shared" si="45"/>
        <v>0</v>
      </c>
      <c r="M73" s="383">
        <f t="shared" si="45"/>
        <v>0</v>
      </c>
      <c r="N73" s="383">
        <f t="shared" si="45"/>
        <v>0</v>
      </c>
      <c r="O73" s="383">
        <f t="shared" si="45"/>
        <v>0</v>
      </c>
      <c r="P73" s="383">
        <f t="shared" ref="P73:AS73" si="46">P71 * $F72</f>
        <v>0</v>
      </c>
      <c r="Q73" s="383">
        <f t="shared" si="46"/>
        <v>0</v>
      </c>
      <c r="R73" s="383">
        <f t="shared" si="46"/>
        <v>0</v>
      </c>
      <c r="S73" s="383">
        <f t="shared" si="46"/>
        <v>0</v>
      </c>
      <c r="T73" s="383">
        <f t="shared" si="46"/>
        <v>0</v>
      </c>
      <c r="U73" s="383">
        <f t="shared" si="46"/>
        <v>0</v>
      </c>
      <c r="V73" s="383">
        <f t="shared" si="46"/>
        <v>12.6</v>
      </c>
      <c r="W73" s="383">
        <f t="shared" si="46"/>
        <v>12.6</v>
      </c>
      <c r="X73" s="383">
        <f t="shared" si="46"/>
        <v>11.2</v>
      </c>
      <c r="Y73" s="383">
        <f t="shared" si="46"/>
        <v>10.5</v>
      </c>
      <c r="Z73" s="383">
        <f t="shared" si="46"/>
        <v>16.799999999999997</v>
      </c>
      <c r="AA73" s="383">
        <f t="shared" si="46"/>
        <v>18.899999999999999</v>
      </c>
      <c r="AB73" s="383">
        <f t="shared" si="46"/>
        <v>12.6</v>
      </c>
      <c r="AC73" s="383">
        <f t="shared" si="46"/>
        <v>12.6</v>
      </c>
      <c r="AD73" s="383">
        <f t="shared" si="46"/>
        <v>12.6</v>
      </c>
      <c r="AE73" s="383">
        <f t="shared" si="46"/>
        <v>12.6</v>
      </c>
      <c r="AF73" s="383">
        <f t="shared" si="46"/>
        <v>12.6</v>
      </c>
      <c r="AG73" s="383">
        <f t="shared" si="46"/>
        <v>12.6</v>
      </c>
      <c r="AH73" s="383">
        <f t="shared" si="46"/>
        <v>12.6</v>
      </c>
      <c r="AI73" s="383">
        <f t="shared" si="46"/>
        <v>12.6</v>
      </c>
      <c r="AJ73" s="383">
        <f t="shared" si="46"/>
        <v>12.6</v>
      </c>
      <c r="AK73" s="383">
        <f t="shared" si="46"/>
        <v>12.6</v>
      </c>
      <c r="AL73" s="383">
        <f t="shared" si="46"/>
        <v>0</v>
      </c>
      <c r="AM73" s="383">
        <f t="shared" si="46"/>
        <v>0</v>
      </c>
      <c r="AN73" s="383">
        <f t="shared" si="46"/>
        <v>0</v>
      </c>
      <c r="AO73" s="383">
        <f t="shared" si="46"/>
        <v>0</v>
      </c>
      <c r="AP73" s="383">
        <f t="shared" si="46"/>
        <v>0</v>
      </c>
      <c r="AQ73" s="383">
        <f t="shared" si="46"/>
        <v>0</v>
      </c>
      <c r="AR73" s="383">
        <f t="shared" si="46"/>
        <v>0</v>
      </c>
      <c r="AS73" s="383">
        <f t="shared" si="46"/>
        <v>0</v>
      </c>
    </row>
    <row r="74" spans="1:45" ht="15" customHeight="1" x14ac:dyDescent="0.3">
      <c r="A74"/>
      <c r="D74" s="292"/>
      <c r="E74" s="293"/>
      <c r="F74" s="293"/>
      <c r="G74" s="293"/>
      <c r="H74" s="315"/>
      <c r="I74" s="315"/>
      <c r="J74" s="42"/>
      <c r="K74" s="299"/>
      <c r="L74" s="299"/>
      <c r="M74" s="299"/>
      <c r="N74" s="299"/>
      <c r="O74" s="299"/>
      <c r="P74" s="299"/>
      <c r="Q74" s="299"/>
      <c r="R74" s="299"/>
      <c r="S74" s="299"/>
      <c r="T74" s="299"/>
      <c r="U74" s="299"/>
      <c r="V74" s="299"/>
      <c r="W74" s="299"/>
      <c r="X74" s="299"/>
      <c r="Y74" s="299"/>
      <c r="Z74" s="299"/>
      <c r="AA74" s="299"/>
      <c r="AB74" s="299"/>
      <c r="AC74" s="299"/>
      <c r="AD74" s="299"/>
      <c r="AE74" s="299"/>
      <c r="AF74" s="299"/>
      <c r="AG74" s="299"/>
      <c r="AH74" s="299"/>
      <c r="AI74" s="299"/>
      <c r="AJ74" s="299"/>
      <c r="AK74" s="299"/>
      <c r="AL74" s="299"/>
      <c r="AM74" s="299"/>
      <c r="AN74" s="299"/>
      <c r="AO74" s="299"/>
      <c r="AP74" s="299"/>
      <c r="AQ74" s="299"/>
      <c r="AR74" s="299"/>
      <c r="AS74" s="299"/>
    </row>
    <row r="75" spans="1:45" ht="15" customHeight="1" x14ac:dyDescent="0.3">
      <c r="A75"/>
      <c r="D75" s="292"/>
      <c r="E75" s="293"/>
      <c r="F75" s="293"/>
      <c r="G75" s="293"/>
      <c r="H75" s="315"/>
      <c r="I75" s="315"/>
      <c r="J75" s="42"/>
      <c r="K75" s="299"/>
      <c r="L75" s="299"/>
      <c r="M75" s="299"/>
      <c r="N75" s="299"/>
      <c r="O75" s="299"/>
      <c r="P75" s="299"/>
      <c r="Q75" s="299"/>
      <c r="R75" s="299"/>
      <c r="S75" s="299"/>
      <c r="T75" s="299"/>
      <c r="U75" s="299"/>
      <c r="V75" s="299"/>
      <c r="W75" s="299"/>
      <c r="X75" s="299"/>
      <c r="Y75" s="299"/>
      <c r="Z75" s="299"/>
      <c r="AA75" s="299"/>
      <c r="AB75" s="299"/>
      <c r="AC75" s="299"/>
      <c r="AD75" s="299"/>
      <c r="AE75" s="299"/>
      <c r="AF75" s="299"/>
      <c r="AG75" s="299"/>
      <c r="AH75" s="299"/>
      <c r="AI75" s="299"/>
      <c r="AJ75" s="299"/>
      <c r="AK75" s="299"/>
      <c r="AL75" s="299"/>
      <c r="AM75" s="299"/>
      <c r="AN75" s="299"/>
      <c r="AO75" s="299"/>
      <c r="AP75" s="299"/>
      <c r="AQ75" s="299"/>
      <c r="AR75" s="299"/>
      <c r="AS75" s="299"/>
    </row>
    <row r="76" spans="1:45" ht="15" customHeight="1" x14ac:dyDescent="0.3">
      <c r="A76" s="282"/>
      <c r="B76" s="288" t="s">
        <v>419</v>
      </c>
      <c r="I76" s="291"/>
      <c r="J76" s="42"/>
      <c r="AL76" s="290"/>
      <c r="AM76" s="290"/>
      <c r="AN76" s="290"/>
      <c r="AO76" s="290"/>
      <c r="AP76" s="290"/>
      <c r="AQ76" s="290"/>
      <c r="AR76" s="290"/>
      <c r="AS76" s="290"/>
    </row>
    <row r="77" spans="1:45" ht="15" customHeight="1" x14ac:dyDescent="0.3">
      <c r="A77" s="282"/>
      <c r="I77" s="291"/>
      <c r="J77" s="42"/>
      <c r="AL77" s="290"/>
      <c r="AM77" s="290"/>
      <c r="AN77" s="290"/>
      <c r="AO77" s="290"/>
      <c r="AP77" s="290"/>
      <c r="AQ77" s="290"/>
      <c r="AR77" s="290"/>
      <c r="AS77" s="290"/>
    </row>
    <row r="78" spans="1:45" ht="15" customHeight="1" x14ac:dyDescent="0.3">
      <c r="A78"/>
      <c r="E78" s="169" t="str">
        <f xml:space="preserve"> E$50</f>
        <v>Copper cathode</v>
      </c>
      <c r="F78" s="169">
        <f xml:space="preserve"> F$50</f>
        <v>0</v>
      </c>
      <c r="G78" s="169" t="str">
        <f xml:space="preserve"> G$50</f>
        <v>tonnes</v>
      </c>
      <c r="H78" s="169">
        <f xml:space="preserve"> H$50</f>
        <v>0</v>
      </c>
      <c r="I78" s="169">
        <f xml:space="preserve"> I$50</f>
        <v>939749</v>
      </c>
      <c r="J78" s="42"/>
      <c r="K78" s="299">
        <f t="shared" ref="K78:O78" si="47" xml:space="preserve"> K$50</f>
        <v>0</v>
      </c>
      <c r="L78" s="299">
        <f t="shared" si="47"/>
        <v>0</v>
      </c>
      <c r="M78" s="299">
        <f t="shared" si="47"/>
        <v>0</v>
      </c>
      <c r="N78" s="299">
        <f t="shared" si="47"/>
        <v>0</v>
      </c>
      <c r="O78" s="299">
        <f t="shared" si="47"/>
        <v>0</v>
      </c>
      <c r="P78" s="299">
        <f t="shared" ref="P78:AS78" si="48" xml:space="preserve"> P$50</f>
        <v>0</v>
      </c>
      <c r="Q78" s="299">
        <f t="shared" si="48"/>
        <v>0</v>
      </c>
      <c r="R78" s="299">
        <f t="shared" si="48"/>
        <v>0</v>
      </c>
      <c r="S78" s="299">
        <f t="shared" si="48"/>
        <v>0</v>
      </c>
      <c r="T78" s="299">
        <f t="shared" si="48"/>
        <v>0</v>
      </c>
      <c r="U78" s="299">
        <f t="shared" si="48"/>
        <v>0</v>
      </c>
      <c r="V78" s="299">
        <f t="shared" si="48"/>
        <v>0</v>
      </c>
      <c r="W78" s="299">
        <f t="shared" si="48"/>
        <v>0</v>
      </c>
      <c r="X78" s="299">
        <f t="shared" si="48"/>
        <v>26145</v>
      </c>
      <c r="Y78" s="299">
        <f t="shared" si="48"/>
        <v>57390</v>
      </c>
      <c r="Z78" s="299">
        <f t="shared" si="48"/>
        <v>59899</v>
      </c>
      <c r="AA78" s="299">
        <f t="shared" si="48"/>
        <v>73852</v>
      </c>
      <c r="AB78" s="299">
        <f t="shared" si="48"/>
        <v>60290</v>
      </c>
      <c r="AC78" s="299">
        <f t="shared" si="48"/>
        <v>82654</v>
      </c>
      <c r="AD78" s="299">
        <f t="shared" si="48"/>
        <v>82654</v>
      </c>
      <c r="AE78" s="299">
        <f t="shared" si="48"/>
        <v>82654</v>
      </c>
      <c r="AF78" s="299">
        <f t="shared" si="48"/>
        <v>82654</v>
      </c>
      <c r="AG78" s="299">
        <f t="shared" si="48"/>
        <v>82654</v>
      </c>
      <c r="AH78" s="299">
        <f t="shared" si="48"/>
        <v>82654</v>
      </c>
      <c r="AI78" s="299">
        <f t="shared" si="48"/>
        <v>68878</v>
      </c>
      <c r="AJ78" s="299">
        <f t="shared" si="48"/>
        <v>68878</v>
      </c>
      <c r="AK78" s="299">
        <f t="shared" si="48"/>
        <v>28493</v>
      </c>
      <c r="AL78" s="299">
        <f t="shared" si="48"/>
        <v>0</v>
      </c>
      <c r="AM78" s="299">
        <f t="shared" si="48"/>
        <v>0</v>
      </c>
      <c r="AN78" s="299">
        <f t="shared" si="48"/>
        <v>0</v>
      </c>
      <c r="AO78" s="299">
        <f t="shared" si="48"/>
        <v>0</v>
      </c>
      <c r="AP78" s="299">
        <f t="shared" si="48"/>
        <v>0</v>
      </c>
      <c r="AQ78" s="299">
        <f t="shared" si="48"/>
        <v>0</v>
      </c>
      <c r="AR78" s="299">
        <f t="shared" si="48"/>
        <v>0</v>
      </c>
      <c r="AS78" s="299">
        <f t="shared" si="48"/>
        <v>0</v>
      </c>
    </row>
    <row r="79" spans="1:45" ht="15" customHeight="1" x14ac:dyDescent="0.3">
      <c r="A79"/>
      <c r="E79" s="169" t="str">
        <f xml:space="preserve"> E$65</f>
        <v>Copper cathode price</v>
      </c>
      <c r="F79" s="169">
        <f t="shared" ref="F79:I79" si="49" xml:space="preserve"> F$65</f>
        <v>0</v>
      </c>
      <c r="G79" s="169" t="str">
        <f t="shared" si="49"/>
        <v>$ /tCu</v>
      </c>
      <c r="H79" s="169" t="str">
        <f t="shared" si="49"/>
        <v>M</v>
      </c>
      <c r="I79" s="169">
        <f t="shared" si="49"/>
        <v>0</v>
      </c>
      <c r="J79" s="42"/>
      <c r="K79" s="299">
        <f t="shared" ref="K79:O79" si="50" xml:space="preserve"> K$65</f>
        <v>0</v>
      </c>
      <c r="L79" s="299">
        <f t="shared" si="50"/>
        <v>0</v>
      </c>
      <c r="M79" s="299">
        <f t="shared" si="50"/>
        <v>0</v>
      </c>
      <c r="N79" s="299">
        <f t="shared" si="50"/>
        <v>0</v>
      </c>
      <c r="O79" s="299">
        <f t="shared" si="50"/>
        <v>0</v>
      </c>
      <c r="P79" s="299">
        <f t="shared" ref="P79:AS79" si="51" xml:space="preserve"> P$65</f>
        <v>0</v>
      </c>
      <c r="Q79" s="299">
        <f t="shared" si="51"/>
        <v>0</v>
      </c>
      <c r="R79" s="299">
        <f t="shared" si="51"/>
        <v>0</v>
      </c>
      <c r="S79" s="299">
        <f t="shared" si="51"/>
        <v>0</v>
      </c>
      <c r="T79" s="299">
        <f t="shared" si="51"/>
        <v>0</v>
      </c>
      <c r="U79" s="299">
        <f t="shared" si="51"/>
        <v>0</v>
      </c>
      <c r="V79" s="299">
        <f t="shared" si="51"/>
        <v>0</v>
      </c>
      <c r="W79" s="299">
        <f t="shared" si="51"/>
        <v>0</v>
      </c>
      <c r="X79" s="299">
        <f t="shared" si="51"/>
        <v>5535</v>
      </c>
      <c r="Y79" s="299">
        <f t="shared" si="51"/>
        <v>5998</v>
      </c>
      <c r="Z79" s="299">
        <f t="shared" si="51"/>
        <v>8360</v>
      </c>
      <c r="AA79" s="299">
        <f t="shared" si="51"/>
        <v>6819</v>
      </c>
      <c r="AB79" s="299">
        <f t="shared" si="51"/>
        <v>8000</v>
      </c>
      <c r="AC79" s="299">
        <f t="shared" si="51"/>
        <v>8000</v>
      </c>
      <c r="AD79" s="299">
        <f t="shared" si="51"/>
        <v>8000</v>
      </c>
      <c r="AE79" s="299">
        <f t="shared" si="51"/>
        <v>8000</v>
      </c>
      <c r="AF79" s="299">
        <f t="shared" si="51"/>
        <v>8000</v>
      </c>
      <c r="AG79" s="299">
        <f t="shared" si="51"/>
        <v>8000</v>
      </c>
      <c r="AH79" s="299">
        <f t="shared" si="51"/>
        <v>8000</v>
      </c>
      <c r="AI79" s="299">
        <f t="shared" si="51"/>
        <v>8000</v>
      </c>
      <c r="AJ79" s="299">
        <f t="shared" si="51"/>
        <v>8000</v>
      </c>
      <c r="AK79" s="299">
        <f t="shared" si="51"/>
        <v>8000</v>
      </c>
      <c r="AL79" s="299">
        <f t="shared" si="51"/>
        <v>0</v>
      </c>
      <c r="AM79" s="299">
        <f t="shared" si="51"/>
        <v>0</v>
      </c>
      <c r="AN79" s="299">
        <f t="shared" si="51"/>
        <v>0</v>
      </c>
      <c r="AO79" s="299">
        <f t="shared" si="51"/>
        <v>0</v>
      </c>
      <c r="AP79" s="299">
        <f t="shared" si="51"/>
        <v>0</v>
      </c>
      <c r="AQ79" s="299">
        <f t="shared" si="51"/>
        <v>0</v>
      </c>
      <c r="AR79" s="299">
        <f t="shared" si="51"/>
        <v>0</v>
      </c>
      <c r="AS79" s="299">
        <f t="shared" si="51"/>
        <v>0</v>
      </c>
    </row>
    <row r="80" spans="1:45" ht="15" customHeight="1" x14ac:dyDescent="0.3">
      <c r="A80"/>
      <c r="E80" s="290" t="s">
        <v>420</v>
      </c>
      <c r="G80" s="290" t="s">
        <v>346</v>
      </c>
      <c r="I80" s="291">
        <f>SUM(K80:AS80)</f>
        <v>7272.9942230000006</v>
      </c>
      <c r="J80" s="42"/>
      <c r="K80" s="299">
        <f t="shared" ref="K80:O80" si="52">K78 * K79 * 10^-6</f>
        <v>0</v>
      </c>
      <c r="L80" s="299">
        <f t="shared" si="52"/>
        <v>0</v>
      </c>
      <c r="M80" s="299">
        <f t="shared" si="52"/>
        <v>0</v>
      </c>
      <c r="N80" s="299">
        <f t="shared" si="52"/>
        <v>0</v>
      </c>
      <c r="O80" s="299">
        <f t="shared" si="52"/>
        <v>0</v>
      </c>
      <c r="P80" s="299">
        <f t="shared" ref="P80:R80" si="53">P78 * P79 * 10^-6</f>
        <v>0</v>
      </c>
      <c r="Q80" s="299">
        <f t="shared" si="53"/>
        <v>0</v>
      </c>
      <c r="R80" s="299">
        <f t="shared" si="53"/>
        <v>0</v>
      </c>
      <c r="S80" s="299">
        <f>S78 * S79 * 10^-6</f>
        <v>0</v>
      </c>
      <c r="T80" s="299">
        <f t="shared" ref="T80:AP80" si="54">T78 * T79 * 10^-6</f>
        <v>0</v>
      </c>
      <c r="U80" s="299">
        <f t="shared" si="54"/>
        <v>0</v>
      </c>
      <c r="V80" s="299">
        <f t="shared" si="54"/>
        <v>0</v>
      </c>
      <c r="W80" s="299">
        <f t="shared" si="54"/>
        <v>0</v>
      </c>
      <c r="X80" s="299">
        <f t="shared" si="54"/>
        <v>144.71257499999999</v>
      </c>
      <c r="Y80" s="299">
        <f t="shared" si="54"/>
        <v>344.22521999999998</v>
      </c>
      <c r="Z80" s="299">
        <f t="shared" si="54"/>
        <v>500.75563999999997</v>
      </c>
      <c r="AA80" s="299">
        <f t="shared" si="54"/>
        <v>503.596788</v>
      </c>
      <c r="AB80" s="299">
        <f t="shared" si="54"/>
        <v>482.32</v>
      </c>
      <c r="AC80" s="299">
        <f t="shared" si="54"/>
        <v>661.23199999999997</v>
      </c>
      <c r="AD80" s="299">
        <f t="shared" si="54"/>
        <v>661.23199999999997</v>
      </c>
      <c r="AE80" s="299">
        <f t="shared" si="54"/>
        <v>661.23199999999997</v>
      </c>
      <c r="AF80" s="299">
        <f t="shared" si="54"/>
        <v>661.23199999999997</v>
      </c>
      <c r="AG80" s="299">
        <f t="shared" si="54"/>
        <v>661.23199999999997</v>
      </c>
      <c r="AH80" s="299">
        <f t="shared" si="54"/>
        <v>661.23199999999997</v>
      </c>
      <c r="AI80" s="299">
        <f t="shared" si="54"/>
        <v>551.024</v>
      </c>
      <c r="AJ80" s="299">
        <f t="shared" si="54"/>
        <v>551.024</v>
      </c>
      <c r="AK80" s="299">
        <f t="shared" si="54"/>
        <v>227.94399999999999</v>
      </c>
      <c r="AL80" s="299">
        <f t="shared" si="54"/>
        <v>0</v>
      </c>
      <c r="AM80" s="299">
        <f t="shared" si="54"/>
        <v>0</v>
      </c>
      <c r="AN80" s="299">
        <f t="shared" si="54"/>
        <v>0</v>
      </c>
      <c r="AO80" s="299">
        <f t="shared" si="54"/>
        <v>0</v>
      </c>
      <c r="AP80" s="299">
        <f t="shared" si="54"/>
        <v>0</v>
      </c>
      <c r="AQ80" s="299">
        <f t="shared" ref="AQ80:AS80" si="55">AQ78 * AQ79 * 10^-6</f>
        <v>0</v>
      </c>
      <c r="AR80" s="299">
        <f t="shared" si="55"/>
        <v>0</v>
      </c>
      <c r="AS80" s="299">
        <f t="shared" si="55"/>
        <v>0</v>
      </c>
    </row>
    <row r="81" spans="1:45" ht="15" customHeight="1" x14ac:dyDescent="0.3">
      <c r="A81"/>
      <c r="I81" s="291"/>
      <c r="J81" s="42"/>
      <c r="K81" s="299"/>
      <c r="L81" s="299"/>
      <c r="M81" s="299"/>
      <c r="N81" s="299"/>
      <c r="O81" s="299"/>
      <c r="P81" s="299"/>
      <c r="Q81" s="299"/>
      <c r="R81" s="299"/>
      <c r="S81" s="299"/>
      <c r="T81" s="299"/>
      <c r="U81" s="299"/>
      <c r="V81" s="299"/>
      <c r="W81" s="299"/>
      <c r="X81" s="299"/>
      <c r="Y81" s="299"/>
      <c r="Z81" s="299"/>
      <c r="AA81" s="299"/>
      <c r="AB81" s="299"/>
      <c r="AC81" s="299"/>
      <c r="AD81" s="299"/>
      <c r="AE81" s="299"/>
      <c r="AF81" s="299"/>
      <c r="AG81" s="299"/>
      <c r="AH81" s="299"/>
      <c r="AI81" s="299"/>
      <c r="AJ81" s="299"/>
      <c r="AK81" s="299"/>
      <c r="AL81" s="299"/>
      <c r="AM81" s="299"/>
      <c r="AN81" s="299"/>
      <c r="AO81" s="299"/>
      <c r="AP81" s="299"/>
      <c r="AQ81" s="299"/>
      <c r="AR81" s="299"/>
      <c r="AS81" s="299"/>
    </row>
    <row r="82" spans="1:45" ht="15" customHeight="1" x14ac:dyDescent="0.3">
      <c r="A82"/>
      <c r="E82" s="169" t="str">
        <f xml:space="preserve"> E$51</f>
        <v>Blister copper</v>
      </c>
      <c r="F82" s="169">
        <f t="shared" ref="F82:I82" si="56" xml:space="preserve"> F$51</f>
        <v>0</v>
      </c>
      <c r="G82" s="169" t="str">
        <f t="shared" si="56"/>
        <v>tonnes</v>
      </c>
      <c r="H82" s="169">
        <f t="shared" si="56"/>
        <v>0</v>
      </c>
      <c r="I82" s="169">
        <f t="shared" si="56"/>
        <v>364525</v>
      </c>
      <c r="J82" s="42"/>
      <c r="K82" s="299">
        <f t="shared" ref="K82:O82" si="57" xml:space="preserve"> K$51</f>
        <v>0</v>
      </c>
      <c r="L82" s="299">
        <f t="shared" si="57"/>
        <v>0</v>
      </c>
      <c r="M82" s="299">
        <f t="shared" si="57"/>
        <v>0</v>
      </c>
      <c r="N82" s="299">
        <f t="shared" si="57"/>
        <v>0</v>
      </c>
      <c r="O82" s="299">
        <f t="shared" si="57"/>
        <v>0</v>
      </c>
      <c r="P82" s="299">
        <f t="shared" ref="P82:AS82" si="58" xml:space="preserve"> P$51</f>
        <v>0</v>
      </c>
      <c r="Q82" s="299">
        <f t="shared" si="58"/>
        <v>0</v>
      </c>
      <c r="R82" s="299">
        <f t="shared" si="58"/>
        <v>0</v>
      </c>
      <c r="S82" s="299">
        <f t="shared" si="58"/>
        <v>0</v>
      </c>
      <c r="T82" s="299">
        <f t="shared" si="58"/>
        <v>0</v>
      </c>
      <c r="U82" s="299">
        <f t="shared" si="58"/>
        <v>0</v>
      </c>
      <c r="V82" s="299">
        <f t="shared" si="58"/>
        <v>11808</v>
      </c>
      <c r="W82" s="299">
        <f t="shared" si="58"/>
        <v>29048</v>
      </c>
      <c r="X82" s="299">
        <f t="shared" si="58"/>
        <v>34233</v>
      </c>
      <c r="Y82" s="299">
        <f t="shared" si="58"/>
        <v>32411</v>
      </c>
      <c r="Z82" s="299">
        <f t="shared" si="58"/>
        <v>24924</v>
      </c>
      <c r="AA82" s="299">
        <f t="shared" si="58"/>
        <v>22433</v>
      </c>
      <c r="AB82" s="299">
        <f t="shared" si="58"/>
        <v>21362</v>
      </c>
      <c r="AC82" s="299">
        <f t="shared" si="58"/>
        <v>23504.833333333332</v>
      </c>
      <c r="AD82" s="299">
        <f t="shared" si="58"/>
        <v>23504.833333333332</v>
      </c>
      <c r="AE82" s="299">
        <f t="shared" si="58"/>
        <v>23504.833333333332</v>
      </c>
      <c r="AF82" s="299">
        <f t="shared" si="58"/>
        <v>23504.833333333332</v>
      </c>
      <c r="AG82" s="299">
        <f t="shared" si="58"/>
        <v>23504.833333333332</v>
      </c>
      <c r="AH82" s="299">
        <f t="shared" si="58"/>
        <v>23504.833333333332</v>
      </c>
      <c r="AI82" s="299">
        <f t="shared" si="58"/>
        <v>19587</v>
      </c>
      <c r="AJ82" s="299">
        <f t="shared" si="58"/>
        <v>19587</v>
      </c>
      <c r="AK82" s="299">
        <f t="shared" si="58"/>
        <v>8103</v>
      </c>
      <c r="AL82" s="299">
        <f t="shared" si="58"/>
        <v>0</v>
      </c>
      <c r="AM82" s="299">
        <f t="shared" si="58"/>
        <v>0</v>
      </c>
      <c r="AN82" s="299">
        <f t="shared" si="58"/>
        <v>0</v>
      </c>
      <c r="AO82" s="299">
        <f t="shared" si="58"/>
        <v>0</v>
      </c>
      <c r="AP82" s="299">
        <f t="shared" si="58"/>
        <v>0</v>
      </c>
      <c r="AQ82" s="299">
        <f t="shared" si="58"/>
        <v>0</v>
      </c>
      <c r="AR82" s="299">
        <f t="shared" si="58"/>
        <v>0</v>
      </c>
      <c r="AS82" s="299">
        <f t="shared" si="58"/>
        <v>0</v>
      </c>
    </row>
    <row r="83" spans="1:45" ht="15" customHeight="1" x14ac:dyDescent="0.3">
      <c r="A83"/>
      <c r="B83"/>
      <c r="C83"/>
      <c r="D83"/>
      <c r="E83" s="169" t="str">
        <f xml:space="preserve"> E$66</f>
        <v>Blister copper price</v>
      </c>
      <c r="F83" s="169">
        <f t="shared" ref="F83:I83" si="59" xml:space="preserve"> F$66</f>
        <v>0</v>
      </c>
      <c r="G83" s="169" t="str">
        <f t="shared" si="59"/>
        <v>$ /tCu</v>
      </c>
      <c r="H83" s="169" t="str">
        <f t="shared" si="59"/>
        <v>M</v>
      </c>
      <c r="I83" s="169">
        <f t="shared" si="59"/>
        <v>0</v>
      </c>
      <c r="J83" s="42"/>
      <c r="K83" s="299">
        <f t="shared" ref="K83:O83" si="60" xml:space="preserve"> K$66</f>
        <v>0</v>
      </c>
      <c r="L83" s="299">
        <f t="shared" si="60"/>
        <v>0</v>
      </c>
      <c r="M83" s="299">
        <f t="shared" si="60"/>
        <v>0</v>
      </c>
      <c r="N83" s="299">
        <f t="shared" si="60"/>
        <v>0</v>
      </c>
      <c r="O83" s="299">
        <f t="shared" si="60"/>
        <v>0</v>
      </c>
      <c r="P83" s="299">
        <f t="shared" ref="P83:AS83" si="61" xml:space="preserve"> P$66</f>
        <v>0</v>
      </c>
      <c r="Q83" s="299">
        <f t="shared" si="61"/>
        <v>0</v>
      </c>
      <c r="R83" s="299">
        <f t="shared" si="61"/>
        <v>0</v>
      </c>
      <c r="S83" s="299">
        <f t="shared" si="61"/>
        <v>0</v>
      </c>
      <c r="T83" s="299">
        <f t="shared" si="61"/>
        <v>0</v>
      </c>
      <c r="U83" s="299">
        <f t="shared" si="61"/>
        <v>0</v>
      </c>
      <c r="V83" s="299">
        <f t="shared" si="61"/>
        <v>5354</v>
      </c>
      <c r="W83" s="299">
        <f t="shared" si="61"/>
        <v>5991</v>
      </c>
      <c r="X83" s="299">
        <f t="shared" si="61"/>
        <v>5519</v>
      </c>
      <c r="Y83" s="299">
        <f t="shared" si="61"/>
        <v>5980</v>
      </c>
      <c r="Z83" s="299">
        <f t="shared" si="61"/>
        <v>8335</v>
      </c>
      <c r="AA83" s="299">
        <f t="shared" si="61"/>
        <v>6798</v>
      </c>
      <c r="AB83" s="299">
        <f t="shared" si="61"/>
        <v>7976</v>
      </c>
      <c r="AC83" s="299">
        <f t="shared" si="61"/>
        <v>7976</v>
      </c>
      <c r="AD83" s="299">
        <f t="shared" si="61"/>
        <v>7976</v>
      </c>
      <c r="AE83" s="299">
        <f t="shared" si="61"/>
        <v>7976</v>
      </c>
      <c r="AF83" s="299">
        <f t="shared" si="61"/>
        <v>7976</v>
      </c>
      <c r="AG83" s="299">
        <f t="shared" si="61"/>
        <v>7976</v>
      </c>
      <c r="AH83" s="299">
        <f t="shared" si="61"/>
        <v>7976</v>
      </c>
      <c r="AI83" s="299">
        <f t="shared" si="61"/>
        <v>7976</v>
      </c>
      <c r="AJ83" s="299">
        <f t="shared" si="61"/>
        <v>7976</v>
      </c>
      <c r="AK83" s="299">
        <f t="shared" si="61"/>
        <v>7976</v>
      </c>
      <c r="AL83" s="299">
        <f t="shared" si="61"/>
        <v>0</v>
      </c>
      <c r="AM83" s="299">
        <f t="shared" si="61"/>
        <v>0</v>
      </c>
      <c r="AN83" s="299">
        <f t="shared" si="61"/>
        <v>0</v>
      </c>
      <c r="AO83" s="299">
        <f t="shared" si="61"/>
        <v>0</v>
      </c>
      <c r="AP83" s="299">
        <f t="shared" si="61"/>
        <v>0</v>
      </c>
      <c r="AQ83" s="299">
        <f t="shared" si="61"/>
        <v>0</v>
      </c>
      <c r="AR83" s="299">
        <f t="shared" si="61"/>
        <v>0</v>
      </c>
      <c r="AS83" s="299">
        <f t="shared" si="61"/>
        <v>0</v>
      </c>
    </row>
    <row r="84" spans="1:45" ht="15" customHeight="1" x14ac:dyDescent="0.3">
      <c r="A84"/>
      <c r="B84"/>
      <c r="C84"/>
      <c r="D84"/>
      <c r="E84" s="169" t="s">
        <v>421</v>
      </c>
      <c r="F84" s="169"/>
      <c r="G84" s="290" t="s">
        <v>346</v>
      </c>
      <c r="H84" s="169"/>
      <c r="I84" s="169">
        <f>SUM(K84:AS84)</f>
        <v>2652.5493489999994</v>
      </c>
      <c r="J84" s="42"/>
      <c r="K84" s="299">
        <f t="shared" ref="K84:O84" si="62">K82 * K83 * 10^-6</f>
        <v>0</v>
      </c>
      <c r="L84" s="299">
        <f t="shared" si="62"/>
        <v>0</v>
      </c>
      <c r="M84" s="299">
        <f t="shared" si="62"/>
        <v>0</v>
      </c>
      <c r="N84" s="299">
        <f t="shared" si="62"/>
        <v>0</v>
      </c>
      <c r="O84" s="299">
        <f t="shared" si="62"/>
        <v>0</v>
      </c>
      <c r="P84" s="299">
        <f t="shared" ref="P84:R84" si="63">P82 * P83 * 10^-6</f>
        <v>0</v>
      </c>
      <c r="Q84" s="299">
        <f t="shared" si="63"/>
        <v>0</v>
      </c>
      <c r="R84" s="299">
        <f t="shared" si="63"/>
        <v>0</v>
      </c>
      <c r="S84" s="299">
        <f>S82 * S83 * 10^-6</f>
        <v>0</v>
      </c>
      <c r="T84" s="299">
        <f t="shared" ref="T84:AP84" si="64">T82 * T83 * 10^-6</f>
        <v>0</v>
      </c>
      <c r="U84" s="299">
        <f t="shared" si="64"/>
        <v>0</v>
      </c>
      <c r="V84" s="299">
        <f t="shared" si="64"/>
        <v>63.220031999999996</v>
      </c>
      <c r="W84" s="299">
        <f t="shared" si="64"/>
        <v>174.026568</v>
      </c>
      <c r="X84" s="299">
        <f t="shared" si="64"/>
        <v>188.931927</v>
      </c>
      <c r="Y84" s="299">
        <f t="shared" si="64"/>
        <v>193.81778</v>
      </c>
      <c r="Z84" s="299">
        <f t="shared" si="64"/>
        <v>207.74153999999999</v>
      </c>
      <c r="AA84" s="299">
        <f t="shared" si="64"/>
        <v>152.49953399999998</v>
      </c>
      <c r="AB84" s="299">
        <f t="shared" si="64"/>
        <v>170.38331199999999</v>
      </c>
      <c r="AC84" s="299">
        <f t="shared" si="64"/>
        <v>187.47455066666666</v>
      </c>
      <c r="AD84" s="299">
        <f t="shared" si="64"/>
        <v>187.47455066666666</v>
      </c>
      <c r="AE84" s="299">
        <f t="shared" si="64"/>
        <v>187.47455066666666</v>
      </c>
      <c r="AF84" s="299">
        <f t="shared" si="64"/>
        <v>187.47455066666666</v>
      </c>
      <c r="AG84" s="299">
        <f t="shared" si="64"/>
        <v>187.47455066666666</v>
      </c>
      <c r="AH84" s="299">
        <f t="shared" si="64"/>
        <v>187.47455066666666</v>
      </c>
      <c r="AI84" s="299">
        <f t="shared" si="64"/>
        <v>156.22591199999999</v>
      </c>
      <c r="AJ84" s="299">
        <f t="shared" si="64"/>
        <v>156.22591199999999</v>
      </c>
      <c r="AK84" s="299">
        <f t="shared" si="64"/>
        <v>64.629527999999993</v>
      </c>
      <c r="AL84" s="299">
        <f t="shared" si="64"/>
        <v>0</v>
      </c>
      <c r="AM84" s="299">
        <f t="shared" si="64"/>
        <v>0</v>
      </c>
      <c r="AN84" s="299">
        <f t="shared" si="64"/>
        <v>0</v>
      </c>
      <c r="AO84" s="299">
        <f t="shared" si="64"/>
        <v>0</v>
      </c>
      <c r="AP84" s="299">
        <f t="shared" si="64"/>
        <v>0</v>
      </c>
      <c r="AQ84" s="299">
        <f t="shared" ref="AQ84:AS84" si="65">AQ82 * AQ83 * 10^-6</f>
        <v>0</v>
      </c>
      <c r="AR84" s="299">
        <f t="shared" si="65"/>
        <v>0</v>
      </c>
      <c r="AS84" s="299">
        <f t="shared" si="65"/>
        <v>0</v>
      </c>
    </row>
    <row r="85" spans="1:45" ht="15" customHeight="1" x14ac:dyDescent="0.3">
      <c r="A85"/>
      <c r="B85"/>
      <c r="C85"/>
      <c r="D85"/>
      <c r="H85" s="290"/>
      <c r="J85" s="42"/>
      <c r="K85" s="299"/>
      <c r="L85" s="299"/>
      <c r="M85" s="299"/>
      <c r="N85" s="299"/>
      <c r="O85" s="299"/>
      <c r="P85" s="299"/>
      <c r="Q85" s="299"/>
      <c r="R85" s="299"/>
      <c r="S85" s="299"/>
      <c r="T85" s="299"/>
      <c r="U85" s="299"/>
      <c r="V85" s="299"/>
      <c r="W85" s="299"/>
      <c r="X85" s="299"/>
      <c r="Y85" s="299"/>
      <c r="Z85" s="299"/>
      <c r="AA85" s="299"/>
      <c r="AB85" s="299"/>
      <c r="AC85" s="299"/>
      <c r="AD85" s="299"/>
      <c r="AE85" s="299"/>
      <c r="AF85" s="299"/>
      <c r="AG85" s="299"/>
      <c r="AH85" s="299"/>
      <c r="AI85" s="299"/>
      <c r="AJ85" s="299"/>
      <c r="AK85" s="299"/>
      <c r="AL85" s="299"/>
      <c r="AM85" s="299"/>
      <c r="AN85" s="299"/>
      <c r="AO85" s="299"/>
      <c r="AP85" s="299"/>
      <c r="AQ85" s="299"/>
      <c r="AR85" s="299"/>
      <c r="AS85" s="299"/>
    </row>
    <row r="86" spans="1:45" ht="15" customHeight="1" x14ac:dyDescent="0.3">
      <c r="A86"/>
      <c r="B86"/>
      <c r="C86"/>
      <c r="D86"/>
      <c r="E86" s="169" t="str">
        <f xml:space="preserve"> E$52</f>
        <v>Copper matt</v>
      </c>
      <c r="F86" s="169">
        <f t="shared" ref="F86:I86" si="66" xml:space="preserve"> F$52</f>
        <v>0</v>
      </c>
      <c r="G86" s="169" t="str">
        <f t="shared" si="66"/>
        <v>tonnes</v>
      </c>
      <c r="H86" s="169">
        <f t="shared" si="66"/>
        <v>0</v>
      </c>
      <c r="I86" s="169">
        <f t="shared" si="66"/>
        <v>40880</v>
      </c>
      <c r="J86" s="42"/>
      <c r="K86" s="299">
        <f t="shared" ref="K86:O86" si="67" xml:space="preserve"> K$52</f>
        <v>0</v>
      </c>
      <c r="L86" s="299">
        <f t="shared" si="67"/>
        <v>0</v>
      </c>
      <c r="M86" s="299">
        <f t="shared" si="67"/>
        <v>0</v>
      </c>
      <c r="N86" s="299">
        <f t="shared" si="67"/>
        <v>0</v>
      </c>
      <c r="O86" s="299">
        <f t="shared" si="67"/>
        <v>0</v>
      </c>
      <c r="P86" s="299">
        <f t="shared" ref="P86:AS86" si="68" xml:space="preserve"> P$52</f>
        <v>0</v>
      </c>
      <c r="Q86" s="299">
        <f t="shared" si="68"/>
        <v>0</v>
      </c>
      <c r="R86" s="299">
        <f t="shared" si="68"/>
        <v>0</v>
      </c>
      <c r="S86" s="299">
        <f t="shared" si="68"/>
        <v>0</v>
      </c>
      <c r="T86" s="299">
        <f t="shared" si="68"/>
        <v>0</v>
      </c>
      <c r="U86" s="299">
        <f t="shared" si="68"/>
        <v>0</v>
      </c>
      <c r="V86" s="299">
        <f t="shared" si="68"/>
        <v>735</v>
      </c>
      <c r="W86" s="299">
        <f t="shared" si="68"/>
        <v>4026</v>
      </c>
      <c r="X86" s="299">
        <f t="shared" si="68"/>
        <v>3910</v>
      </c>
      <c r="Y86" s="299">
        <f t="shared" si="68"/>
        <v>3656</v>
      </c>
      <c r="Z86" s="299">
        <f t="shared" si="68"/>
        <v>1848</v>
      </c>
      <c r="AA86" s="299">
        <f t="shared" si="68"/>
        <v>2275</v>
      </c>
      <c r="AB86" s="299">
        <f t="shared" si="68"/>
        <v>3507</v>
      </c>
      <c r="AC86" s="299">
        <f t="shared" si="68"/>
        <v>2611.8333333333335</v>
      </c>
      <c r="AD86" s="299">
        <f t="shared" si="68"/>
        <v>2611.8333333333335</v>
      </c>
      <c r="AE86" s="299">
        <f t="shared" si="68"/>
        <v>2611.8333333333335</v>
      </c>
      <c r="AF86" s="299">
        <f t="shared" si="68"/>
        <v>2611.8333333333335</v>
      </c>
      <c r="AG86" s="299">
        <f t="shared" si="68"/>
        <v>2611.8333333333335</v>
      </c>
      <c r="AH86" s="299">
        <f t="shared" si="68"/>
        <v>2611.8333333333335</v>
      </c>
      <c r="AI86" s="299">
        <f t="shared" si="68"/>
        <v>2176</v>
      </c>
      <c r="AJ86" s="299">
        <f t="shared" si="68"/>
        <v>2176</v>
      </c>
      <c r="AK86" s="299">
        <f t="shared" si="68"/>
        <v>900</v>
      </c>
      <c r="AL86" s="299">
        <f t="shared" si="68"/>
        <v>0</v>
      </c>
      <c r="AM86" s="299">
        <f t="shared" si="68"/>
        <v>0</v>
      </c>
      <c r="AN86" s="299">
        <f t="shared" si="68"/>
        <v>0</v>
      </c>
      <c r="AO86" s="299">
        <f t="shared" si="68"/>
        <v>0</v>
      </c>
      <c r="AP86" s="299">
        <f t="shared" si="68"/>
        <v>0</v>
      </c>
      <c r="AQ86" s="299">
        <f t="shared" si="68"/>
        <v>0</v>
      </c>
      <c r="AR86" s="299">
        <f t="shared" si="68"/>
        <v>0</v>
      </c>
      <c r="AS86" s="299">
        <f t="shared" si="68"/>
        <v>0</v>
      </c>
    </row>
    <row r="87" spans="1:45" ht="15" customHeight="1" x14ac:dyDescent="0.3">
      <c r="A87"/>
      <c r="B87"/>
      <c r="C87"/>
      <c r="D87"/>
      <c r="E87" s="169" t="str">
        <f xml:space="preserve"> E$67</f>
        <v>Copper matt price</v>
      </c>
      <c r="F87" s="169">
        <f t="shared" ref="F87:I87" si="69" xml:space="preserve"> F$67</f>
        <v>0</v>
      </c>
      <c r="G87" s="169" t="str">
        <f t="shared" si="69"/>
        <v>$ /tCu</v>
      </c>
      <c r="H87" s="169" t="str">
        <f t="shared" si="69"/>
        <v>M</v>
      </c>
      <c r="I87" s="169">
        <f t="shared" si="69"/>
        <v>0</v>
      </c>
      <c r="J87" s="42"/>
      <c r="K87" s="299">
        <f t="shared" ref="K87:O87" si="70" xml:space="preserve"> K$67</f>
        <v>0</v>
      </c>
      <c r="L87" s="299">
        <f t="shared" si="70"/>
        <v>0</v>
      </c>
      <c r="M87" s="299">
        <f t="shared" si="70"/>
        <v>0</v>
      </c>
      <c r="N87" s="299">
        <f t="shared" si="70"/>
        <v>0</v>
      </c>
      <c r="O87" s="299">
        <f t="shared" si="70"/>
        <v>0</v>
      </c>
      <c r="P87" s="299">
        <f t="shared" ref="P87:AS87" si="71" xml:space="preserve"> P$67</f>
        <v>0</v>
      </c>
      <c r="Q87" s="299">
        <f t="shared" si="71"/>
        <v>0</v>
      </c>
      <c r="R87" s="299">
        <f t="shared" si="71"/>
        <v>0</v>
      </c>
      <c r="S87" s="299">
        <f t="shared" si="71"/>
        <v>0</v>
      </c>
      <c r="T87" s="299">
        <f t="shared" si="71"/>
        <v>0</v>
      </c>
      <c r="U87" s="299">
        <f t="shared" si="71"/>
        <v>0</v>
      </c>
      <c r="V87" s="299">
        <f t="shared" si="71"/>
        <v>4296</v>
      </c>
      <c r="W87" s="299">
        <f t="shared" si="71"/>
        <v>4807</v>
      </c>
      <c r="X87" s="299">
        <f t="shared" si="71"/>
        <v>4428</v>
      </c>
      <c r="Y87" s="299">
        <f t="shared" si="71"/>
        <v>4799</v>
      </c>
      <c r="Z87" s="299">
        <f t="shared" si="71"/>
        <v>6688</v>
      </c>
      <c r="AA87" s="299">
        <f t="shared" si="71"/>
        <v>5455</v>
      </c>
      <c r="AB87" s="299">
        <f t="shared" si="71"/>
        <v>6400</v>
      </c>
      <c r="AC87" s="299">
        <f t="shared" si="71"/>
        <v>6400</v>
      </c>
      <c r="AD87" s="299">
        <f t="shared" si="71"/>
        <v>6400</v>
      </c>
      <c r="AE87" s="299">
        <f t="shared" si="71"/>
        <v>6400</v>
      </c>
      <c r="AF87" s="299">
        <f t="shared" si="71"/>
        <v>6400</v>
      </c>
      <c r="AG87" s="299">
        <f t="shared" si="71"/>
        <v>6400</v>
      </c>
      <c r="AH87" s="299">
        <f t="shared" si="71"/>
        <v>6400</v>
      </c>
      <c r="AI87" s="299">
        <f t="shared" si="71"/>
        <v>6400</v>
      </c>
      <c r="AJ87" s="299">
        <f t="shared" si="71"/>
        <v>6400</v>
      </c>
      <c r="AK87" s="299">
        <f t="shared" si="71"/>
        <v>6400</v>
      </c>
      <c r="AL87" s="299">
        <f t="shared" si="71"/>
        <v>0</v>
      </c>
      <c r="AM87" s="299">
        <f t="shared" si="71"/>
        <v>0</v>
      </c>
      <c r="AN87" s="299">
        <f t="shared" si="71"/>
        <v>0</v>
      </c>
      <c r="AO87" s="299">
        <f t="shared" si="71"/>
        <v>0</v>
      </c>
      <c r="AP87" s="299">
        <f t="shared" si="71"/>
        <v>0</v>
      </c>
      <c r="AQ87" s="299">
        <f t="shared" si="71"/>
        <v>0</v>
      </c>
      <c r="AR87" s="299">
        <f t="shared" si="71"/>
        <v>0</v>
      </c>
      <c r="AS87" s="299">
        <f t="shared" si="71"/>
        <v>0</v>
      </c>
    </row>
    <row r="88" spans="1:45" ht="15" customHeight="1" x14ac:dyDescent="0.3">
      <c r="A88"/>
      <c r="B88"/>
      <c r="C88"/>
      <c r="D88"/>
      <c r="E88" s="169" t="s">
        <v>422</v>
      </c>
      <c r="F88" s="169"/>
      <c r="G88" s="290" t="s">
        <v>346</v>
      </c>
      <c r="H88" s="169"/>
      <c r="I88" s="169">
        <f>SUM(K88:AS88)</f>
        <v>238.49071499999997</v>
      </c>
      <c r="J88" s="42"/>
      <c r="K88" s="299">
        <f t="shared" ref="K88:O88" si="72">K86 * K87 * 10^-6</f>
        <v>0</v>
      </c>
      <c r="L88" s="299">
        <f t="shared" si="72"/>
        <v>0</v>
      </c>
      <c r="M88" s="299">
        <f t="shared" si="72"/>
        <v>0</v>
      </c>
      <c r="N88" s="299">
        <f t="shared" si="72"/>
        <v>0</v>
      </c>
      <c r="O88" s="299">
        <f t="shared" si="72"/>
        <v>0</v>
      </c>
      <c r="P88" s="299">
        <f t="shared" ref="P88:R88" si="73">P86 * P87 * 10^-6</f>
        <v>0</v>
      </c>
      <c r="Q88" s="299">
        <f t="shared" si="73"/>
        <v>0</v>
      </c>
      <c r="R88" s="299">
        <f t="shared" si="73"/>
        <v>0</v>
      </c>
      <c r="S88" s="299">
        <f>S86 * S87 * 10^-6</f>
        <v>0</v>
      </c>
      <c r="T88" s="299">
        <f t="shared" ref="T88:AP88" si="74">T86 * T87 * 10^-6</f>
        <v>0</v>
      </c>
      <c r="U88" s="299">
        <f t="shared" si="74"/>
        <v>0</v>
      </c>
      <c r="V88" s="299">
        <f t="shared" si="74"/>
        <v>3.1575599999999997</v>
      </c>
      <c r="W88" s="299">
        <f t="shared" si="74"/>
        <v>19.352982000000001</v>
      </c>
      <c r="X88" s="299">
        <f t="shared" si="74"/>
        <v>17.313479999999998</v>
      </c>
      <c r="Y88" s="299">
        <f t="shared" si="74"/>
        <v>17.545144000000001</v>
      </c>
      <c r="Z88" s="299">
        <f t="shared" si="74"/>
        <v>12.359423999999999</v>
      </c>
      <c r="AA88" s="299">
        <f t="shared" si="74"/>
        <v>12.410124999999999</v>
      </c>
      <c r="AB88" s="299">
        <f t="shared" si="74"/>
        <v>22.444800000000001</v>
      </c>
      <c r="AC88" s="299">
        <f t="shared" si="74"/>
        <v>16.715733333333333</v>
      </c>
      <c r="AD88" s="299">
        <f t="shared" si="74"/>
        <v>16.715733333333333</v>
      </c>
      <c r="AE88" s="299">
        <f t="shared" si="74"/>
        <v>16.715733333333333</v>
      </c>
      <c r="AF88" s="299">
        <f t="shared" si="74"/>
        <v>16.715733333333333</v>
      </c>
      <c r="AG88" s="299">
        <f t="shared" si="74"/>
        <v>16.715733333333333</v>
      </c>
      <c r="AH88" s="299">
        <f t="shared" si="74"/>
        <v>16.715733333333333</v>
      </c>
      <c r="AI88" s="299">
        <f t="shared" si="74"/>
        <v>13.926399999999999</v>
      </c>
      <c r="AJ88" s="299">
        <f t="shared" si="74"/>
        <v>13.926399999999999</v>
      </c>
      <c r="AK88" s="299">
        <f t="shared" si="74"/>
        <v>5.76</v>
      </c>
      <c r="AL88" s="299">
        <f t="shared" si="74"/>
        <v>0</v>
      </c>
      <c r="AM88" s="299">
        <f t="shared" si="74"/>
        <v>0</v>
      </c>
      <c r="AN88" s="299">
        <f t="shared" si="74"/>
        <v>0</v>
      </c>
      <c r="AO88" s="299">
        <f t="shared" si="74"/>
        <v>0</v>
      </c>
      <c r="AP88" s="299">
        <f t="shared" si="74"/>
        <v>0</v>
      </c>
      <c r="AQ88" s="299">
        <f t="shared" ref="AQ88:AS88" si="75">AQ86 * AQ87 * 10^-6</f>
        <v>0</v>
      </c>
      <c r="AR88" s="299">
        <f t="shared" si="75"/>
        <v>0</v>
      </c>
      <c r="AS88" s="299">
        <f t="shared" si="75"/>
        <v>0</v>
      </c>
    </row>
    <row r="89" spans="1:45" ht="15" customHeight="1" x14ac:dyDescent="0.3">
      <c r="A89"/>
      <c r="B89"/>
      <c r="C89"/>
      <c r="D89"/>
      <c r="H89" s="290"/>
      <c r="J89" s="42"/>
      <c r="K89" s="299"/>
      <c r="L89" s="299"/>
      <c r="M89" s="299"/>
      <c r="N89" s="299"/>
      <c r="O89" s="299"/>
      <c r="P89" s="299"/>
      <c r="Q89" s="299"/>
      <c r="R89" s="299"/>
      <c r="S89" s="299"/>
      <c r="T89" s="299"/>
      <c r="U89" s="299"/>
      <c r="V89" s="299"/>
      <c r="W89" s="299"/>
      <c r="X89" s="299"/>
      <c r="Y89" s="299"/>
      <c r="Z89" s="299"/>
      <c r="AA89" s="299"/>
      <c r="AB89" s="299"/>
      <c r="AC89" s="299"/>
      <c r="AD89" s="299"/>
      <c r="AE89" s="299"/>
      <c r="AF89" s="299"/>
      <c r="AG89" s="299"/>
      <c r="AH89" s="299"/>
      <c r="AI89" s="299"/>
      <c r="AJ89" s="299"/>
      <c r="AK89" s="299"/>
      <c r="AL89" s="299"/>
      <c r="AM89" s="299"/>
      <c r="AN89" s="299"/>
      <c r="AO89" s="299"/>
      <c r="AP89" s="299"/>
      <c r="AQ89" s="299"/>
      <c r="AR89" s="299"/>
      <c r="AS89" s="299"/>
    </row>
    <row r="90" spans="1:45" ht="15" customHeight="1" x14ac:dyDescent="0.3">
      <c r="A90"/>
      <c r="B90"/>
      <c r="C90"/>
      <c r="D90"/>
      <c r="E90" s="169" t="str">
        <f xml:space="preserve"> E$53</f>
        <v>Copper sulfide concentrates</v>
      </c>
      <c r="F90" s="169">
        <f t="shared" ref="F90:I90" si="76" xml:space="preserve"> F$53</f>
        <v>0</v>
      </c>
      <c r="G90" s="169" t="str">
        <f t="shared" si="76"/>
        <v>tonnes</v>
      </c>
      <c r="H90" s="169">
        <f t="shared" si="76"/>
        <v>0</v>
      </c>
      <c r="I90" s="169">
        <f t="shared" si="76"/>
        <v>372689</v>
      </c>
      <c r="J90" s="42"/>
      <c r="K90" s="299">
        <f t="shared" ref="K90:O90" si="77" xml:space="preserve"> K$53</f>
        <v>0</v>
      </c>
      <c r="L90" s="299">
        <f t="shared" si="77"/>
        <v>0</v>
      </c>
      <c r="M90" s="299">
        <f t="shared" si="77"/>
        <v>0</v>
      </c>
      <c r="N90" s="299">
        <f t="shared" si="77"/>
        <v>0</v>
      </c>
      <c r="O90" s="299">
        <f t="shared" si="77"/>
        <v>0</v>
      </c>
      <c r="P90" s="299">
        <f t="shared" ref="P90:AS90" si="78" xml:space="preserve"> P$53</f>
        <v>0</v>
      </c>
      <c r="Q90" s="299">
        <f t="shared" si="78"/>
        <v>0</v>
      </c>
      <c r="R90" s="299">
        <f t="shared" si="78"/>
        <v>0</v>
      </c>
      <c r="S90" s="299">
        <f t="shared" si="78"/>
        <v>0</v>
      </c>
      <c r="T90" s="299">
        <f t="shared" si="78"/>
        <v>0</v>
      </c>
      <c r="U90" s="299">
        <f t="shared" si="78"/>
        <v>0</v>
      </c>
      <c r="V90" s="299">
        <f t="shared" si="78"/>
        <v>22146</v>
      </c>
      <c r="W90" s="299">
        <f t="shared" si="78"/>
        <v>71511</v>
      </c>
      <c r="X90" s="299">
        <f t="shared" si="78"/>
        <v>61170</v>
      </c>
      <c r="Y90" s="299">
        <f t="shared" si="78"/>
        <v>36712</v>
      </c>
      <c r="Z90" s="299">
        <f t="shared" si="78"/>
        <v>116222</v>
      </c>
      <c r="AA90" s="299">
        <f t="shared" si="78"/>
        <v>40314</v>
      </c>
      <c r="AB90" s="299">
        <f t="shared" si="78"/>
        <v>24614</v>
      </c>
      <c r="AC90" s="299">
        <f t="shared" si="78"/>
        <v>0</v>
      </c>
      <c r="AD90" s="299">
        <f t="shared" si="78"/>
        <v>0</v>
      </c>
      <c r="AE90" s="299">
        <f t="shared" si="78"/>
        <v>0</v>
      </c>
      <c r="AF90" s="299">
        <f t="shared" si="78"/>
        <v>0</v>
      </c>
      <c r="AG90" s="299">
        <f t="shared" si="78"/>
        <v>0</v>
      </c>
      <c r="AH90" s="299">
        <f t="shared" si="78"/>
        <v>0</v>
      </c>
      <c r="AI90" s="299">
        <f t="shared" si="78"/>
        <v>0</v>
      </c>
      <c r="AJ90" s="299">
        <f t="shared" si="78"/>
        <v>0</v>
      </c>
      <c r="AK90" s="299">
        <f t="shared" si="78"/>
        <v>0</v>
      </c>
      <c r="AL90" s="299">
        <f t="shared" si="78"/>
        <v>0</v>
      </c>
      <c r="AM90" s="299">
        <f t="shared" si="78"/>
        <v>0</v>
      </c>
      <c r="AN90" s="299">
        <f t="shared" si="78"/>
        <v>0</v>
      </c>
      <c r="AO90" s="299">
        <f t="shared" si="78"/>
        <v>0</v>
      </c>
      <c r="AP90" s="299">
        <f t="shared" si="78"/>
        <v>0</v>
      </c>
      <c r="AQ90" s="299">
        <f t="shared" si="78"/>
        <v>0</v>
      </c>
      <c r="AR90" s="299">
        <f t="shared" si="78"/>
        <v>0</v>
      </c>
      <c r="AS90" s="299">
        <f t="shared" si="78"/>
        <v>0</v>
      </c>
    </row>
    <row r="91" spans="1:45" ht="15" customHeight="1" x14ac:dyDescent="0.3">
      <c r="A91"/>
      <c r="B91"/>
      <c r="C91"/>
      <c r="D91"/>
      <c r="E91" s="169" t="str">
        <f xml:space="preserve"> E$68</f>
        <v>Copper sulfide concentrates price</v>
      </c>
      <c r="F91" s="169">
        <f t="shared" ref="F91:I91" si="79" xml:space="preserve"> F$68</f>
        <v>0</v>
      </c>
      <c r="G91" s="169" t="str">
        <f t="shared" si="79"/>
        <v>$ /tCu</v>
      </c>
      <c r="H91" s="169" t="str">
        <f t="shared" si="79"/>
        <v>M</v>
      </c>
      <c r="I91" s="169">
        <f t="shared" si="79"/>
        <v>0</v>
      </c>
      <c r="J91" s="42"/>
      <c r="K91" s="299">
        <f t="shared" ref="K91:O91" si="80" xml:space="preserve"> K$68</f>
        <v>0</v>
      </c>
      <c r="L91" s="299">
        <f t="shared" si="80"/>
        <v>0</v>
      </c>
      <c r="M91" s="299">
        <f t="shared" si="80"/>
        <v>0</v>
      </c>
      <c r="N91" s="299">
        <f t="shared" si="80"/>
        <v>0</v>
      </c>
      <c r="O91" s="299">
        <f t="shared" si="80"/>
        <v>0</v>
      </c>
      <c r="P91" s="299">
        <f t="shared" ref="P91:AS91" si="81" xml:space="preserve"> P$68</f>
        <v>0</v>
      </c>
      <c r="Q91" s="299">
        <f t="shared" si="81"/>
        <v>0</v>
      </c>
      <c r="R91" s="299">
        <f t="shared" si="81"/>
        <v>0</v>
      </c>
      <c r="S91" s="299">
        <f t="shared" si="81"/>
        <v>0</v>
      </c>
      <c r="T91" s="299">
        <f t="shared" si="81"/>
        <v>0</v>
      </c>
      <c r="U91" s="299">
        <f t="shared" si="81"/>
        <v>0</v>
      </c>
      <c r="V91" s="299">
        <f t="shared" si="81"/>
        <v>1123</v>
      </c>
      <c r="W91" s="299">
        <f t="shared" si="81"/>
        <v>833</v>
      </c>
      <c r="X91" s="299">
        <f t="shared" si="81"/>
        <v>815</v>
      </c>
      <c r="Y91" s="299">
        <f t="shared" si="81"/>
        <v>2096</v>
      </c>
      <c r="Z91" s="299">
        <f t="shared" si="81"/>
        <v>2447</v>
      </c>
      <c r="AA91" s="299">
        <f t="shared" si="81"/>
        <v>6001</v>
      </c>
      <c r="AB91" s="299">
        <f t="shared" si="81"/>
        <v>7040</v>
      </c>
      <c r="AC91" s="299">
        <f t="shared" si="81"/>
        <v>7040</v>
      </c>
      <c r="AD91" s="299">
        <f t="shared" si="81"/>
        <v>7040</v>
      </c>
      <c r="AE91" s="299">
        <f t="shared" si="81"/>
        <v>7040</v>
      </c>
      <c r="AF91" s="299">
        <f t="shared" si="81"/>
        <v>7040</v>
      </c>
      <c r="AG91" s="299">
        <f t="shared" si="81"/>
        <v>7040</v>
      </c>
      <c r="AH91" s="299">
        <f t="shared" si="81"/>
        <v>7040</v>
      </c>
      <c r="AI91" s="299">
        <f t="shared" si="81"/>
        <v>7040</v>
      </c>
      <c r="AJ91" s="299">
        <f t="shared" si="81"/>
        <v>7040</v>
      </c>
      <c r="AK91" s="299">
        <f t="shared" si="81"/>
        <v>7040</v>
      </c>
      <c r="AL91" s="299">
        <f t="shared" si="81"/>
        <v>0</v>
      </c>
      <c r="AM91" s="299">
        <f t="shared" si="81"/>
        <v>0</v>
      </c>
      <c r="AN91" s="299">
        <f t="shared" si="81"/>
        <v>0</v>
      </c>
      <c r="AO91" s="299">
        <f t="shared" si="81"/>
        <v>0</v>
      </c>
      <c r="AP91" s="299">
        <f t="shared" si="81"/>
        <v>0</v>
      </c>
      <c r="AQ91" s="299">
        <f t="shared" si="81"/>
        <v>0</v>
      </c>
      <c r="AR91" s="299">
        <f t="shared" si="81"/>
        <v>0</v>
      </c>
      <c r="AS91" s="299">
        <f t="shared" si="81"/>
        <v>0</v>
      </c>
    </row>
    <row r="92" spans="1:45" ht="15" customHeight="1" x14ac:dyDescent="0.3">
      <c r="A92"/>
      <c r="B92"/>
      <c r="C92"/>
      <c r="D92"/>
      <c r="E92" s="169" t="s">
        <v>423</v>
      </c>
      <c r="F92" s="169"/>
      <c r="G92" s="290" t="s">
        <v>346</v>
      </c>
      <c r="H92" s="169"/>
      <c r="I92" s="169">
        <f>SUM(K92:AS92)</f>
        <v>910.84263099999987</v>
      </c>
      <c r="J92" s="42"/>
      <c r="K92" s="299">
        <f t="shared" ref="K92:O92" si="82">K90 * K91 * 10^-6</f>
        <v>0</v>
      </c>
      <c r="L92" s="299">
        <f t="shared" si="82"/>
        <v>0</v>
      </c>
      <c r="M92" s="299">
        <f t="shared" si="82"/>
        <v>0</v>
      </c>
      <c r="N92" s="299">
        <f t="shared" si="82"/>
        <v>0</v>
      </c>
      <c r="O92" s="299">
        <f t="shared" si="82"/>
        <v>0</v>
      </c>
      <c r="P92" s="299">
        <f t="shared" ref="P92:R92" si="83">P90 * P91 * 10^-6</f>
        <v>0</v>
      </c>
      <c r="Q92" s="299">
        <f t="shared" si="83"/>
        <v>0</v>
      </c>
      <c r="R92" s="299">
        <f t="shared" si="83"/>
        <v>0</v>
      </c>
      <c r="S92" s="299">
        <f>S90 * S91 * 10^-6</f>
        <v>0</v>
      </c>
      <c r="T92" s="299">
        <f t="shared" ref="T92:AP92" si="84">T90 * T91 * 10^-6</f>
        <v>0</v>
      </c>
      <c r="U92" s="299">
        <f t="shared" si="84"/>
        <v>0</v>
      </c>
      <c r="V92" s="299">
        <f t="shared" si="84"/>
        <v>24.869958</v>
      </c>
      <c r="W92" s="299">
        <f t="shared" si="84"/>
        <v>59.568663000000001</v>
      </c>
      <c r="X92" s="299">
        <f t="shared" si="84"/>
        <v>49.853549999999998</v>
      </c>
      <c r="Y92" s="299">
        <f t="shared" si="84"/>
        <v>76.948352</v>
      </c>
      <c r="Z92" s="299">
        <f t="shared" si="84"/>
        <v>284.39523399999996</v>
      </c>
      <c r="AA92" s="299">
        <f t="shared" si="84"/>
        <v>241.92431399999998</v>
      </c>
      <c r="AB92" s="299">
        <f t="shared" si="84"/>
        <v>173.28255999999999</v>
      </c>
      <c r="AC92" s="299">
        <f t="shared" si="84"/>
        <v>0</v>
      </c>
      <c r="AD92" s="299">
        <f t="shared" si="84"/>
        <v>0</v>
      </c>
      <c r="AE92" s="299">
        <f t="shared" si="84"/>
        <v>0</v>
      </c>
      <c r="AF92" s="299">
        <f t="shared" si="84"/>
        <v>0</v>
      </c>
      <c r="AG92" s="299">
        <f t="shared" si="84"/>
        <v>0</v>
      </c>
      <c r="AH92" s="299">
        <f t="shared" si="84"/>
        <v>0</v>
      </c>
      <c r="AI92" s="299">
        <f t="shared" si="84"/>
        <v>0</v>
      </c>
      <c r="AJ92" s="299">
        <f t="shared" si="84"/>
        <v>0</v>
      </c>
      <c r="AK92" s="299">
        <f t="shared" si="84"/>
        <v>0</v>
      </c>
      <c r="AL92" s="299">
        <f t="shared" si="84"/>
        <v>0</v>
      </c>
      <c r="AM92" s="299">
        <f t="shared" si="84"/>
        <v>0</v>
      </c>
      <c r="AN92" s="299">
        <f t="shared" si="84"/>
        <v>0</v>
      </c>
      <c r="AO92" s="299">
        <f t="shared" si="84"/>
        <v>0</v>
      </c>
      <c r="AP92" s="299">
        <f t="shared" si="84"/>
        <v>0</v>
      </c>
      <c r="AQ92" s="299">
        <f t="shared" ref="AQ92:AS92" si="85">AQ90 * AQ91 * 10^-6</f>
        <v>0</v>
      </c>
      <c r="AR92" s="299">
        <f t="shared" si="85"/>
        <v>0</v>
      </c>
      <c r="AS92" s="299">
        <f t="shared" si="85"/>
        <v>0</v>
      </c>
    </row>
    <row r="93" spans="1:45" ht="15" customHeight="1" x14ac:dyDescent="0.3">
      <c r="A93"/>
      <c r="B93"/>
      <c r="C93"/>
      <c r="D93"/>
      <c r="H93" s="290"/>
      <c r="J93" s="42"/>
      <c r="K93" s="299"/>
      <c r="L93" s="299"/>
      <c r="M93" s="299"/>
      <c r="N93" s="299"/>
      <c r="O93" s="299"/>
      <c r="P93" s="299"/>
      <c r="Q93" s="299"/>
      <c r="R93" s="299"/>
      <c r="S93" s="299"/>
      <c r="T93" s="299"/>
      <c r="U93" s="299"/>
      <c r="V93" s="299"/>
      <c r="W93" s="299"/>
      <c r="X93" s="299"/>
      <c r="Y93" s="299"/>
      <c r="Z93" s="299"/>
      <c r="AA93" s="299"/>
      <c r="AB93" s="299"/>
      <c r="AC93" s="299"/>
      <c r="AD93" s="299"/>
      <c r="AE93" s="299"/>
      <c r="AF93" s="299"/>
      <c r="AG93" s="299"/>
      <c r="AH93" s="299"/>
      <c r="AI93" s="299"/>
      <c r="AJ93" s="299"/>
      <c r="AK93" s="299"/>
      <c r="AL93" s="299"/>
      <c r="AM93" s="299"/>
      <c r="AN93" s="299"/>
      <c r="AO93" s="299"/>
      <c r="AP93" s="299"/>
      <c r="AQ93" s="299"/>
      <c r="AR93" s="299"/>
      <c r="AS93" s="299"/>
    </row>
    <row r="94" spans="1:45" ht="15" customHeight="1" x14ac:dyDescent="0.3">
      <c r="A94"/>
      <c r="B94"/>
      <c r="C94"/>
      <c r="D94"/>
      <c r="E94" s="169" t="str">
        <f xml:space="preserve"> E$54</f>
        <v>Copper oxide concentrates</v>
      </c>
      <c r="F94" s="169">
        <f t="shared" ref="F94:I94" si="86" xml:space="preserve"> F$54</f>
        <v>0</v>
      </c>
      <c r="G94" s="169" t="str">
        <f t="shared" si="86"/>
        <v>tonnes</v>
      </c>
      <c r="H94" s="169">
        <f t="shared" si="86"/>
        <v>0</v>
      </c>
      <c r="I94" s="169">
        <f t="shared" si="86"/>
        <v>50936.000000000015</v>
      </c>
      <c r="J94" s="42"/>
      <c r="K94" s="299">
        <f t="shared" ref="K94:O94" si="87" xml:space="preserve"> K$54</f>
        <v>0</v>
      </c>
      <c r="L94" s="299">
        <f t="shared" si="87"/>
        <v>0</v>
      </c>
      <c r="M94" s="299">
        <f t="shared" si="87"/>
        <v>0</v>
      </c>
      <c r="N94" s="299">
        <f t="shared" si="87"/>
        <v>0</v>
      </c>
      <c r="O94" s="299">
        <f t="shared" si="87"/>
        <v>0</v>
      </c>
      <c r="P94" s="299">
        <f t="shared" ref="P94:AS94" si="88" xml:space="preserve"> P$54</f>
        <v>0</v>
      </c>
      <c r="Q94" s="299">
        <f t="shared" si="88"/>
        <v>0</v>
      </c>
      <c r="R94" s="299">
        <f t="shared" si="88"/>
        <v>0</v>
      </c>
      <c r="S94" s="299">
        <f t="shared" si="88"/>
        <v>0</v>
      </c>
      <c r="T94" s="299">
        <f t="shared" si="88"/>
        <v>0</v>
      </c>
      <c r="U94" s="299">
        <f t="shared" si="88"/>
        <v>0</v>
      </c>
      <c r="V94" s="299">
        <f t="shared" si="88"/>
        <v>5003</v>
      </c>
      <c r="W94" s="299">
        <f t="shared" si="88"/>
        <v>7379</v>
      </c>
      <c r="X94" s="299">
        <f t="shared" si="88"/>
        <v>5794</v>
      </c>
      <c r="Y94" s="299">
        <f t="shared" si="88"/>
        <v>1079</v>
      </c>
      <c r="Z94" s="299">
        <f t="shared" si="88"/>
        <v>12902</v>
      </c>
      <c r="AA94" s="299">
        <f t="shared" si="88"/>
        <v>8220</v>
      </c>
      <c r="AB94" s="299">
        <f t="shared" si="88"/>
        <v>1680</v>
      </c>
      <c r="AC94" s="299">
        <f t="shared" si="88"/>
        <v>1479.8333333333333</v>
      </c>
      <c r="AD94" s="299">
        <f t="shared" si="88"/>
        <v>1479.8333333333333</v>
      </c>
      <c r="AE94" s="299">
        <f t="shared" si="88"/>
        <v>1479.8333333333333</v>
      </c>
      <c r="AF94" s="299">
        <f t="shared" si="88"/>
        <v>1479.8333333333333</v>
      </c>
      <c r="AG94" s="299">
        <f t="shared" si="88"/>
        <v>1479.8333333333333</v>
      </c>
      <c r="AH94" s="299">
        <f t="shared" si="88"/>
        <v>1479.8333333333333</v>
      </c>
      <c r="AI94" s="299">
        <f t="shared" si="88"/>
        <v>0</v>
      </c>
      <c r="AJ94" s="299">
        <f t="shared" si="88"/>
        <v>0</v>
      </c>
      <c r="AK94" s="299">
        <f t="shared" si="88"/>
        <v>0</v>
      </c>
      <c r="AL94" s="299">
        <f t="shared" si="88"/>
        <v>0</v>
      </c>
      <c r="AM94" s="299">
        <f t="shared" si="88"/>
        <v>0</v>
      </c>
      <c r="AN94" s="299">
        <f t="shared" si="88"/>
        <v>0</v>
      </c>
      <c r="AO94" s="299">
        <f t="shared" si="88"/>
        <v>0</v>
      </c>
      <c r="AP94" s="299">
        <f t="shared" si="88"/>
        <v>0</v>
      </c>
      <c r="AQ94" s="299">
        <f t="shared" si="88"/>
        <v>0</v>
      </c>
      <c r="AR94" s="299">
        <f t="shared" si="88"/>
        <v>0</v>
      </c>
      <c r="AS94" s="299">
        <f t="shared" si="88"/>
        <v>0</v>
      </c>
    </row>
    <row r="95" spans="1:45" ht="15" customHeight="1" x14ac:dyDescent="0.3">
      <c r="A95"/>
      <c r="B95"/>
      <c r="C95"/>
      <c r="D95"/>
      <c r="E95" s="169" t="str">
        <f xml:space="preserve"> E$69</f>
        <v>Copper oxide concentrates price</v>
      </c>
      <c r="F95" s="169">
        <f t="shared" ref="F95:I95" si="89" xml:space="preserve"> F$69</f>
        <v>0</v>
      </c>
      <c r="G95" s="169" t="str">
        <f t="shared" si="89"/>
        <v>$ /tCu</v>
      </c>
      <c r="H95" s="169" t="str">
        <f t="shared" si="89"/>
        <v>M</v>
      </c>
      <c r="I95" s="169">
        <f t="shared" si="89"/>
        <v>0</v>
      </c>
      <c r="J95" s="42"/>
      <c r="K95" s="299">
        <f t="shared" ref="K95:O95" si="90" xml:space="preserve"> K$69</f>
        <v>0</v>
      </c>
      <c r="L95" s="299">
        <f t="shared" si="90"/>
        <v>0</v>
      </c>
      <c r="M95" s="299">
        <f t="shared" si="90"/>
        <v>0</v>
      </c>
      <c r="N95" s="299">
        <f t="shared" si="90"/>
        <v>0</v>
      </c>
      <c r="O95" s="299">
        <f t="shared" si="90"/>
        <v>0</v>
      </c>
      <c r="P95" s="299">
        <f t="shared" ref="P95:AS95" si="91" xml:space="preserve"> P$69</f>
        <v>0</v>
      </c>
      <c r="Q95" s="299">
        <f t="shared" si="91"/>
        <v>0</v>
      </c>
      <c r="R95" s="299">
        <f t="shared" si="91"/>
        <v>0</v>
      </c>
      <c r="S95" s="299">
        <f t="shared" si="91"/>
        <v>0</v>
      </c>
      <c r="T95" s="299">
        <f t="shared" si="91"/>
        <v>0</v>
      </c>
      <c r="U95" s="299">
        <f t="shared" si="91"/>
        <v>0</v>
      </c>
      <c r="V95" s="299">
        <f t="shared" si="91"/>
        <v>2685</v>
      </c>
      <c r="W95" s="299">
        <f t="shared" si="91"/>
        <v>3005</v>
      </c>
      <c r="X95" s="299">
        <f t="shared" si="91"/>
        <v>2768</v>
      </c>
      <c r="Y95" s="299">
        <f t="shared" si="91"/>
        <v>2999</v>
      </c>
      <c r="Z95" s="299">
        <f t="shared" si="91"/>
        <v>4180</v>
      </c>
      <c r="AA95" s="299">
        <f t="shared" si="91"/>
        <v>3409</v>
      </c>
      <c r="AB95" s="299">
        <f t="shared" si="91"/>
        <v>4000</v>
      </c>
      <c r="AC95" s="299">
        <f t="shared" si="91"/>
        <v>4000</v>
      </c>
      <c r="AD95" s="299">
        <f t="shared" si="91"/>
        <v>4000</v>
      </c>
      <c r="AE95" s="299">
        <f t="shared" si="91"/>
        <v>4000</v>
      </c>
      <c r="AF95" s="299">
        <f t="shared" si="91"/>
        <v>4000</v>
      </c>
      <c r="AG95" s="299">
        <f t="shared" si="91"/>
        <v>4000</v>
      </c>
      <c r="AH95" s="299">
        <f t="shared" si="91"/>
        <v>4000</v>
      </c>
      <c r="AI95" s="299">
        <f t="shared" si="91"/>
        <v>4000</v>
      </c>
      <c r="AJ95" s="299">
        <f t="shared" si="91"/>
        <v>4000</v>
      </c>
      <c r="AK95" s="299">
        <f t="shared" si="91"/>
        <v>4000</v>
      </c>
      <c r="AL95" s="299">
        <f t="shared" si="91"/>
        <v>0</v>
      </c>
      <c r="AM95" s="299">
        <f t="shared" si="91"/>
        <v>0</v>
      </c>
      <c r="AN95" s="299">
        <f t="shared" si="91"/>
        <v>0</v>
      </c>
      <c r="AO95" s="299">
        <f t="shared" si="91"/>
        <v>0</v>
      </c>
      <c r="AP95" s="299">
        <f t="shared" si="91"/>
        <v>0</v>
      </c>
      <c r="AQ95" s="299">
        <f t="shared" si="91"/>
        <v>0</v>
      </c>
      <c r="AR95" s="299">
        <f t="shared" si="91"/>
        <v>0</v>
      </c>
      <c r="AS95" s="299">
        <f t="shared" si="91"/>
        <v>0</v>
      </c>
    </row>
    <row r="96" spans="1:45" ht="15" customHeight="1" x14ac:dyDescent="0.3">
      <c r="A96" s="282"/>
      <c r="B96" s="282"/>
      <c r="C96" s="282"/>
      <c r="D96" s="282"/>
      <c r="E96" s="169" t="s">
        <v>424</v>
      </c>
      <c r="G96" s="290" t="s">
        <v>346</v>
      </c>
      <c r="I96" s="291">
        <f>SUM(K96:AS96)</f>
        <v>179.06900299999995</v>
      </c>
      <c r="J96" s="42"/>
      <c r="K96" s="299">
        <f t="shared" ref="K96:O96" si="92">K94 * K95 * 10^-6</f>
        <v>0</v>
      </c>
      <c r="L96" s="299">
        <f t="shared" si="92"/>
        <v>0</v>
      </c>
      <c r="M96" s="299">
        <f t="shared" si="92"/>
        <v>0</v>
      </c>
      <c r="N96" s="299">
        <f t="shared" si="92"/>
        <v>0</v>
      </c>
      <c r="O96" s="299">
        <f t="shared" si="92"/>
        <v>0</v>
      </c>
      <c r="P96" s="299">
        <f t="shared" ref="P96:R96" si="93">P94 * P95 * 10^-6</f>
        <v>0</v>
      </c>
      <c r="Q96" s="299">
        <f t="shared" si="93"/>
        <v>0</v>
      </c>
      <c r="R96" s="299">
        <f t="shared" si="93"/>
        <v>0</v>
      </c>
      <c r="S96" s="299">
        <f>S94 * S95 * 10^-6</f>
        <v>0</v>
      </c>
      <c r="T96" s="299">
        <f t="shared" ref="T96:AP96" si="94">T94 * T95 * 10^-6</f>
        <v>0</v>
      </c>
      <c r="U96" s="299">
        <f t="shared" si="94"/>
        <v>0</v>
      </c>
      <c r="V96" s="299">
        <f t="shared" si="94"/>
        <v>13.433055</v>
      </c>
      <c r="W96" s="299">
        <f t="shared" si="94"/>
        <v>22.173894999999998</v>
      </c>
      <c r="X96" s="299">
        <f t="shared" si="94"/>
        <v>16.037792</v>
      </c>
      <c r="Y96" s="299">
        <f t="shared" si="94"/>
        <v>3.2359209999999998</v>
      </c>
      <c r="Z96" s="299">
        <f t="shared" si="94"/>
        <v>53.93036</v>
      </c>
      <c r="AA96" s="299">
        <f t="shared" si="94"/>
        <v>28.021979999999999</v>
      </c>
      <c r="AB96" s="299">
        <f t="shared" si="94"/>
        <v>6.72</v>
      </c>
      <c r="AC96" s="299">
        <f t="shared" si="94"/>
        <v>5.9193333333333324</v>
      </c>
      <c r="AD96" s="299">
        <f t="shared" si="94"/>
        <v>5.9193333333333324</v>
      </c>
      <c r="AE96" s="299">
        <f t="shared" si="94"/>
        <v>5.9193333333333324</v>
      </c>
      <c r="AF96" s="299">
        <f t="shared" si="94"/>
        <v>5.9193333333333324</v>
      </c>
      <c r="AG96" s="299">
        <f t="shared" si="94"/>
        <v>5.9193333333333324</v>
      </c>
      <c r="AH96" s="299">
        <f t="shared" si="94"/>
        <v>5.9193333333333324</v>
      </c>
      <c r="AI96" s="299">
        <f t="shared" si="94"/>
        <v>0</v>
      </c>
      <c r="AJ96" s="299">
        <f t="shared" si="94"/>
        <v>0</v>
      </c>
      <c r="AK96" s="299">
        <f t="shared" si="94"/>
        <v>0</v>
      </c>
      <c r="AL96" s="299">
        <f t="shared" si="94"/>
        <v>0</v>
      </c>
      <c r="AM96" s="299">
        <f t="shared" si="94"/>
        <v>0</v>
      </c>
      <c r="AN96" s="299">
        <f t="shared" si="94"/>
        <v>0</v>
      </c>
      <c r="AO96" s="299">
        <f t="shared" si="94"/>
        <v>0</v>
      </c>
      <c r="AP96" s="299">
        <f t="shared" si="94"/>
        <v>0</v>
      </c>
      <c r="AQ96" s="299">
        <f t="shared" ref="AQ96:AS96" si="95">AQ94 * AQ95 * 10^-6</f>
        <v>0</v>
      </c>
      <c r="AR96" s="299">
        <f t="shared" si="95"/>
        <v>0</v>
      </c>
      <c r="AS96" s="299">
        <f t="shared" si="95"/>
        <v>0</v>
      </c>
    </row>
    <row r="97" spans="1:45" ht="15" customHeight="1" x14ac:dyDescent="0.3">
      <c r="A97" s="282"/>
      <c r="B97" s="282"/>
      <c r="C97" s="282"/>
      <c r="D97" s="282"/>
      <c r="E97" s="169"/>
      <c r="I97" s="291"/>
      <c r="J97" s="42"/>
      <c r="AL97" s="290"/>
      <c r="AM97" s="290"/>
      <c r="AN97" s="290"/>
      <c r="AO97" s="290"/>
      <c r="AP97" s="290"/>
      <c r="AQ97" s="290"/>
      <c r="AR97" s="290"/>
      <c r="AS97" s="290"/>
    </row>
    <row r="98" spans="1:45" ht="15" customHeight="1" x14ac:dyDescent="0.3">
      <c r="A98" s="316"/>
      <c r="B98" s="316"/>
      <c r="C98" s="316"/>
      <c r="D98" s="316"/>
      <c r="E98" s="169" t="str">
        <f xml:space="preserve"> E$80</f>
        <v>Copper cathode revenue</v>
      </c>
      <c r="F98" s="169">
        <f t="shared" ref="F98:I98" si="96" xml:space="preserve"> F$80</f>
        <v>0</v>
      </c>
      <c r="G98" s="169" t="str">
        <f t="shared" si="96"/>
        <v>$ mn</v>
      </c>
      <c r="H98" s="169">
        <f t="shared" si="96"/>
        <v>0</v>
      </c>
      <c r="I98" s="169">
        <f t="shared" si="96"/>
        <v>7272.9942230000006</v>
      </c>
      <c r="J98" s="42"/>
      <c r="K98" s="299">
        <f t="shared" ref="K98:O98" si="97" xml:space="preserve"> K$80</f>
        <v>0</v>
      </c>
      <c r="L98" s="299">
        <f t="shared" si="97"/>
        <v>0</v>
      </c>
      <c r="M98" s="299">
        <f t="shared" si="97"/>
        <v>0</v>
      </c>
      <c r="N98" s="299">
        <f t="shared" si="97"/>
        <v>0</v>
      </c>
      <c r="O98" s="299">
        <f t="shared" si="97"/>
        <v>0</v>
      </c>
      <c r="P98" s="299">
        <f t="shared" ref="P98:AS98" si="98" xml:space="preserve"> P$80</f>
        <v>0</v>
      </c>
      <c r="Q98" s="299">
        <f t="shared" si="98"/>
        <v>0</v>
      </c>
      <c r="R98" s="299">
        <f t="shared" si="98"/>
        <v>0</v>
      </c>
      <c r="S98" s="299">
        <f t="shared" si="98"/>
        <v>0</v>
      </c>
      <c r="T98" s="299">
        <f t="shared" si="98"/>
        <v>0</v>
      </c>
      <c r="U98" s="299">
        <f t="shared" si="98"/>
        <v>0</v>
      </c>
      <c r="V98" s="299">
        <f t="shared" si="98"/>
        <v>0</v>
      </c>
      <c r="W98" s="299">
        <f t="shared" si="98"/>
        <v>0</v>
      </c>
      <c r="X98" s="299">
        <f t="shared" si="98"/>
        <v>144.71257499999999</v>
      </c>
      <c r="Y98" s="299">
        <f t="shared" si="98"/>
        <v>344.22521999999998</v>
      </c>
      <c r="Z98" s="299">
        <f t="shared" si="98"/>
        <v>500.75563999999997</v>
      </c>
      <c r="AA98" s="299">
        <f t="shared" si="98"/>
        <v>503.596788</v>
      </c>
      <c r="AB98" s="299">
        <f t="shared" si="98"/>
        <v>482.32</v>
      </c>
      <c r="AC98" s="299">
        <f t="shared" si="98"/>
        <v>661.23199999999997</v>
      </c>
      <c r="AD98" s="299">
        <f t="shared" si="98"/>
        <v>661.23199999999997</v>
      </c>
      <c r="AE98" s="299">
        <f t="shared" si="98"/>
        <v>661.23199999999997</v>
      </c>
      <c r="AF98" s="299">
        <f t="shared" si="98"/>
        <v>661.23199999999997</v>
      </c>
      <c r="AG98" s="299">
        <f t="shared" si="98"/>
        <v>661.23199999999997</v>
      </c>
      <c r="AH98" s="299">
        <f t="shared" si="98"/>
        <v>661.23199999999997</v>
      </c>
      <c r="AI98" s="299">
        <f t="shared" si="98"/>
        <v>551.024</v>
      </c>
      <c r="AJ98" s="299">
        <f t="shared" si="98"/>
        <v>551.024</v>
      </c>
      <c r="AK98" s="299">
        <f t="shared" si="98"/>
        <v>227.94399999999999</v>
      </c>
      <c r="AL98" s="299">
        <f t="shared" si="98"/>
        <v>0</v>
      </c>
      <c r="AM98" s="299">
        <f t="shared" si="98"/>
        <v>0</v>
      </c>
      <c r="AN98" s="299">
        <f t="shared" si="98"/>
        <v>0</v>
      </c>
      <c r="AO98" s="299">
        <f t="shared" si="98"/>
        <v>0</v>
      </c>
      <c r="AP98" s="299">
        <f t="shared" si="98"/>
        <v>0</v>
      </c>
      <c r="AQ98" s="299">
        <f t="shared" si="98"/>
        <v>0</v>
      </c>
      <c r="AR98" s="299">
        <f t="shared" si="98"/>
        <v>0</v>
      </c>
      <c r="AS98" s="299">
        <f t="shared" si="98"/>
        <v>0</v>
      </c>
    </row>
    <row r="99" spans="1:45" ht="15" customHeight="1" x14ac:dyDescent="0.3">
      <c r="A99" s="282"/>
      <c r="E99" s="169" t="str">
        <f xml:space="preserve"> E$84</f>
        <v>Blister copper revenue</v>
      </c>
      <c r="F99" s="169">
        <f t="shared" ref="F99:I99" si="99" xml:space="preserve"> F$84</f>
        <v>0</v>
      </c>
      <c r="G99" s="169" t="str">
        <f t="shared" si="99"/>
        <v>$ mn</v>
      </c>
      <c r="H99" s="169">
        <f t="shared" si="99"/>
        <v>0</v>
      </c>
      <c r="I99" s="169">
        <f t="shared" si="99"/>
        <v>2652.5493489999994</v>
      </c>
      <c r="J99" s="42"/>
      <c r="K99" s="299">
        <f t="shared" ref="K99:O99" si="100" xml:space="preserve"> K$84</f>
        <v>0</v>
      </c>
      <c r="L99" s="299">
        <f t="shared" si="100"/>
        <v>0</v>
      </c>
      <c r="M99" s="299">
        <f t="shared" si="100"/>
        <v>0</v>
      </c>
      <c r="N99" s="299">
        <f t="shared" si="100"/>
        <v>0</v>
      </c>
      <c r="O99" s="299">
        <f t="shared" si="100"/>
        <v>0</v>
      </c>
      <c r="P99" s="299">
        <f t="shared" ref="P99:AS99" si="101" xml:space="preserve"> P$84</f>
        <v>0</v>
      </c>
      <c r="Q99" s="299">
        <f t="shared" si="101"/>
        <v>0</v>
      </c>
      <c r="R99" s="299">
        <f t="shared" si="101"/>
        <v>0</v>
      </c>
      <c r="S99" s="299">
        <f t="shared" si="101"/>
        <v>0</v>
      </c>
      <c r="T99" s="299">
        <f t="shared" si="101"/>
        <v>0</v>
      </c>
      <c r="U99" s="299">
        <f t="shared" si="101"/>
        <v>0</v>
      </c>
      <c r="V99" s="299">
        <f t="shared" si="101"/>
        <v>63.220031999999996</v>
      </c>
      <c r="W99" s="299">
        <f t="shared" si="101"/>
        <v>174.026568</v>
      </c>
      <c r="X99" s="299">
        <f t="shared" si="101"/>
        <v>188.931927</v>
      </c>
      <c r="Y99" s="299">
        <f t="shared" si="101"/>
        <v>193.81778</v>
      </c>
      <c r="Z99" s="299">
        <f t="shared" si="101"/>
        <v>207.74153999999999</v>
      </c>
      <c r="AA99" s="299">
        <f t="shared" si="101"/>
        <v>152.49953399999998</v>
      </c>
      <c r="AB99" s="299">
        <f t="shared" si="101"/>
        <v>170.38331199999999</v>
      </c>
      <c r="AC99" s="299">
        <f t="shared" si="101"/>
        <v>187.47455066666666</v>
      </c>
      <c r="AD99" s="299">
        <f t="shared" si="101"/>
        <v>187.47455066666666</v>
      </c>
      <c r="AE99" s="299">
        <f t="shared" si="101"/>
        <v>187.47455066666666</v>
      </c>
      <c r="AF99" s="299">
        <f t="shared" si="101"/>
        <v>187.47455066666666</v>
      </c>
      <c r="AG99" s="299">
        <f t="shared" si="101"/>
        <v>187.47455066666666</v>
      </c>
      <c r="AH99" s="299">
        <f t="shared" si="101"/>
        <v>187.47455066666666</v>
      </c>
      <c r="AI99" s="299">
        <f t="shared" si="101"/>
        <v>156.22591199999999</v>
      </c>
      <c r="AJ99" s="299">
        <f t="shared" si="101"/>
        <v>156.22591199999999</v>
      </c>
      <c r="AK99" s="299">
        <f t="shared" si="101"/>
        <v>64.629527999999993</v>
      </c>
      <c r="AL99" s="299">
        <f t="shared" si="101"/>
        <v>0</v>
      </c>
      <c r="AM99" s="299">
        <f t="shared" si="101"/>
        <v>0</v>
      </c>
      <c r="AN99" s="299">
        <f t="shared" si="101"/>
        <v>0</v>
      </c>
      <c r="AO99" s="299">
        <f t="shared" si="101"/>
        <v>0</v>
      </c>
      <c r="AP99" s="299">
        <f t="shared" si="101"/>
        <v>0</v>
      </c>
      <c r="AQ99" s="299">
        <f t="shared" si="101"/>
        <v>0</v>
      </c>
      <c r="AR99" s="299">
        <f t="shared" si="101"/>
        <v>0</v>
      </c>
      <c r="AS99" s="299">
        <f t="shared" si="101"/>
        <v>0</v>
      </c>
    </row>
    <row r="100" spans="1:45" ht="15" customHeight="1" x14ac:dyDescent="0.3">
      <c r="A100" s="282"/>
      <c r="E100" s="169" t="str">
        <f xml:space="preserve"> E$88</f>
        <v>Copper matt revenue</v>
      </c>
      <c r="F100" s="169">
        <f t="shared" ref="F100:I100" si="102" xml:space="preserve"> F$88</f>
        <v>0</v>
      </c>
      <c r="G100" s="169" t="str">
        <f t="shared" si="102"/>
        <v>$ mn</v>
      </c>
      <c r="H100" s="169">
        <f t="shared" si="102"/>
        <v>0</v>
      </c>
      <c r="I100" s="169">
        <f t="shared" si="102"/>
        <v>238.49071499999997</v>
      </c>
      <c r="J100" s="42"/>
      <c r="K100" s="299">
        <f t="shared" ref="K100:O100" si="103" xml:space="preserve"> K$88</f>
        <v>0</v>
      </c>
      <c r="L100" s="299">
        <f t="shared" si="103"/>
        <v>0</v>
      </c>
      <c r="M100" s="299">
        <f t="shared" si="103"/>
        <v>0</v>
      </c>
      <c r="N100" s="299">
        <f t="shared" si="103"/>
        <v>0</v>
      </c>
      <c r="O100" s="299">
        <f t="shared" si="103"/>
        <v>0</v>
      </c>
      <c r="P100" s="299">
        <f t="shared" ref="P100:AS100" si="104" xml:space="preserve"> P$88</f>
        <v>0</v>
      </c>
      <c r="Q100" s="299">
        <f t="shared" si="104"/>
        <v>0</v>
      </c>
      <c r="R100" s="299">
        <f t="shared" si="104"/>
        <v>0</v>
      </c>
      <c r="S100" s="299">
        <f t="shared" si="104"/>
        <v>0</v>
      </c>
      <c r="T100" s="299">
        <f t="shared" si="104"/>
        <v>0</v>
      </c>
      <c r="U100" s="299">
        <f t="shared" si="104"/>
        <v>0</v>
      </c>
      <c r="V100" s="299">
        <f t="shared" si="104"/>
        <v>3.1575599999999997</v>
      </c>
      <c r="W100" s="299">
        <f t="shared" si="104"/>
        <v>19.352982000000001</v>
      </c>
      <c r="X100" s="299">
        <f t="shared" si="104"/>
        <v>17.313479999999998</v>
      </c>
      <c r="Y100" s="299">
        <f t="shared" si="104"/>
        <v>17.545144000000001</v>
      </c>
      <c r="Z100" s="299">
        <f t="shared" si="104"/>
        <v>12.359423999999999</v>
      </c>
      <c r="AA100" s="299">
        <f t="shared" si="104"/>
        <v>12.410124999999999</v>
      </c>
      <c r="AB100" s="299">
        <f t="shared" si="104"/>
        <v>22.444800000000001</v>
      </c>
      <c r="AC100" s="299">
        <f t="shared" si="104"/>
        <v>16.715733333333333</v>
      </c>
      <c r="AD100" s="299">
        <f t="shared" si="104"/>
        <v>16.715733333333333</v>
      </c>
      <c r="AE100" s="299">
        <f t="shared" si="104"/>
        <v>16.715733333333333</v>
      </c>
      <c r="AF100" s="299">
        <f t="shared" si="104"/>
        <v>16.715733333333333</v>
      </c>
      <c r="AG100" s="299">
        <f t="shared" si="104"/>
        <v>16.715733333333333</v>
      </c>
      <c r="AH100" s="299">
        <f t="shared" si="104"/>
        <v>16.715733333333333</v>
      </c>
      <c r="AI100" s="299">
        <f t="shared" si="104"/>
        <v>13.926399999999999</v>
      </c>
      <c r="AJ100" s="299">
        <f t="shared" si="104"/>
        <v>13.926399999999999</v>
      </c>
      <c r="AK100" s="299">
        <f t="shared" si="104"/>
        <v>5.76</v>
      </c>
      <c r="AL100" s="299">
        <f t="shared" si="104"/>
        <v>0</v>
      </c>
      <c r="AM100" s="299">
        <f t="shared" si="104"/>
        <v>0</v>
      </c>
      <c r="AN100" s="299">
        <f t="shared" si="104"/>
        <v>0</v>
      </c>
      <c r="AO100" s="299">
        <f t="shared" si="104"/>
        <v>0</v>
      </c>
      <c r="AP100" s="299">
        <f t="shared" si="104"/>
        <v>0</v>
      </c>
      <c r="AQ100" s="299">
        <f t="shared" si="104"/>
        <v>0</v>
      </c>
      <c r="AR100" s="299">
        <f t="shared" si="104"/>
        <v>0</v>
      </c>
      <c r="AS100" s="299">
        <f t="shared" si="104"/>
        <v>0</v>
      </c>
    </row>
    <row r="101" spans="1:45" ht="15" customHeight="1" x14ac:dyDescent="0.3">
      <c r="A101" s="282"/>
      <c r="E101" s="169" t="str">
        <f xml:space="preserve"> E$92</f>
        <v>Copper sulfide concentrates revenue</v>
      </c>
      <c r="F101" s="169">
        <f t="shared" ref="F101:I101" si="105" xml:space="preserve"> F$92</f>
        <v>0</v>
      </c>
      <c r="G101" s="169" t="str">
        <f t="shared" si="105"/>
        <v>$ mn</v>
      </c>
      <c r="H101" s="169">
        <f t="shared" si="105"/>
        <v>0</v>
      </c>
      <c r="I101" s="169">
        <f t="shared" si="105"/>
        <v>910.84263099999987</v>
      </c>
      <c r="J101" s="42"/>
      <c r="K101" s="299">
        <f t="shared" ref="K101:O101" si="106" xml:space="preserve"> K$92</f>
        <v>0</v>
      </c>
      <c r="L101" s="299">
        <f t="shared" si="106"/>
        <v>0</v>
      </c>
      <c r="M101" s="299">
        <f t="shared" si="106"/>
        <v>0</v>
      </c>
      <c r="N101" s="299">
        <f t="shared" si="106"/>
        <v>0</v>
      </c>
      <c r="O101" s="299">
        <f t="shared" si="106"/>
        <v>0</v>
      </c>
      <c r="P101" s="299">
        <f t="shared" ref="P101:AS101" si="107" xml:space="preserve"> P$92</f>
        <v>0</v>
      </c>
      <c r="Q101" s="299">
        <f t="shared" si="107"/>
        <v>0</v>
      </c>
      <c r="R101" s="299">
        <f t="shared" si="107"/>
        <v>0</v>
      </c>
      <c r="S101" s="299">
        <f t="shared" si="107"/>
        <v>0</v>
      </c>
      <c r="T101" s="299">
        <f t="shared" si="107"/>
        <v>0</v>
      </c>
      <c r="U101" s="299">
        <f t="shared" si="107"/>
        <v>0</v>
      </c>
      <c r="V101" s="299">
        <f t="shared" si="107"/>
        <v>24.869958</v>
      </c>
      <c r="W101" s="299">
        <f t="shared" si="107"/>
        <v>59.568663000000001</v>
      </c>
      <c r="X101" s="299">
        <f t="shared" si="107"/>
        <v>49.853549999999998</v>
      </c>
      <c r="Y101" s="299">
        <f t="shared" si="107"/>
        <v>76.948352</v>
      </c>
      <c r="Z101" s="299">
        <f t="shared" si="107"/>
        <v>284.39523399999996</v>
      </c>
      <c r="AA101" s="299">
        <f t="shared" si="107"/>
        <v>241.92431399999998</v>
      </c>
      <c r="AB101" s="299">
        <f t="shared" si="107"/>
        <v>173.28255999999999</v>
      </c>
      <c r="AC101" s="299">
        <f t="shared" si="107"/>
        <v>0</v>
      </c>
      <c r="AD101" s="299">
        <f t="shared" si="107"/>
        <v>0</v>
      </c>
      <c r="AE101" s="299">
        <f t="shared" si="107"/>
        <v>0</v>
      </c>
      <c r="AF101" s="299">
        <f t="shared" si="107"/>
        <v>0</v>
      </c>
      <c r="AG101" s="299">
        <f t="shared" si="107"/>
        <v>0</v>
      </c>
      <c r="AH101" s="299">
        <f t="shared" si="107"/>
        <v>0</v>
      </c>
      <c r="AI101" s="299">
        <f t="shared" si="107"/>
        <v>0</v>
      </c>
      <c r="AJ101" s="299">
        <f t="shared" si="107"/>
        <v>0</v>
      </c>
      <c r="AK101" s="299">
        <f t="shared" si="107"/>
        <v>0</v>
      </c>
      <c r="AL101" s="299">
        <f t="shared" si="107"/>
        <v>0</v>
      </c>
      <c r="AM101" s="299">
        <f t="shared" si="107"/>
        <v>0</v>
      </c>
      <c r="AN101" s="299">
        <f t="shared" si="107"/>
        <v>0</v>
      </c>
      <c r="AO101" s="299">
        <f t="shared" si="107"/>
        <v>0</v>
      </c>
      <c r="AP101" s="299">
        <f t="shared" si="107"/>
        <v>0</v>
      </c>
      <c r="AQ101" s="299">
        <f t="shared" si="107"/>
        <v>0</v>
      </c>
      <c r="AR101" s="299">
        <f t="shared" si="107"/>
        <v>0</v>
      </c>
      <c r="AS101" s="299">
        <f t="shared" si="107"/>
        <v>0</v>
      </c>
    </row>
    <row r="102" spans="1:45" ht="15" customHeight="1" x14ac:dyDescent="0.3">
      <c r="A102" s="282"/>
      <c r="E102" s="169" t="str">
        <f xml:space="preserve"> E$96</f>
        <v>Copper oxide concentrates revenue</v>
      </c>
      <c r="F102" s="169">
        <f t="shared" ref="F102:I102" si="108" xml:space="preserve"> F$96</f>
        <v>0</v>
      </c>
      <c r="G102" s="169" t="str">
        <f t="shared" si="108"/>
        <v>$ mn</v>
      </c>
      <c r="H102" s="169">
        <f t="shared" si="108"/>
        <v>0</v>
      </c>
      <c r="I102" s="169">
        <f t="shared" si="108"/>
        <v>179.06900299999995</v>
      </c>
      <c r="J102" s="42"/>
      <c r="K102" s="299">
        <f t="shared" ref="K102:O102" si="109" xml:space="preserve"> K$96</f>
        <v>0</v>
      </c>
      <c r="L102" s="299">
        <f t="shared" si="109"/>
        <v>0</v>
      </c>
      <c r="M102" s="299">
        <f t="shared" si="109"/>
        <v>0</v>
      </c>
      <c r="N102" s="299">
        <f t="shared" si="109"/>
        <v>0</v>
      </c>
      <c r="O102" s="299">
        <f t="shared" si="109"/>
        <v>0</v>
      </c>
      <c r="P102" s="299">
        <f t="shared" ref="P102:AS102" si="110" xml:space="preserve"> P$96</f>
        <v>0</v>
      </c>
      <c r="Q102" s="299">
        <f t="shared" si="110"/>
        <v>0</v>
      </c>
      <c r="R102" s="299">
        <f t="shared" si="110"/>
        <v>0</v>
      </c>
      <c r="S102" s="299">
        <f t="shared" si="110"/>
        <v>0</v>
      </c>
      <c r="T102" s="299">
        <f t="shared" si="110"/>
        <v>0</v>
      </c>
      <c r="U102" s="299">
        <f t="shared" si="110"/>
        <v>0</v>
      </c>
      <c r="V102" s="299">
        <f t="shared" si="110"/>
        <v>13.433055</v>
      </c>
      <c r="W102" s="299">
        <f t="shared" si="110"/>
        <v>22.173894999999998</v>
      </c>
      <c r="X102" s="299">
        <f t="shared" si="110"/>
        <v>16.037792</v>
      </c>
      <c r="Y102" s="299">
        <f t="shared" si="110"/>
        <v>3.2359209999999998</v>
      </c>
      <c r="Z102" s="299">
        <f t="shared" si="110"/>
        <v>53.93036</v>
      </c>
      <c r="AA102" s="299">
        <f t="shared" si="110"/>
        <v>28.021979999999999</v>
      </c>
      <c r="AB102" s="299">
        <f t="shared" si="110"/>
        <v>6.72</v>
      </c>
      <c r="AC102" s="299">
        <f t="shared" si="110"/>
        <v>5.9193333333333324</v>
      </c>
      <c r="AD102" s="299">
        <f t="shared" si="110"/>
        <v>5.9193333333333324</v>
      </c>
      <c r="AE102" s="299">
        <f t="shared" si="110"/>
        <v>5.9193333333333324</v>
      </c>
      <c r="AF102" s="299">
        <f t="shared" si="110"/>
        <v>5.9193333333333324</v>
      </c>
      <c r="AG102" s="299">
        <f t="shared" si="110"/>
        <v>5.9193333333333324</v>
      </c>
      <c r="AH102" s="299">
        <f t="shared" si="110"/>
        <v>5.9193333333333324</v>
      </c>
      <c r="AI102" s="299">
        <f t="shared" si="110"/>
        <v>0</v>
      </c>
      <c r="AJ102" s="299">
        <f t="shared" si="110"/>
        <v>0</v>
      </c>
      <c r="AK102" s="299">
        <f t="shared" si="110"/>
        <v>0</v>
      </c>
      <c r="AL102" s="299">
        <f t="shared" si="110"/>
        <v>0</v>
      </c>
      <c r="AM102" s="299">
        <f t="shared" si="110"/>
        <v>0</v>
      </c>
      <c r="AN102" s="299">
        <f t="shared" si="110"/>
        <v>0</v>
      </c>
      <c r="AO102" s="299">
        <f t="shared" si="110"/>
        <v>0</v>
      </c>
      <c r="AP102" s="299">
        <f t="shared" si="110"/>
        <v>0</v>
      </c>
      <c r="AQ102" s="299">
        <f t="shared" si="110"/>
        <v>0</v>
      </c>
      <c r="AR102" s="299">
        <f t="shared" si="110"/>
        <v>0</v>
      </c>
      <c r="AS102" s="299">
        <f t="shared" si="110"/>
        <v>0</v>
      </c>
    </row>
    <row r="103" spans="1:45" ht="15" customHeight="1" x14ac:dyDescent="0.3">
      <c r="A103" s="302"/>
      <c r="B103" s="303"/>
      <c r="C103" s="304"/>
      <c r="D103" s="305"/>
      <c r="E103" s="317" t="s">
        <v>111</v>
      </c>
      <c r="F103" s="305"/>
      <c r="G103" s="305" t="s">
        <v>346</v>
      </c>
      <c r="H103" s="307"/>
      <c r="I103" s="307">
        <f>SUM(K103:AS103)</f>
        <v>11253.945920999999</v>
      </c>
      <c r="J103" s="42"/>
      <c r="K103" s="308">
        <f t="shared" ref="K103:O103" si="111">SUM(K98:K102)</f>
        <v>0</v>
      </c>
      <c r="L103" s="308">
        <f t="shared" si="111"/>
        <v>0</v>
      </c>
      <c r="M103" s="308">
        <f t="shared" si="111"/>
        <v>0</v>
      </c>
      <c r="N103" s="308">
        <f t="shared" si="111"/>
        <v>0</v>
      </c>
      <c r="O103" s="308">
        <f t="shared" si="111"/>
        <v>0</v>
      </c>
      <c r="P103" s="308">
        <f t="shared" ref="P103:R103" si="112">SUM(P98:P102)</f>
        <v>0</v>
      </c>
      <c r="Q103" s="308">
        <f t="shared" si="112"/>
        <v>0</v>
      </c>
      <c r="R103" s="308">
        <f t="shared" si="112"/>
        <v>0</v>
      </c>
      <c r="S103" s="308">
        <f>SUM(S98:S102)</f>
        <v>0</v>
      </c>
      <c r="T103" s="308">
        <f t="shared" ref="T103:AP103" si="113">SUM(T98:T102)</f>
        <v>0</v>
      </c>
      <c r="U103" s="308">
        <f t="shared" si="113"/>
        <v>0</v>
      </c>
      <c r="V103" s="308">
        <f t="shared" si="113"/>
        <v>104.68060499999999</v>
      </c>
      <c r="W103" s="308">
        <f t="shared" si="113"/>
        <v>275.12210800000003</v>
      </c>
      <c r="X103" s="308">
        <f t="shared" si="113"/>
        <v>416.84932400000002</v>
      </c>
      <c r="Y103" s="308">
        <f t="shared" si="113"/>
        <v>635.77241700000002</v>
      </c>
      <c r="Z103" s="308">
        <f t="shared" si="113"/>
        <v>1059.182198</v>
      </c>
      <c r="AA103" s="308">
        <f t="shared" si="113"/>
        <v>938.45274099999995</v>
      </c>
      <c r="AB103" s="308">
        <f t="shared" si="113"/>
        <v>855.15067199999999</v>
      </c>
      <c r="AC103" s="308">
        <f t="shared" si="113"/>
        <v>871.34161733333337</v>
      </c>
      <c r="AD103" s="308">
        <f t="shared" si="113"/>
        <v>871.34161733333337</v>
      </c>
      <c r="AE103" s="308">
        <f t="shared" si="113"/>
        <v>871.34161733333337</v>
      </c>
      <c r="AF103" s="308">
        <f t="shared" si="113"/>
        <v>871.34161733333337</v>
      </c>
      <c r="AG103" s="308">
        <f t="shared" si="113"/>
        <v>871.34161733333337</v>
      </c>
      <c r="AH103" s="308">
        <f t="shared" si="113"/>
        <v>871.34161733333337</v>
      </c>
      <c r="AI103" s="308">
        <f t="shared" si="113"/>
        <v>721.17631199999994</v>
      </c>
      <c r="AJ103" s="308">
        <f t="shared" si="113"/>
        <v>721.17631199999994</v>
      </c>
      <c r="AK103" s="308">
        <f t="shared" si="113"/>
        <v>298.333528</v>
      </c>
      <c r="AL103" s="308">
        <f t="shared" si="113"/>
        <v>0</v>
      </c>
      <c r="AM103" s="308">
        <f t="shared" si="113"/>
        <v>0</v>
      </c>
      <c r="AN103" s="308">
        <f t="shared" si="113"/>
        <v>0</v>
      </c>
      <c r="AO103" s="308">
        <f t="shared" si="113"/>
        <v>0</v>
      </c>
      <c r="AP103" s="308">
        <f t="shared" si="113"/>
        <v>0</v>
      </c>
      <c r="AQ103" s="308">
        <f t="shared" ref="AQ103:AS103" si="114">SUM(AQ98:AQ102)</f>
        <v>0</v>
      </c>
      <c r="AR103" s="308">
        <f t="shared" si="114"/>
        <v>0</v>
      </c>
      <c r="AS103" s="308">
        <f t="shared" si="114"/>
        <v>0</v>
      </c>
    </row>
    <row r="104" spans="1:45" ht="15" customHeight="1" x14ac:dyDescent="0.3">
      <c r="A104" s="282"/>
      <c r="E104" s="169"/>
      <c r="I104" s="291"/>
      <c r="J104" s="42"/>
      <c r="AL104" s="290"/>
      <c r="AM104" s="290"/>
      <c r="AN104" s="290"/>
      <c r="AO104" s="290"/>
      <c r="AP104" s="290"/>
      <c r="AQ104" s="290"/>
      <c r="AR104" s="290"/>
      <c r="AS104" s="290"/>
    </row>
    <row r="105" spans="1:45" ht="15" customHeight="1" x14ac:dyDescent="0.3">
      <c r="A105" s="282"/>
      <c r="E105" s="61" t="str">
        <f xml:space="preserve"> Inputs_Con!E$150</f>
        <v>Convert  lb / tonnes</v>
      </c>
      <c r="F105" s="94">
        <f xml:space="preserve"> Inputs_Con!F$150</f>
        <v>2204.62</v>
      </c>
      <c r="G105" s="61" t="str">
        <f xml:space="preserve"> Inputs_Con!G$150</f>
        <v>lb / tonne</v>
      </c>
      <c r="I105" s="291"/>
      <c r="J105" s="42"/>
      <c r="AL105" s="290"/>
      <c r="AM105" s="290"/>
      <c r="AN105" s="290"/>
      <c r="AO105" s="290"/>
      <c r="AP105" s="290"/>
      <c r="AQ105" s="290"/>
      <c r="AR105" s="290"/>
      <c r="AS105" s="290"/>
    </row>
    <row r="106" spans="1:45" ht="15" customHeight="1" x14ac:dyDescent="0.3">
      <c r="A106" s="282"/>
      <c r="E106" s="169" t="str">
        <f xml:space="preserve"> E$60</f>
        <v>Cobalt</v>
      </c>
      <c r="F106" s="169">
        <f t="shared" ref="F106:I106" si="115" xml:space="preserve"> F$60</f>
        <v>0</v>
      </c>
      <c r="G106" s="169" t="str">
        <f t="shared" si="115"/>
        <v>tonnes</v>
      </c>
      <c r="H106" s="169">
        <f t="shared" si="115"/>
        <v>0</v>
      </c>
      <c r="I106" s="169">
        <f t="shared" si="115"/>
        <v>22151</v>
      </c>
      <c r="J106" s="42"/>
      <c r="K106" s="299">
        <f t="shared" ref="K106:O106" si="116" xml:space="preserve"> K$60</f>
        <v>0</v>
      </c>
      <c r="L106" s="299">
        <f t="shared" si="116"/>
        <v>0</v>
      </c>
      <c r="M106" s="299">
        <f t="shared" si="116"/>
        <v>0</v>
      </c>
      <c r="N106" s="299">
        <f t="shared" si="116"/>
        <v>0</v>
      </c>
      <c r="O106" s="299">
        <f t="shared" si="116"/>
        <v>0</v>
      </c>
      <c r="P106" s="299">
        <f t="shared" ref="P106:AS106" si="117" xml:space="preserve"> P$60</f>
        <v>0</v>
      </c>
      <c r="Q106" s="299">
        <f t="shared" si="117"/>
        <v>0</v>
      </c>
      <c r="R106" s="299">
        <f t="shared" si="117"/>
        <v>0</v>
      </c>
      <c r="S106" s="299">
        <f t="shared" si="117"/>
        <v>0</v>
      </c>
      <c r="T106" s="299">
        <f t="shared" si="117"/>
        <v>0</v>
      </c>
      <c r="U106" s="299">
        <f t="shared" si="117"/>
        <v>0</v>
      </c>
      <c r="V106" s="299">
        <f t="shared" si="117"/>
        <v>0</v>
      </c>
      <c r="W106" s="299">
        <f t="shared" si="117"/>
        <v>0</v>
      </c>
      <c r="X106" s="299">
        <f t="shared" si="117"/>
        <v>708.03</v>
      </c>
      <c r="Y106" s="299">
        <f t="shared" si="117"/>
        <v>1423.08</v>
      </c>
      <c r="Z106" s="299">
        <f t="shared" si="117"/>
        <v>1606.93</v>
      </c>
      <c r="AA106" s="299">
        <f t="shared" si="117"/>
        <v>2506.1799999999998</v>
      </c>
      <c r="AB106" s="299">
        <f t="shared" si="117"/>
        <v>1678.94</v>
      </c>
      <c r="AC106" s="299">
        <f t="shared" si="117"/>
        <v>1733.6771428571428</v>
      </c>
      <c r="AD106" s="299">
        <f t="shared" si="117"/>
        <v>1733.6771428571428</v>
      </c>
      <c r="AE106" s="299">
        <f t="shared" si="117"/>
        <v>1733.6771428571428</v>
      </c>
      <c r="AF106" s="299">
        <f t="shared" si="117"/>
        <v>1733.6771428571428</v>
      </c>
      <c r="AG106" s="299">
        <f t="shared" si="117"/>
        <v>1733.6771428571428</v>
      </c>
      <c r="AH106" s="299">
        <f t="shared" si="117"/>
        <v>1733.6771428571428</v>
      </c>
      <c r="AI106" s="299">
        <f t="shared" si="117"/>
        <v>1733.6771428571428</v>
      </c>
      <c r="AJ106" s="299">
        <f t="shared" si="117"/>
        <v>1479.91</v>
      </c>
      <c r="AK106" s="299">
        <f t="shared" si="117"/>
        <v>612.19000000000005</v>
      </c>
      <c r="AL106" s="299">
        <f t="shared" si="117"/>
        <v>0</v>
      </c>
      <c r="AM106" s="299">
        <f t="shared" si="117"/>
        <v>0</v>
      </c>
      <c r="AN106" s="299">
        <f t="shared" si="117"/>
        <v>0</v>
      </c>
      <c r="AO106" s="299">
        <f t="shared" si="117"/>
        <v>0</v>
      </c>
      <c r="AP106" s="299">
        <f t="shared" si="117"/>
        <v>0</v>
      </c>
      <c r="AQ106" s="299">
        <f t="shared" si="117"/>
        <v>0</v>
      </c>
      <c r="AR106" s="299">
        <f t="shared" si="117"/>
        <v>0</v>
      </c>
      <c r="AS106" s="299">
        <f t="shared" si="117"/>
        <v>0</v>
      </c>
    </row>
    <row r="107" spans="1:45" ht="15" customHeight="1" x14ac:dyDescent="0.3">
      <c r="A107" s="282"/>
      <c r="E107" s="169" t="str">
        <f xml:space="preserve"> E$73</f>
        <v>Cobalt price: FS payable</v>
      </c>
      <c r="F107" s="169">
        <f t="shared" ref="F107:I107" si="118" xml:space="preserve"> F$73</f>
        <v>0</v>
      </c>
      <c r="G107" s="169" t="str">
        <f t="shared" si="118"/>
        <v>$ /lbCo</v>
      </c>
      <c r="H107" s="169">
        <f t="shared" si="118"/>
        <v>0</v>
      </c>
      <c r="I107" s="169">
        <f t="shared" si="118"/>
        <v>0</v>
      </c>
      <c r="J107" s="42"/>
      <c r="K107" s="299">
        <f t="shared" ref="K107:O107" si="119" xml:space="preserve"> K$73</f>
        <v>0</v>
      </c>
      <c r="L107" s="299">
        <f t="shared" si="119"/>
        <v>0</v>
      </c>
      <c r="M107" s="299">
        <f t="shared" si="119"/>
        <v>0</v>
      </c>
      <c r="N107" s="299">
        <f t="shared" si="119"/>
        <v>0</v>
      </c>
      <c r="O107" s="299">
        <f t="shared" si="119"/>
        <v>0</v>
      </c>
      <c r="P107" s="299">
        <f t="shared" ref="P107:AS107" si="120" xml:space="preserve"> P$73</f>
        <v>0</v>
      </c>
      <c r="Q107" s="299">
        <f t="shared" si="120"/>
        <v>0</v>
      </c>
      <c r="R107" s="299">
        <f t="shared" si="120"/>
        <v>0</v>
      </c>
      <c r="S107" s="299">
        <f t="shared" si="120"/>
        <v>0</v>
      </c>
      <c r="T107" s="299">
        <f t="shared" si="120"/>
        <v>0</v>
      </c>
      <c r="U107" s="299">
        <f t="shared" si="120"/>
        <v>0</v>
      </c>
      <c r="V107" s="299">
        <f t="shared" si="120"/>
        <v>12.6</v>
      </c>
      <c r="W107" s="299">
        <f t="shared" si="120"/>
        <v>12.6</v>
      </c>
      <c r="X107" s="299">
        <f t="shared" si="120"/>
        <v>11.2</v>
      </c>
      <c r="Y107" s="299">
        <f t="shared" si="120"/>
        <v>10.5</v>
      </c>
      <c r="Z107" s="299">
        <f t="shared" si="120"/>
        <v>16.799999999999997</v>
      </c>
      <c r="AA107" s="299">
        <f t="shared" si="120"/>
        <v>18.899999999999999</v>
      </c>
      <c r="AB107" s="299">
        <f t="shared" si="120"/>
        <v>12.6</v>
      </c>
      <c r="AC107" s="299">
        <f t="shared" si="120"/>
        <v>12.6</v>
      </c>
      <c r="AD107" s="299">
        <f t="shared" si="120"/>
        <v>12.6</v>
      </c>
      <c r="AE107" s="299">
        <f t="shared" si="120"/>
        <v>12.6</v>
      </c>
      <c r="AF107" s="299">
        <f t="shared" si="120"/>
        <v>12.6</v>
      </c>
      <c r="AG107" s="299">
        <f t="shared" si="120"/>
        <v>12.6</v>
      </c>
      <c r="AH107" s="299">
        <f t="shared" si="120"/>
        <v>12.6</v>
      </c>
      <c r="AI107" s="299">
        <f t="shared" si="120"/>
        <v>12.6</v>
      </c>
      <c r="AJ107" s="299">
        <f t="shared" si="120"/>
        <v>12.6</v>
      </c>
      <c r="AK107" s="299">
        <f t="shared" si="120"/>
        <v>12.6</v>
      </c>
      <c r="AL107" s="299">
        <f t="shared" si="120"/>
        <v>0</v>
      </c>
      <c r="AM107" s="299">
        <f t="shared" si="120"/>
        <v>0</v>
      </c>
      <c r="AN107" s="299">
        <f t="shared" si="120"/>
        <v>0</v>
      </c>
      <c r="AO107" s="299">
        <f t="shared" si="120"/>
        <v>0</v>
      </c>
      <c r="AP107" s="299">
        <f t="shared" si="120"/>
        <v>0</v>
      </c>
      <c r="AQ107" s="299">
        <f t="shared" si="120"/>
        <v>0</v>
      </c>
      <c r="AR107" s="299">
        <f t="shared" si="120"/>
        <v>0</v>
      </c>
      <c r="AS107" s="299">
        <f t="shared" si="120"/>
        <v>0</v>
      </c>
    </row>
    <row r="108" spans="1:45" ht="15" customHeight="1" x14ac:dyDescent="0.3">
      <c r="A108" s="318"/>
      <c r="B108" s="319"/>
      <c r="C108" s="320"/>
      <c r="D108" s="321"/>
      <c r="E108" s="322" t="s">
        <v>109</v>
      </c>
      <c r="F108" s="321"/>
      <c r="G108" s="322" t="str">
        <f xml:space="preserve"> G$92</f>
        <v>$ mn</v>
      </c>
      <c r="I108" s="291">
        <f>SUM(K108:AS108)</f>
        <v>656.22923949660003</v>
      </c>
      <c r="J108" s="42"/>
      <c r="K108" s="299">
        <f t="shared" ref="K108:O108" si="121">K106 * K107 * 10^-6 * $F105</f>
        <v>0</v>
      </c>
      <c r="L108" s="299">
        <f t="shared" si="121"/>
        <v>0</v>
      </c>
      <c r="M108" s="299">
        <f t="shared" si="121"/>
        <v>0</v>
      </c>
      <c r="N108" s="299">
        <f t="shared" si="121"/>
        <v>0</v>
      </c>
      <c r="O108" s="299">
        <f t="shared" si="121"/>
        <v>0</v>
      </c>
      <c r="P108" s="299">
        <f t="shared" ref="P108:AS108" si="122">P106 * P107 * 10^-6 * $F105</f>
        <v>0</v>
      </c>
      <c r="Q108" s="299">
        <f t="shared" si="122"/>
        <v>0</v>
      </c>
      <c r="R108" s="299">
        <f t="shared" si="122"/>
        <v>0</v>
      </c>
      <c r="S108" s="299">
        <f t="shared" si="122"/>
        <v>0</v>
      </c>
      <c r="T108" s="299">
        <f t="shared" si="122"/>
        <v>0</v>
      </c>
      <c r="U108" s="299">
        <f t="shared" si="122"/>
        <v>0</v>
      </c>
      <c r="V108" s="299">
        <f t="shared" si="122"/>
        <v>0</v>
      </c>
      <c r="W108" s="299">
        <f t="shared" si="122"/>
        <v>0</v>
      </c>
      <c r="X108" s="299">
        <f t="shared" si="122"/>
        <v>17.482495504319996</v>
      </c>
      <c r="Y108" s="299">
        <f t="shared" si="122"/>
        <v>32.942181610799999</v>
      </c>
      <c r="Z108" s="299">
        <f t="shared" si="122"/>
        <v>59.516856278879985</v>
      </c>
      <c r="AA108" s="299">
        <f t="shared" si="122"/>
        <v>104.42579902523998</v>
      </c>
      <c r="AB108" s="299">
        <f t="shared" si="122"/>
        <v>46.637951255280001</v>
      </c>
      <c r="AC108" s="299">
        <f t="shared" si="122"/>
        <v>48.158451213839989</v>
      </c>
      <c r="AD108" s="299">
        <f t="shared" si="122"/>
        <v>48.158451213839989</v>
      </c>
      <c r="AE108" s="299">
        <f t="shared" si="122"/>
        <v>48.158451213839989</v>
      </c>
      <c r="AF108" s="299">
        <f t="shared" si="122"/>
        <v>48.158451213839989</v>
      </c>
      <c r="AG108" s="299">
        <f t="shared" si="122"/>
        <v>48.158451213839989</v>
      </c>
      <c r="AH108" s="299">
        <f t="shared" si="122"/>
        <v>48.158451213839989</v>
      </c>
      <c r="AI108" s="299">
        <f t="shared" si="122"/>
        <v>48.158451213839989</v>
      </c>
      <c r="AJ108" s="299">
        <f t="shared" si="122"/>
        <v>41.109253720920002</v>
      </c>
      <c r="AK108" s="299">
        <f t="shared" si="122"/>
        <v>17.00554360428</v>
      </c>
      <c r="AL108" s="299">
        <f t="shared" si="122"/>
        <v>0</v>
      </c>
      <c r="AM108" s="299">
        <f t="shared" si="122"/>
        <v>0</v>
      </c>
      <c r="AN108" s="299">
        <f t="shared" si="122"/>
        <v>0</v>
      </c>
      <c r="AO108" s="299">
        <f t="shared" si="122"/>
        <v>0</v>
      </c>
      <c r="AP108" s="299">
        <f t="shared" si="122"/>
        <v>0</v>
      </c>
      <c r="AQ108" s="299">
        <f t="shared" si="122"/>
        <v>0</v>
      </c>
      <c r="AR108" s="299">
        <f t="shared" si="122"/>
        <v>0</v>
      </c>
      <c r="AS108" s="299">
        <f t="shared" si="122"/>
        <v>0</v>
      </c>
    </row>
    <row r="109" spans="1:45" ht="15" customHeight="1" x14ac:dyDescent="0.3">
      <c r="A109" s="282"/>
      <c r="E109" s="169"/>
      <c r="I109" s="291"/>
      <c r="J109" s="42"/>
      <c r="AL109" s="290"/>
      <c r="AM109" s="290"/>
      <c r="AN109" s="290"/>
      <c r="AO109" s="290"/>
      <c r="AP109" s="290"/>
      <c r="AQ109" s="290"/>
      <c r="AR109" s="290"/>
      <c r="AS109" s="290"/>
    </row>
    <row r="110" spans="1:45" ht="15" customHeight="1" x14ac:dyDescent="0.3">
      <c r="A110" s="282"/>
      <c r="E110" s="169" t="str">
        <f xml:space="preserve"> E$103</f>
        <v>Total copper revenue</v>
      </c>
      <c r="F110" s="169">
        <f t="shared" ref="F110:I110" si="123" xml:space="preserve"> F$103</f>
        <v>0</v>
      </c>
      <c r="G110" s="169" t="str">
        <f t="shared" si="123"/>
        <v>$ mn</v>
      </c>
      <c r="H110" s="169">
        <f t="shared" si="123"/>
        <v>0</v>
      </c>
      <c r="I110" s="169">
        <f t="shared" si="123"/>
        <v>11253.945920999999</v>
      </c>
      <c r="J110" s="42"/>
      <c r="K110" s="299">
        <f t="shared" ref="K110:O110" si="124" xml:space="preserve"> K$103</f>
        <v>0</v>
      </c>
      <c r="L110" s="299">
        <f t="shared" si="124"/>
        <v>0</v>
      </c>
      <c r="M110" s="299">
        <f t="shared" si="124"/>
        <v>0</v>
      </c>
      <c r="N110" s="299">
        <f t="shared" si="124"/>
        <v>0</v>
      </c>
      <c r="O110" s="299">
        <f t="shared" si="124"/>
        <v>0</v>
      </c>
      <c r="P110" s="299">
        <f t="shared" ref="P110:AS110" si="125" xml:space="preserve"> P$103</f>
        <v>0</v>
      </c>
      <c r="Q110" s="299">
        <f t="shared" si="125"/>
        <v>0</v>
      </c>
      <c r="R110" s="299">
        <f t="shared" si="125"/>
        <v>0</v>
      </c>
      <c r="S110" s="299">
        <f t="shared" si="125"/>
        <v>0</v>
      </c>
      <c r="T110" s="299">
        <f t="shared" si="125"/>
        <v>0</v>
      </c>
      <c r="U110" s="299">
        <f t="shared" si="125"/>
        <v>0</v>
      </c>
      <c r="V110" s="299">
        <f t="shared" si="125"/>
        <v>104.68060499999999</v>
      </c>
      <c r="W110" s="299">
        <f t="shared" si="125"/>
        <v>275.12210800000003</v>
      </c>
      <c r="X110" s="299">
        <f t="shared" si="125"/>
        <v>416.84932400000002</v>
      </c>
      <c r="Y110" s="299">
        <f t="shared" si="125"/>
        <v>635.77241700000002</v>
      </c>
      <c r="Z110" s="299">
        <f t="shared" si="125"/>
        <v>1059.182198</v>
      </c>
      <c r="AA110" s="299">
        <f t="shared" si="125"/>
        <v>938.45274099999995</v>
      </c>
      <c r="AB110" s="299">
        <f t="shared" si="125"/>
        <v>855.15067199999999</v>
      </c>
      <c r="AC110" s="299">
        <f t="shared" si="125"/>
        <v>871.34161733333337</v>
      </c>
      <c r="AD110" s="299">
        <f t="shared" si="125"/>
        <v>871.34161733333337</v>
      </c>
      <c r="AE110" s="299">
        <f t="shared" si="125"/>
        <v>871.34161733333337</v>
      </c>
      <c r="AF110" s="299">
        <f t="shared" si="125"/>
        <v>871.34161733333337</v>
      </c>
      <c r="AG110" s="299">
        <f t="shared" si="125"/>
        <v>871.34161733333337</v>
      </c>
      <c r="AH110" s="299">
        <f t="shared" si="125"/>
        <v>871.34161733333337</v>
      </c>
      <c r="AI110" s="299">
        <f t="shared" si="125"/>
        <v>721.17631199999994</v>
      </c>
      <c r="AJ110" s="299">
        <f t="shared" si="125"/>
        <v>721.17631199999994</v>
      </c>
      <c r="AK110" s="299">
        <f t="shared" si="125"/>
        <v>298.333528</v>
      </c>
      <c r="AL110" s="299">
        <f t="shared" si="125"/>
        <v>0</v>
      </c>
      <c r="AM110" s="299">
        <f t="shared" si="125"/>
        <v>0</v>
      </c>
      <c r="AN110" s="299">
        <f t="shared" si="125"/>
        <v>0</v>
      </c>
      <c r="AO110" s="299">
        <f t="shared" si="125"/>
        <v>0</v>
      </c>
      <c r="AP110" s="299">
        <f t="shared" si="125"/>
        <v>0</v>
      </c>
      <c r="AQ110" s="299">
        <f t="shared" si="125"/>
        <v>0</v>
      </c>
      <c r="AR110" s="299">
        <f t="shared" si="125"/>
        <v>0</v>
      </c>
      <c r="AS110" s="299">
        <f t="shared" si="125"/>
        <v>0</v>
      </c>
    </row>
    <row r="111" spans="1:45" ht="15" customHeight="1" x14ac:dyDescent="0.3">
      <c r="A111" s="282"/>
      <c r="E111" s="169" t="str">
        <f xml:space="preserve"> E$108</f>
        <v>Cobalt revenue</v>
      </c>
      <c r="F111" s="169">
        <f t="shared" ref="F111:I111" si="126" xml:space="preserve"> F$108</f>
        <v>0</v>
      </c>
      <c r="G111" s="169" t="str">
        <f t="shared" si="126"/>
        <v>$ mn</v>
      </c>
      <c r="H111" s="169">
        <f t="shared" si="126"/>
        <v>0</v>
      </c>
      <c r="I111" s="169">
        <f t="shared" si="126"/>
        <v>656.22923949660003</v>
      </c>
      <c r="J111" s="42"/>
      <c r="K111" s="299">
        <f t="shared" ref="K111:O111" si="127" xml:space="preserve"> K$108</f>
        <v>0</v>
      </c>
      <c r="L111" s="299">
        <f t="shared" si="127"/>
        <v>0</v>
      </c>
      <c r="M111" s="299">
        <f t="shared" si="127"/>
        <v>0</v>
      </c>
      <c r="N111" s="299">
        <f t="shared" si="127"/>
        <v>0</v>
      </c>
      <c r="O111" s="299">
        <f t="shared" si="127"/>
        <v>0</v>
      </c>
      <c r="P111" s="299">
        <f t="shared" ref="P111:AS111" si="128" xml:space="preserve"> P$108</f>
        <v>0</v>
      </c>
      <c r="Q111" s="299">
        <f t="shared" si="128"/>
        <v>0</v>
      </c>
      <c r="R111" s="299">
        <f t="shared" si="128"/>
        <v>0</v>
      </c>
      <c r="S111" s="299">
        <f t="shared" si="128"/>
        <v>0</v>
      </c>
      <c r="T111" s="299">
        <f t="shared" si="128"/>
        <v>0</v>
      </c>
      <c r="U111" s="299">
        <f t="shared" si="128"/>
        <v>0</v>
      </c>
      <c r="V111" s="299">
        <f t="shared" si="128"/>
        <v>0</v>
      </c>
      <c r="W111" s="299">
        <f t="shared" si="128"/>
        <v>0</v>
      </c>
      <c r="X111" s="299">
        <f t="shared" si="128"/>
        <v>17.482495504319996</v>
      </c>
      <c r="Y111" s="299">
        <f t="shared" si="128"/>
        <v>32.942181610799999</v>
      </c>
      <c r="Z111" s="299">
        <f t="shared" si="128"/>
        <v>59.516856278879985</v>
      </c>
      <c r="AA111" s="299">
        <f t="shared" si="128"/>
        <v>104.42579902523998</v>
      </c>
      <c r="AB111" s="299">
        <f t="shared" si="128"/>
        <v>46.637951255280001</v>
      </c>
      <c r="AC111" s="299">
        <f t="shared" si="128"/>
        <v>48.158451213839989</v>
      </c>
      <c r="AD111" s="299">
        <f t="shared" si="128"/>
        <v>48.158451213839989</v>
      </c>
      <c r="AE111" s="299">
        <f t="shared" si="128"/>
        <v>48.158451213839989</v>
      </c>
      <c r="AF111" s="299">
        <f t="shared" si="128"/>
        <v>48.158451213839989</v>
      </c>
      <c r="AG111" s="299">
        <f t="shared" si="128"/>
        <v>48.158451213839989</v>
      </c>
      <c r="AH111" s="299">
        <f t="shared" si="128"/>
        <v>48.158451213839989</v>
      </c>
      <c r="AI111" s="299">
        <f t="shared" si="128"/>
        <v>48.158451213839989</v>
      </c>
      <c r="AJ111" s="299">
        <f t="shared" si="128"/>
        <v>41.109253720920002</v>
      </c>
      <c r="AK111" s="299">
        <f t="shared" si="128"/>
        <v>17.00554360428</v>
      </c>
      <c r="AL111" s="299">
        <f t="shared" si="128"/>
        <v>0</v>
      </c>
      <c r="AM111" s="299">
        <f t="shared" si="128"/>
        <v>0</v>
      </c>
      <c r="AN111" s="299">
        <f t="shared" si="128"/>
        <v>0</v>
      </c>
      <c r="AO111" s="299">
        <f t="shared" si="128"/>
        <v>0</v>
      </c>
      <c r="AP111" s="299">
        <f t="shared" si="128"/>
        <v>0</v>
      </c>
      <c r="AQ111" s="299">
        <f t="shared" si="128"/>
        <v>0</v>
      </c>
      <c r="AR111" s="299">
        <f t="shared" si="128"/>
        <v>0</v>
      </c>
      <c r="AS111" s="299">
        <f t="shared" si="128"/>
        <v>0</v>
      </c>
    </row>
    <row r="112" spans="1:45" ht="15" customHeight="1" x14ac:dyDescent="0.3">
      <c r="A112" s="302"/>
      <c r="B112" s="303"/>
      <c r="C112" s="304"/>
      <c r="D112" s="305"/>
      <c r="E112" s="317" t="s">
        <v>178</v>
      </c>
      <c r="F112" s="317"/>
      <c r="G112" s="305" t="s">
        <v>346</v>
      </c>
      <c r="H112" s="317"/>
      <c r="I112" s="317">
        <f>SUM(K112:AS112)</f>
        <v>11910.175160496599</v>
      </c>
      <c r="J112" s="42"/>
      <c r="K112" s="308">
        <f t="shared" ref="K112:O112" si="129">K110 + K111</f>
        <v>0</v>
      </c>
      <c r="L112" s="308">
        <f t="shared" si="129"/>
        <v>0</v>
      </c>
      <c r="M112" s="308">
        <f t="shared" si="129"/>
        <v>0</v>
      </c>
      <c r="N112" s="308">
        <f t="shared" si="129"/>
        <v>0</v>
      </c>
      <c r="O112" s="308">
        <f t="shared" si="129"/>
        <v>0</v>
      </c>
      <c r="P112" s="308">
        <f t="shared" ref="P112:R112" si="130">P110 + P111</f>
        <v>0</v>
      </c>
      <c r="Q112" s="308">
        <f t="shared" si="130"/>
        <v>0</v>
      </c>
      <c r="R112" s="308">
        <f t="shared" si="130"/>
        <v>0</v>
      </c>
      <c r="S112" s="308">
        <f>S110 + S111</f>
        <v>0</v>
      </c>
      <c r="T112" s="308">
        <f t="shared" ref="T112:AP112" si="131">T110 + T111</f>
        <v>0</v>
      </c>
      <c r="U112" s="308">
        <f t="shared" si="131"/>
        <v>0</v>
      </c>
      <c r="V112" s="308">
        <f t="shared" si="131"/>
        <v>104.68060499999999</v>
      </c>
      <c r="W112" s="308">
        <f t="shared" si="131"/>
        <v>275.12210800000003</v>
      </c>
      <c r="X112" s="308">
        <f t="shared" si="131"/>
        <v>434.33181950432004</v>
      </c>
      <c r="Y112" s="308">
        <f t="shared" si="131"/>
        <v>668.71459861080007</v>
      </c>
      <c r="Z112" s="308">
        <f t="shared" si="131"/>
        <v>1118.6990542788799</v>
      </c>
      <c r="AA112" s="308">
        <f t="shared" si="131"/>
        <v>1042.87854002524</v>
      </c>
      <c r="AB112" s="308">
        <f t="shared" si="131"/>
        <v>901.78862325527996</v>
      </c>
      <c r="AC112" s="308">
        <f t="shared" si="131"/>
        <v>919.50006854717333</v>
      </c>
      <c r="AD112" s="308">
        <f t="shared" si="131"/>
        <v>919.50006854717333</v>
      </c>
      <c r="AE112" s="308">
        <f t="shared" si="131"/>
        <v>919.50006854717333</v>
      </c>
      <c r="AF112" s="308">
        <f t="shared" si="131"/>
        <v>919.50006854717333</v>
      </c>
      <c r="AG112" s="308">
        <f t="shared" si="131"/>
        <v>919.50006854717333</v>
      </c>
      <c r="AH112" s="308">
        <f t="shared" si="131"/>
        <v>919.50006854717333</v>
      </c>
      <c r="AI112" s="308">
        <f t="shared" si="131"/>
        <v>769.33476321383989</v>
      </c>
      <c r="AJ112" s="308">
        <f t="shared" si="131"/>
        <v>762.28556572091998</v>
      </c>
      <c r="AK112" s="308">
        <f t="shared" si="131"/>
        <v>315.33907160427998</v>
      </c>
      <c r="AL112" s="308">
        <f t="shared" si="131"/>
        <v>0</v>
      </c>
      <c r="AM112" s="308">
        <f t="shared" si="131"/>
        <v>0</v>
      </c>
      <c r="AN112" s="308">
        <f t="shared" si="131"/>
        <v>0</v>
      </c>
      <c r="AO112" s="308">
        <f t="shared" si="131"/>
        <v>0</v>
      </c>
      <c r="AP112" s="308">
        <f t="shared" si="131"/>
        <v>0</v>
      </c>
      <c r="AQ112" s="308">
        <f t="shared" ref="AQ112:AS112" si="132">AQ110 + AQ111</f>
        <v>0</v>
      </c>
      <c r="AR112" s="308">
        <f t="shared" si="132"/>
        <v>0</v>
      </c>
      <c r="AS112" s="308">
        <f t="shared" si="132"/>
        <v>0</v>
      </c>
    </row>
    <row r="113" spans="1:45" ht="15" customHeight="1" x14ac:dyDescent="0.3">
      <c r="A113" s="282"/>
      <c r="E113" s="169"/>
      <c r="I113" s="291"/>
      <c r="J113" s="42"/>
      <c r="AL113" s="290"/>
      <c r="AM113" s="290"/>
      <c r="AN113" s="290"/>
      <c r="AO113" s="290"/>
      <c r="AP113" s="290"/>
      <c r="AQ113" s="290"/>
      <c r="AR113" s="290"/>
      <c r="AS113" s="290"/>
    </row>
    <row r="114" spans="1:45" ht="15" customHeight="1" x14ac:dyDescent="0.3">
      <c r="A114" s="282"/>
      <c r="B114" s="288" t="s">
        <v>425</v>
      </c>
      <c r="E114"/>
      <c r="I114" s="291"/>
      <c r="J114" s="42"/>
      <c r="AL114" s="290"/>
      <c r="AM114" s="290"/>
      <c r="AN114" s="290"/>
      <c r="AO114" s="290"/>
      <c r="AP114" s="290"/>
      <c r="AQ114" s="290"/>
      <c r="AR114" s="290"/>
      <c r="AS114" s="290"/>
    </row>
    <row r="115" spans="1:45" ht="15" customHeight="1" x14ac:dyDescent="0.3">
      <c r="A115"/>
      <c r="D115" s="292"/>
      <c r="E115" s="362" t="str">
        <f xml:space="preserve"> 'Inputs_ FS'!E$41</f>
        <v>Copper</v>
      </c>
      <c r="F115" s="362">
        <f xml:space="preserve"> 'Inputs_ FS'!F$41</f>
        <v>11253.87</v>
      </c>
      <c r="G115" s="362" t="str">
        <f xml:space="preserve"> 'Inputs_ FS'!G$41</f>
        <v>$ mn</v>
      </c>
      <c r="H115" s="362" t="str">
        <f xml:space="preserve"> 'Inputs_ FS'!H$41</f>
        <v>M</v>
      </c>
      <c r="I115" s="362">
        <f xml:space="preserve"> 'Inputs_ FS'!I$41</f>
        <v>0</v>
      </c>
      <c r="J115" s="362">
        <f xml:space="preserve"> 'Inputs_ FS'!J$41</f>
        <v>0</v>
      </c>
      <c r="K115" s="362">
        <f xml:space="preserve"> 'Inputs_ FS'!K$41</f>
        <v>0</v>
      </c>
      <c r="L115" s="362">
        <f xml:space="preserve"> 'Inputs_ FS'!L$41</f>
        <v>0</v>
      </c>
      <c r="M115" s="362">
        <f xml:space="preserve"> 'Inputs_ FS'!M$41</f>
        <v>0</v>
      </c>
      <c r="N115" s="362">
        <f xml:space="preserve"> 'Inputs_ FS'!N$41</f>
        <v>0</v>
      </c>
      <c r="O115" s="362">
        <f xml:space="preserve"> 'Inputs_ FS'!O$41</f>
        <v>0</v>
      </c>
      <c r="P115" s="362">
        <f xml:space="preserve"> 'Inputs_ FS'!P$41</f>
        <v>0</v>
      </c>
      <c r="Q115" s="362">
        <f xml:space="preserve"> 'Inputs_ FS'!Q$41</f>
        <v>0</v>
      </c>
      <c r="R115" s="362">
        <f xml:space="preserve"> 'Inputs_ FS'!R$41</f>
        <v>0</v>
      </c>
      <c r="S115" s="362">
        <f xml:space="preserve"> 'Inputs_ FS'!S$41</f>
        <v>0</v>
      </c>
      <c r="T115" s="362">
        <f xml:space="preserve"> 'Inputs_ FS'!T$41</f>
        <v>0</v>
      </c>
      <c r="U115" s="362">
        <f xml:space="preserve"> 'Inputs_ FS'!U$41</f>
        <v>0</v>
      </c>
      <c r="V115" s="362">
        <f xml:space="preserve"> 'Inputs_ FS'!V$41</f>
        <v>104.67700000000001</v>
      </c>
      <c r="W115" s="362">
        <f xml:space="preserve"> 'Inputs_ FS'!W$41</f>
        <v>275.09399999999999</v>
      </c>
      <c r="X115" s="362">
        <f xml:space="preserve"> 'Inputs_ FS'!X$41</f>
        <v>416.83499999999998</v>
      </c>
      <c r="Y115" s="362">
        <f xml:space="preserve"> 'Inputs_ FS'!Y$41</f>
        <v>635.798</v>
      </c>
      <c r="Z115" s="362">
        <f xml:space="preserve"> 'Inputs_ FS'!Z$41</f>
        <v>1059.127</v>
      </c>
      <c r="AA115" s="362">
        <f xml:space="preserve"> 'Inputs_ FS'!AA$41</f>
        <v>938.44600000000003</v>
      </c>
      <c r="AB115" s="362">
        <f xml:space="preserve"> 'Inputs_ FS'!AB$41</f>
        <v>855.15300000000002</v>
      </c>
      <c r="AC115" s="362">
        <f xml:space="preserve"> 'Inputs_ FS'!AC$41</f>
        <v>0</v>
      </c>
      <c r="AD115" s="362">
        <f xml:space="preserve"> 'Inputs_ FS'!AD$41</f>
        <v>0</v>
      </c>
      <c r="AE115" s="362">
        <f xml:space="preserve"> 'Inputs_ FS'!AE$41</f>
        <v>0</v>
      </c>
      <c r="AF115" s="362">
        <f xml:space="preserve"> 'Inputs_ FS'!AF$41</f>
        <v>0</v>
      </c>
      <c r="AG115" s="362">
        <f xml:space="preserve"> 'Inputs_ FS'!AG$41</f>
        <v>0</v>
      </c>
      <c r="AH115" s="362">
        <f xml:space="preserve"> 'Inputs_ FS'!AH$41</f>
        <v>0</v>
      </c>
      <c r="AI115" s="362">
        <f xml:space="preserve"> 'Inputs_ FS'!AI$41</f>
        <v>721.18399999999997</v>
      </c>
      <c r="AJ115" s="362">
        <f xml:space="preserve"> 'Inputs_ FS'!AJ$41</f>
        <v>721.18399999999997</v>
      </c>
      <c r="AK115" s="362">
        <f xml:space="preserve"> 'Inputs_ FS'!AK$41</f>
        <v>298.33</v>
      </c>
      <c r="AL115" s="362">
        <f xml:space="preserve"> 'Inputs_ FS'!AL$41</f>
        <v>0</v>
      </c>
      <c r="AM115" s="362">
        <f xml:space="preserve"> 'Inputs_ FS'!AM$41</f>
        <v>0</v>
      </c>
      <c r="AN115" s="362">
        <f xml:space="preserve"> 'Inputs_ FS'!AN$41</f>
        <v>0</v>
      </c>
      <c r="AO115" s="362">
        <f xml:space="preserve"> 'Inputs_ FS'!AO$41</f>
        <v>0</v>
      </c>
      <c r="AP115" s="362">
        <f xml:space="preserve"> 'Inputs_ FS'!AP$41</f>
        <v>0</v>
      </c>
      <c r="AQ115" s="362">
        <f xml:space="preserve"> 'Inputs_ FS'!AQ$41</f>
        <v>0</v>
      </c>
      <c r="AR115" s="362">
        <f xml:space="preserve"> 'Inputs_ FS'!AR$41</f>
        <v>0</v>
      </c>
      <c r="AS115" s="362">
        <f xml:space="preserve"> 'Inputs_ FS'!AS$41</f>
        <v>0</v>
      </c>
    </row>
    <row r="116" spans="1:45" ht="15" customHeight="1" x14ac:dyDescent="0.3">
      <c r="A116"/>
      <c r="D116" s="292"/>
      <c r="E116" s="362" t="str">
        <f xml:space="preserve"> 'Inputs_ FS'!E$42</f>
        <v>Cobalt</v>
      </c>
      <c r="F116" s="362">
        <f xml:space="preserve"> 'Inputs_ FS'!F$42</f>
        <v>656.70799999999997</v>
      </c>
      <c r="G116" s="362" t="str">
        <f xml:space="preserve"> 'Inputs_ FS'!G$42</f>
        <v>$ mn</v>
      </c>
      <c r="H116" s="362" t="str">
        <f xml:space="preserve"> 'Inputs_ FS'!H$42</f>
        <v>M</v>
      </c>
      <c r="I116" s="362">
        <f xml:space="preserve"> 'Inputs_ FS'!I$42</f>
        <v>0</v>
      </c>
      <c r="J116" s="362">
        <f xml:space="preserve"> 'Inputs_ FS'!J$42</f>
        <v>0</v>
      </c>
      <c r="K116" s="362">
        <f xml:space="preserve"> 'Inputs_ FS'!K$42</f>
        <v>0</v>
      </c>
      <c r="L116" s="362">
        <f xml:space="preserve"> 'Inputs_ FS'!L$42</f>
        <v>0</v>
      </c>
      <c r="M116" s="362">
        <f xml:space="preserve"> 'Inputs_ FS'!M$42</f>
        <v>0</v>
      </c>
      <c r="N116" s="362">
        <f xml:space="preserve"> 'Inputs_ FS'!N$42</f>
        <v>0</v>
      </c>
      <c r="O116" s="362">
        <f xml:space="preserve"> 'Inputs_ FS'!O$42</f>
        <v>0</v>
      </c>
      <c r="P116" s="362">
        <f xml:space="preserve"> 'Inputs_ FS'!P$42</f>
        <v>0</v>
      </c>
      <c r="Q116" s="362">
        <f xml:space="preserve"> 'Inputs_ FS'!Q$42</f>
        <v>0</v>
      </c>
      <c r="R116" s="362">
        <f xml:space="preserve"> 'Inputs_ FS'!R$42</f>
        <v>0</v>
      </c>
      <c r="S116" s="362">
        <f xml:space="preserve"> 'Inputs_ FS'!S$42</f>
        <v>0</v>
      </c>
      <c r="T116" s="362">
        <f xml:space="preserve"> 'Inputs_ FS'!T$42</f>
        <v>0</v>
      </c>
      <c r="U116" s="362">
        <f xml:space="preserve"> 'Inputs_ FS'!U$42</f>
        <v>0</v>
      </c>
      <c r="V116" s="362">
        <f xml:space="preserve"> 'Inputs_ FS'!V$42</f>
        <v>0</v>
      </c>
      <c r="W116" s="362">
        <f xml:space="preserve"> 'Inputs_ FS'!W$42</f>
        <v>0</v>
      </c>
      <c r="X116" s="362">
        <f xml:space="preserve"> 'Inputs_ FS'!X$42</f>
        <v>17.57</v>
      </c>
      <c r="Y116" s="362">
        <f xml:space="preserve"> 'Inputs_ FS'!Y$42</f>
        <v>33.622999999999998</v>
      </c>
      <c r="Z116" s="362">
        <f xml:space="preserve"> 'Inputs_ FS'!Z$42</f>
        <v>59.23</v>
      </c>
      <c r="AA116" s="362">
        <f xml:space="preserve"> 'Inputs_ FS'!AA$42</f>
        <v>104.42700000000001</v>
      </c>
      <c r="AB116" s="362">
        <f xml:space="preserve"> 'Inputs_ FS'!AB$42</f>
        <v>46.637999999999998</v>
      </c>
      <c r="AC116" s="362">
        <f xml:space="preserve"> 'Inputs_ FS'!AC$42</f>
        <v>0</v>
      </c>
      <c r="AD116" s="362">
        <f xml:space="preserve"> 'Inputs_ FS'!AD$42</f>
        <v>0</v>
      </c>
      <c r="AE116" s="362">
        <f xml:space="preserve"> 'Inputs_ FS'!AE$42</f>
        <v>0</v>
      </c>
      <c r="AF116" s="362">
        <f xml:space="preserve"> 'Inputs_ FS'!AF$42</f>
        <v>0</v>
      </c>
      <c r="AG116" s="362">
        <f xml:space="preserve"> 'Inputs_ FS'!AG$42</f>
        <v>0</v>
      </c>
      <c r="AH116" s="362">
        <f xml:space="preserve"> 'Inputs_ FS'!AH$42</f>
        <v>0</v>
      </c>
      <c r="AI116" s="362">
        <f xml:space="preserve"> 'Inputs_ FS'!AI$42</f>
        <v>41.11</v>
      </c>
      <c r="AJ116" s="362">
        <f xml:space="preserve"> 'Inputs_ FS'!AJ$42</f>
        <v>41.11</v>
      </c>
      <c r="AK116" s="362">
        <f xml:space="preserve"> 'Inputs_ FS'!AK$42</f>
        <v>17.006</v>
      </c>
      <c r="AL116" s="362">
        <f xml:space="preserve"> 'Inputs_ FS'!AL$42</f>
        <v>0</v>
      </c>
      <c r="AM116" s="362">
        <f xml:space="preserve"> 'Inputs_ FS'!AM$42</f>
        <v>0</v>
      </c>
      <c r="AN116" s="362">
        <f xml:space="preserve"> 'Inputs_ FS'!AN$42</f>
        <v>0</v>
      </c>
      <c r="AO116" s="362">
        <f xml:space="preserve"> 'Inputs_ FS'!AO$42</f>
        <v>0</v>
      </c>
      <c r="AP116" s="362">
        <f xml:space="preserve"> 'Inputs_ FS'!AP$42</f>
        <v>0</v>
      </c>
      <c r="AQ116" s="362">
        <f xml:space="preserve"> 'Inputs_ FS'!AQ$42</f>
        <v>0</v>
      </c>
      <c r="AR116" s="362">
        <f xml:space="preserve"> 'Inputs_ FS'!AR$42</f>
        <v>0</v>
      </c>
      <c r="AS116" s="362">
        <f xml:space="preserve"> 'Inputs_ FS'!AS$42</f>
        <v>0</v>
      </c>
    </row>
    <row r="117" spans="1:45" ht="15" customHeight="1" x14ac:dyDescent="0.3">
      <c r="I117" s="291"/>
      <c r="J117" s="42"/>
      <c r="AL117" s="290"/>
      <c r="AM117" s="290"/>
      <c r="AN117" s="290"/>
      <c r="AO117" s="290"/>
      <c r="AP117" s="290"/>
      <c r="AQ117" s="290"/>
      <c r="AR117" s="290"/>
      <c r="AS117" s="290"/>
    </row>
    <row r="118" spans="1:45" ht="15" customHeight="1" x14ac:dyDescent="0.3">
      <c r="B118" s="288" t="s">
        <v>194</v>
      </c>
      <c r="I118" s="291"/>
      <c r="J118" s="42"/>
      <c r="AL118" s="290"/>
      <c r="AM118" s="290"/>
      <c r="AN118" s="290"/>
      <c r="AO118" s="290"/>
      <c r="AP118" s="290"/>
      <c r="AQ118" s="290"/>
      <c r="AR118" s="290"/>
      <c r="AS118" s="290"/>
    </row>
    <row r="119" spans="1:45" ht="15" customHeight="1" x14ac:dyDescent="0.3">
      <c r="A119" s="143"/>
      <c r="E119" s="362" t="str">
        <f xml:space="preserve"> 'Inputs_ FS'!E$58</f>
        <v>Production costs: FS table</v>
      </c>
      <c r="F119" s="362">
        <f xml:space="preserve"> 'Inputs_ FS'!F$58</f>
        <v>0</v>
      </c>
      <c r="G119" s="362" t="str">
        <f xml:space="preserve"> 'Inputs_ FS'!G$58</f>
        <v>$ mn</v>
      </c>
      <c r="H119" s="362" t="str">
        <f xml:space="preserve"> 'Inputs_ FS'!H$58</f>
        <v>M</v>
      </c>
      <c r="I119" s="362">
        <f xml:space="preserve"> 'Inputs_ FS'!I$58</f>
        <v>2587.9797899999999</v>
      </c>
      <c r="J119" s="362">
        <f xml:space="preserve"> 'Inputs_ FS'!J$58</f>
        <v>0</v>
      </c>
      <c r="K119" s="362">
        <f xml:space="preserve"> 'Inputs_ FS'!K$58</f>
        <v>0</v>
      </c>
      <c r="L119" s="362">
        <f xml:space="preserve"> 'Inputs_ FS'!L$58</f>
        <v>0</v>
      </c>
      <c r="M119" s="362">
        <f xml:space="preserve"> 'Inputs_ FS'!M$58</f>
        <v>0</v>
      </c>
      <c r="N119" s="362">
        <f xml:space="preserve"> 'Inputs_ FS'!N$58</f>
        <v>0</v>
      </c>
      <c r="O119" s="362">
        <f xml:space="preserve"> 'Inputs_ FS'!O$58</f>
        <v>0</v>
      </c>
      <c r="P119" s="362">
        <f xml:space="preserve"> 'Inputs_ FS'!P$58</f>
        <v>0</v>
      </c>
      <c r="Q119" s="362">
        <f xml:space="preserve"> 'Inputs_ FS'!Q$58</f>
        <v>0</v>
      </c>
      <c r="R119" s="362">
        <f xml:space="preserve"> 'Inputs_ FS'!R$58</f>
        <v>0</v>
      </c>
      <c r="S119" s="362">
        <f xml:space="preserve"> 'Inputs_ FS'!S$58</f>
        <v>0</v>
      </c>
      <c r="T119" s="362">
        <f xml:space="preserve"> 'Inputs_ FS'!T$58</f>
        <v>0</v>
      </c>
      <c r="U119" s="362">
        <f xml:space="preserve"> 'Inputs_ FS'!U$58</f>
        <v>0</v>
      </c>
      <c r="V119" s="362">
        <f xml:space="preserve"> 'Inputs_ FS'!V$58</f>
        <v>91.180059999999997</v>
      </c>
      <c r="W119" s="362">
        <f xml:space="preserve"> 'Inputs_ FS'!W$58</f>
        <v>110.98714</v>
      </c>
      <c r="X119" s="362">
        <f xml:space="preserve"> 'Inputs_ FS'!X$58</f>
        <v>221.33031</v>
      </c>
      <c r="Y119" s="362">
        <f xml:space="preserve"> 'Inputs_ FS'!Y$58</f>
        <v>274.47759000000002</v>
      </c>
      <c r="Z119" s="362">
        <f xml:space="preserve"> 'Inputs_ FS'!Z$58</f>
        <v>245.96544</v>
      </c>
      <c r="AA119" s="362">
        <f xml:space="preserve"> 'Inputs_ FS'!AA$58</f>
        <v>538.47123999999997</v>
      </c>
      <c r="AB119" s="362">
        <f xml:space="preserve"> 'Inputs_ FS'!AB$58</f>
        <v>460.35408999999999</v>
      </c>
      <c r="AC119" s="362">
        <f xml:space="preserve"> 'Inputs_ FS'!AC$58</f>
        <v>0</v>
      </c>
      <c r="AD119" s="362">
        <f xml:space="preserve"> 'Inputs_ FS'!AD$58</f>
        <v>0</v>
      </c>
      <c r="AE119" s="362">
        <f xml:space="preserve"> 'Inputs_ FS'!AE$58</f>
        <v>0</v>
      </c>
      <c r="AF119" s="362">
        <f xml:space="preserve"> 'Inputs_ FS'!AF$58</f>
        <v>0</v>
      </c>
      <c r="AG119" s="362">
        <f xml:space="preserve"> 'Inputs_ FS'!AG$58</f>
        <v>0</v>
      </c>
      <c r="AH119" s="362">
        <f xml:space="preserve"> 'Inputs_ FS'!AH$58</f>
        <v>0</v>
      </c>
      <c r="AI119" s="362">
        <f xml:space="preserve"> 'Inputs_ FS'!AI$58</f>
        <v>0</v>
      </c>
      <c r="AJ119" s="362">
        <f xml:space="preserve"> 'Inputs_ FS'!AJ$58</f>
        <v>420.73610000000002</v>
      </c>
      <c r="AK119" s="362">
        <f xml:space="preserve"> 'Inputs_ FS'!AK$58</f>
        <v>224.47782000000001</v>
      </c>
      <c r="AL119" s="362">
        <f xml:space="preserve"> 'Inputs_ FS'!AL$58</f>
        <v>0</v>
      </c>
      <c r="AM119" s="362">
        <f xml:space="preserve"> 'Inputs_ FS'!AM$58</f>
        <v>0</v>
      </c>
      <c r="AN119" s="362">
        <f xml:space="preserve"> 'Inputs_ FS'!AN$58</f>
        <v>0</v>
      </c>
      <c r="AO119" s="362">
        <f xml:space="preserve"> 'Inputs_ FS'!AO$58</f>
        <v>0</v>
      </c>
      <c r="AP119" s="362">
        <f xml:space="preserve"> 'Inputs_ FS'!AP$58</f>
        <v>0</v>
      </c>
      <c r="AQ119" s="362">
        <f xml:space="preserve"> 'Inputs_ FS'!AQ$58</f>
        <v>0</v>
      </c>
      <c r="AR119" s="362">
        <f xml:space="preserve"> 'Inputs_ FS'!AR$58</f>
        <v>0</v>
      </c>
      <c r="AS119" s="362">
        <f xml:space="preserve"> 'Inputs_ FS'!AS$58</f>
        <v>0</v>
      </c>
    </row>
    <row r="120" spans="1:45" ht="15" customHeight="1" x14ac:dyDescent="0.3">
      <c r="A120" s="143"/>
      <c r="E120" s="362" t="str">
        <f xml:space="preserve"> 'Inputs_ FS'!E$59</f>
        <v>Personnel expenses: FS table</v>
      </c>
      <c r="F120" s="362">
        <f xml:space="preserve"> 'Inputs_ FS'!F$59</f>
        <v>0</v>
      </c>
      <c r="G120" s="362" t="str">
        <f xml:space="preserve"> 'Inputs_ FS'!G$59</f>
        <v>$ mn</v>
      </c>
      <c r="H120" s="362" t="str">
        <f xml:space="preserve"> 'Inputs_ FS'!H$59</f>
        <v>M</v>
      </c>
      <c r="I120" s="362">
        <f xml:space="preserve"> 'Inputs_ FS'!I$59</f>
        <v>185.89500000000004</v>
      </c>
      <c r="J120" s="362">
        <f xml:space="preserve"> 'Inputs_ FS'!J$59</f>
        <v>0</v>
      </c>
      <c r="K120" s="362">
        <f xml:space="preserve"> 'Inputs_ FS'!K$59</f>
        <v>0</v>
      </c>
      <c r="L120" s="362">
        <f xml:space="preserve"> 'Inputs_ FS'!L$59</f>
        <v>0</v>
      </c>
      <c r="M120" s="362">
        <f xml:space="preserve"> 'Inputs_ FS'!M$59</f>
        <v>0</v>
      </c>
      <c r="N120" s="362">
        <f xml:space="preserve"> 'Inputs_ FS'!N$59</f>
        <v>0</v>
      </c>
      <c r="O120" s="362">
        <f xml:space="preserve"> 'Inputs_ FS'!O$59</f>
        <v>0</v>
      </c>
      <c r="P120" s="362">
        <f xml:space="preserve"> 'Inputs_ FS'!P$59</f>
        <v>0</v>
      </c>
      <c r="Q120" s="362">
        <f xml:space="preserve"> 'Inputs_ FS'!Q$59</f>
        <v>0</v>
      </c>
      <c r="R120" s="362">
        <f xml:space="preserve"> 'Inputs_ FS'!R$59</f>
        <v>0</v>
      </c>
      <c r="S120" s="362">
        <f xml:space="preserve"> 'Inputs_ FS'!S$59</f>
        <v>0</v>
      </c>
      <c r="T120" s="362">
        <f xml:space="preserve"> 'Inputs_ FS'!T$59</f>
        <v>0</v>
      </c>
      <c r="U120" s="362">
        <f xml:space="preserve"> 'Inputs_ FS'!U$59</f>
        <v>0</v>
      </c>
      <c r="V120" s="362">
        <f xml:space="preserve"> 'Inputs_ FS'!V$59</f>
        <v>3.4609999999999999</v>
      </c>
      <c r="W120" s="362">
        <f xml:space="preserve"> 'Inputs_ FS'!W$59</f>
        <v>7.7869999999999999</v>
      </c>
      <c r="X120" s="362">
        <f xml:space="preserve"> 'Inputs_ FS'!X$59</f>
        <v>17.962</v>
      </c>
      <c r="Y120" s="362">
        <f xml:space="preserve"> 'Inputs_ FS'!Y$59</f>
        <v>26.148</v>
      </c>
      <c r="Z120" s="362">
        <f xml:space="preserve"> 'Inputs_ FS'!Z$59</f>
        <v>33.9</v>
      </c>
      <c r="AA120" s="362">
        <f xml:space="preserve"> 'Inputs_ FS'!AA$59</f>
        <v>26.048999999999999</v>
      </c>
      <c r="AB120" s="362">
        <f xml:space="preserve"> 'Inputs_ FS'!AB$59</f>
        <v>19.428000000000001</v>
      </c>
      <c r="AC120" s="362">
        <f xml:space="preserve"> 'Inputs_ FS'!AC$59</f>
        <v>0</v>
      </c>
      <c r="AD120" s="362">
        <f xml:space="preserve"> 'Inputs_ FS'!AD$59</f>
        <v>0</v>
      </c>
      <c r="AE120" s="362">
        <f xml:space="preserve"> 'Inputs_ FS'!AE$59</f>
        <v>0</v>
      </c>
      <c r="AF120" s="362">
        <f xml:space="preserve"> 'Inputs_ FS'!AF$59</f>
        <v>0</v>
      </c>
      <c r="AG120" s="362">
        <f xml:space="preserve"> 'Inputs_ FS'!AG$59</f>
        <v>0</v>
      </c>
      <c r="AH120" s="362">
        <f xml:space="preserve"> 'Inputs_ FS'!AH$59</f>
        <v>0</v>
      </c>
      <c r="AI120" s="362">
        <f xml:space="preserve"> 'Inputs_ FS'!AI$59</f>
        <v>0</v>
      </c>
      <c r="AJ120" s="362">
        <f xml:space="preserve"> 'Inputs_ FS'!AJ$59</f>
        <v>25.210999999999999</v>
      </c>
      <c r="AK120" s="362">
        <f xml:space="preserve"> 'Inputs_ FS'!AK$59</f>
        <v>25.949000000000002</v>
      </c>
      <c r="AL120" s="362">
        <f xml:space="preserve"> 'Inputs_ FS'!AL$59</f>
        <v>0</v>
      </c>
      <c r="AM120" s="362">
        <f xml:space="preserve"> 'Inputs_ FS'!AM$59</f>
        <v>0</v>
      </c>
      <c r="AN120" s="362">
        <f xml:space="preserve"> 'Inputs_ FS'!AN$59</f>
        <v>0</v>
      </c>
      <c r="AO120" s="362">
        <f xml:space="preserve"> 'Inputs_ FS'!AO$59</f>
        <v>0</v>
      </c>
      <c r="AP120" s="362">
        <f xml:space="preserve"> 'Inputs_ FS'!AP$59</f>
        <v>0</v>
      </c>
      <c r="AQ120" s="362">
        <f xml:space="preserve"> 'Inputs_ FS'!AQ$59</f>
        <v>0</v>
      </c>
      <c r="AR120" s="362">
        <f xml:space="preserve"> 'Inputs_ FS'!AR$59</f>
        <v>0</v>
      </c>
      <c r="AS120" s="362">
        <f xml:space="preserve"> 'Inputs_ FS'!AS$59</f>
        <v>0</v>
      </c>
    </row>
    <row r="121" spans="1:45" ht="15" customHeight="1" x14ac:dyDescent="0.3">
      <c r="A121" s="143"/>
      <c r="E121" s="362" t="str">
        <f xml:space="preserve"> 'Inputs_ FS'!E$60</f>
        <v>Selling costs: FS table</v>
      </c>
      <c r="F121" s="362">
        <f xml:space="preserve"> 'Inputs_ FS'!F$60</f>
        <v>0</v>
      </c>
      <c r="G121" s="362" t="str">
        <f xml:space="preserve"> 'Inputs_ FS'!G$60</f>
        <v>$ mn</v>
      </c>
      <c r="H121" s="362" t="str">
        <f xml:space="preserve"> 'Inputs_ FS'!H$60</f>
        <v>M</v>
      </c>
      <c r="I121" s="362">
        <f xml:space="preserve"> 'Inputs_ FS'!I$60</f>
        <v>550.07166999999993</v>
      </c>
      <c r="J121" s="362">
        <f xml:space="preserve"> 'Inputs_ FS'!J$60</f>
        <v>0</v>
      </c>
      <c r="K121" s="362">
        <f xml:space="preserve"> 'Inputs_ FS'!K$60</f>
        <v>0</v>
      </c>
      <c r="L121" s="362">
        <f xml:space="preserve"> 'Inputs_ FS'!L$60</f>
        <v>0</v>
      </c>
      <c r="M121" s="362">
        <f xml:space="preserve"> 'Inputs_ FS'!M$60</f>
        <v>0</v>
      </c>
      <c r="N121" s="362">
        <f xml:space="preserve"> 'Inputs_ FS'!N$60</f>
        <v>0</v>
      </c>
      <c r="O121" s="362">
        <f xml:space="preserve"> 'Inputs_ FS'!O$60</f>
        <v>0</v>
      </c>
      <c r="P121" s="362">
        <f xml:space="preserve"> 'Inputs_ FS'!P$60</f>
        <v>0</v>
      </c>
      <c r="Q121" s="362">
        <f xml:space="preserve"> 'Inputs_ FS'!Q$60</f>
        <v>0</v>
      </c>
      <c r="R121" s="362">
        <f xml:space="preserve"> 'Inputs_ FS'!R$60</f>
        <v>0</v>
      </c>
      <c r="S121" s="362">
        <f xml:space="preserve"> 'Inputs_ FS'!S$60</f>
        <v>0</v>
      </c>
      <c r="T121" s="362">
        <f xml:space="preserve"> 'Inputs_ FS'!T$60</f>
        <v>0</v>
      </c>
      <c r="U121" s="362">
        <f xml:space="preserve"> 'Inputs_ FS'!U$60</f>
        <v>0</v>
      </c>
      <c r="V121" s="362">
        <f xml:space="preserve"> 'Inputs_ FS'!V$60</f>
        <v>18.271809999999999</v>
      </c>
      <c r="W121" s="362">
        <f xml:space="preserve"> 'Inputs_ FS'!W$60</f>
        <v>52.600679999999997</v>
      </c>
      <c r="X121" s="362">
        <f xml:space="preserve"> 'Inputs_ FS'!X$60</f>
        <v>67.747399999999999</v>
      </c>
      <c r="Y121" s="362">
        <f xml:space="preserve"> 'Inputs_ FS'!Y$60</f>
        <v>76.065920000000006</v>
      </c>
      <c r="Z121" s="362">
        <f xml:space="preserve"> 'Inputs_ FS'!Z$60</f>
        <v>106.92619000000001</v>
      </c>
      <c r="AA121" s="362">
        <f xml:space="preserve"> 'Inputs_ FS'!AA$60</f>
        <v>82.362870000000001</v>
      </c>
      <c r="AB121" s="362">
        <f xml:space="preserve"> 'Inputs_ FS'!AB$60</f>
        <v>67.318399999999997</v>
      </c>
      <c r="AC121" s="362">
        <f xml:space="preserve"> 'Inputs_ FS'!AC$60</f>
        <v>0</v>
      </c>
      <c r="AD121" s="362">
        <f xml:space="preserve"> 'Inputs_ FS'!AD$60</f>
        <v>0</v>
      </c>
      <c r="AE121" s="362">
        <f xml:space="preserve"> 'Inputs_ FS'!AE$60</f>
        <v>0</v>
      </c>
      <c r="AF121" s="362">
        <f xml:space="preserve"> 'Inputs_ FS'!AF$60</f>
        <v>0</v>
      </c>
      <c r="AG121" s="362">
        <f xml:space="preserve"> 'Inputs_ FS'!AG$60</f>
        <v>0</v>
      </c>
      <c r="AH121" s="362">
        <f xml:space="preserve"> 'Inputs_ FS'!AH$60</f>
        <v>0</v>
      </c>
      <c r="AI121" s="362">
        <f xml:space="preserve"> 'Inputs_ FS'!AI$60</f>
        <v>0</v>
      </c>
      <c r="AJ121" s="362">
        <f xml:space="preserve"> 'Inputs_ FS'!AJ$60</f>
        <v>55.726289999999999</v>
      </c>
      <c r="AK121" s="362">
        <f xml:space="preserve"> 'Inputs_ FS'!AK$60</f>
        <v>23.052109999999999</v>
      </c>
      <c r="AL121" s="362">
        <f xml:space="preserve"> 'Inputs_ FS'!AL$60</f>
        <v>0</v>
      </c>
      <c r="AM121" s="362">
        <f xml:space="preserve"> 'Inputs_ FS'!AM$60</f>
        <v>0</v>
      </c>
      <c r="AN121" s="362">
        <f xml:space="preserve"> 'Inputs_ FS'!AN$60</f>
        <v>0</v>
      </c>
      <c r="AO121" s="362">
        <f xml:space="preserve"> 'Inputs_ FS'!AO$60</f>
        <v>0</v>
      </c>
      <c r="AP121" s="362">
        <f xml:space="preserve"> 'Inputs_ FS'!AP$60</f>
        <v>0</v>
      </c>
      <c r="AQ121" s="362">
        <f xml:space="preserve"> 'Inputs_ FS'!AQ$60</f>
        <v>0</v>
      </c>
      <c r="AR121" s="362">
        <f xml:space="preserve"> 'Inputs_ FS'!AR$60</f>
        <v>0</v>
      </c>
      <c r="AS121" s="362">
        <f xml:space="preserve"> 'Inputs_ FS'!AS$60</f>
        <v>0</v>
      </c>
    </row>
    <row r="122" spans="1:45" ht="15" customHeight="1" x14ac:dyDescent="0.3">
      <c r="A122" s="331"/>
      <c r="B122" s="332"/>
      <c r="C122" s="333"/>
      <c r="D122" s="299"/>
      <c r="E122" s="294"/>
      <c r="F122" s="294"/>
      <c r="G122" s="294"/>
      <c r="H122" s="334"/>
      <c r="I122" s="334"/>
      <c r="J122" s="42"/>
      <c r="K122" s="294"/>
      <c r="L122" s="294"/>
      <c r="M122" s="294"/>
      <c r="N122" s="294"/>
      <c r="O122" s="294"/>
      <c r="P122" s="294"/>
      <c r="Q122" s="294"/>
      <c r="R122" s="294"/>
      <c r="S122" s="294"/>
      <c r="T122" s="294"/>
      <c r="U122" s="294"/>
      <c r="V122" s="294"/>
      <c r="W122" s="294"/>
      <c r="X122" s="294"/>
      <c r="Y122" s="294"/>
      <c r="Z122" s="294"/>
      <c r="AA122" s="294"/>
      <c r="AB122" s="294"/>
      <c r="AC122" s="294"/>
      <c r="AD122" s="294"/>
      <c r="AE122" s="294"/>
      <c r="AF122" s="294"/>
      <c r="AG122" s="294"/>
      <c r="AH122" s="294"/>
      <c r="AI122" s="294"/>
      <c r="AJ122" s="294"/>
      <c r="AK122" s="294"/>
      <c r="AL122" s="331"/>
      <c r="AM122" s="331"/>
      <c r="AN122" s="331"/>
      <c r="AO122" s="331"/>
      <c r="AP122" s="331"/>
      <c r="AQ122" s="331"/>
      <c r="AR122" s="331"/>
      <c r="AS122" s="331"/>
    </row>
    <row r="123" spans="1:45" ht="15" customHeight="1" x14ac:dyDescent="0.3">
      <c r="A123" s="331"/>
      <c r="B123" s="332"/>
      <c r="C123" s="333"/>
      <c r="D123" s="299"/>
      <c r="E123" s="293" t="s">
        <v>429</v>
      </c>
      <c r="F123" s="294">
        <f>I119</f>
        <v>2587.9797899999999</v>
      </c>
      <c r="G123" s="293" t="s">
        <v>346</v>
      </c>
      <c r="H123" s="334"/>
      <c r="I123" s="334"/>
      <c r="J123" s="42"/>
      <c r="K123" s="294"/>
      <c r="L123" s="294"/>
      <c r="M123" s="294"/>
      <c r="N123" s="294"/>
      <c r="O123" s="294"/>
      <c r="P123" s="294"/>
      <c r="Q123" s="294"/>
      <c r="R123" s="294"/>
      <c r="S123" s="294"/>
      <c r="T123" s="294"/>
      <c r="U123" s="294"/>
      <c r="V123" s="294"/>
      <c r="W123" s="294"/>
      <c r="X123" s="294"/>
      <c r="Y123" s="294"/>
      <c r="Z123" s="294"/>
      <c r="AA123" s="294"/>
      <c r="AB123" s="294"/>
      <c r="AC123" s="294"/>
      <c r="AD123" s="294"/>
      <c r="AE123" s="294"/>
      <c r="AF123" s="294"/>
      <c r="AG123" s="294"/>
      <c r="AH123" s="294"/>
      <c r="AI123" s="294"/>
      <c r="AJ123" s="294"/>
      <c r="AK123" s="294"/>
      <c r="AL123" s="331"/>
      <c r="AM123" s="331"/>
      <c r="AN123" s="331"/>
      <c r="AO123" s="331"/>
      <c r="AP123" s="331"/>
      <c r="AQ123" s="331"/>
      <c r="AR123" s="331"/>
      <c r="AS123" s="331"/>
    </row>
    <row r="124" spans="1:45" ht="15" customHeight="1" x14ac:dyDescent="0.3">
      <c r="A124" s="331"/>
      <c r="B124" s="332"/>
      <c r="C124" s="333"/>
      <c r="D124" s="299"/>
      <c r="E124" s="293" t="s">
        <v>430</v>
      </c>
      <c r="F124" s="294">
        <f>I120</f>
        <v>185.89500000000004</v>
      </c>
      <c r="G124" s="293" t="s">
        <v>346</v>
      </c>
      <c r="H124" s="334"/>
      <c r="I124" s="334"/>
      <c r="J124" s="42"/>
      <c r="K124" s="294"/>
      <c r="L124" s="294"/>
      <c r="M124" s="294"/>
      <c r="N124" s="294"/>
      <c r="O124" s="294"/>
      <c r="P124" s="294"/>
      <c r="Q124" s="294"/>
      <c r="R124" s="294"/>
      <c r="S124" s="294"/>
      <c r="T124" s="294"/>
      <c r="U124" s="294"/>
      <c r="V124" s="294"/>
      <c r="W124" s="294"/>
      <c r="X124" s="294"/>
      <c r="Y124" s="294"/>
      <c r="Z124" s="294"/>
      <c r="AA124" s="294"/>
      <c r="AB124" s="294"/>
      <c r="AC124" s="294"/>
      <c r="AD124" s="294"/>
      <c r="AE124" s="294"/>
      <c r="AF124" s="294"/>
      <c r="AG124" s="294"/>
      <c r="AH124" s="294"/>
      <c r="AI124" s="294"/>
      <c r="AJ124" s="294"/>
      <c r="AK124" s="294"/>
      <c r="AL124" s="331"/>
      <c r="AM124" s="331"/>
      <c r="AN124" s="331"/>
      <c r="AO124" s="331"/>
      <c r="AP124" s="331"/>
      <c r="AQ124" s="331"/>
      <c r="AR124" s="331"/>
      <c r="AS124" s="331"/>
    </row>
    <row r="125" spans="1:45" ht="15" customHeight="1" x14ac:dyDescent="0.3">
      <c r="A125" s="331"/>
      <c r="B125" s="332"/>
      <c r="C125" s="333"/>
      <c r="D125" s="299"/>
      <c r="E125" s="293" t="s">
        <v>431</v>
      </c>
      <c r="F125" s="294">
        <f>I121</f>
        <v>550.07166999999993</v>
      </c>
      <c r="G125" s="293" t="s">
        <v>346</v>
      </c>
      <c r="H125" s="334"/>
      <c r="I125" s="334"/>
      <c r="J125" s="42"/>
      <c r="K125" s="294"/>
      <c r="L125" s="294"/>
      <c r="M125" s="294"/>
      <c r="N125" s="294"/>
      <c r="O125" s="294"/>
      <c r="P125" s="294"/>
      <c r="Q125" s="294"/>
      <c r="R125" s="294"/>
      <c r="S125" s="294"/>
      <c r="T125" s="294"/>
      <c r="U125" s="294"/>
      <c r="V125" s="294"/>
      <c r="W125" s="294"/>
      <c r="X125" s="294"/>
      <c r="Y125" s="294"/>
      <c r="Z125" s="294"/>
      <c r="AA125" s="294"/>
      <c r="AB125" s="294"/>
      <c r="AC125" s="294"/>
      <c r="AD125" s="294"/>
      <c r="AE125" s="294"/>
      <c r="AF125" s="294"/>
      <c r="AG125" s="294"/>
      <c r="AH125" s="294"/>
      <c r="AI125" s="294"/>
      <c r="AJ125" s="294"/>
      <c r="AK125" s="294"/>
      <c r="AL125" s="331"/>
      <c r="AM125" s="331"/>
      <c r="AN125" s="331"/>
      <c r="AO125" s="331"/>
      <c r="AP125" s="331"/>
      <c r="AQ125" s="331"/>
      <c r="AR125" s="331"/>
      <c r="AS125" s="331"/>
    </row>
    <row r="126" spans="1:45" ht="15" customHeight="1" x14ac:dyDescent="0.3">
      <c r="A126" s="331"/>
      <c r="B126" s="332"/>
      <c r="C126" s="333"/>
      <c r="D126" s="299"/>
      <c r="E126" s="294"/>
      <c r="F126" s="294"/>
      <c r="G126" s="294"/>
      <c r="H126" s="334"/>
      <c r="I126" s="334"/>
      <c r="J126" s="42"/>
      <c r="K126" s="294"/>
      <c r="L126" s="294"/>
      <c r="M126" s="294"/>
      <c r="N126" s="294"/>
      <c r="O126" s="294"/>
      <c r="P126" s="294"/>
      <c r="Q126" s="294"/>
      <c r="R126" s="294"/>
      <c r="S126" s="294"/>
      <c r="T126" s="294"/>
      <c r="U126" s="294"/>
      <c r="V126" s="294"/>
      <c r="W126" s="294"/>
      <c r="X126" s="294"/>
      <c r="Y126" s="294"/>
      <c r="Z126" s="294"/>
      <c r="AA126" s="294"/>
      <c r="AB126" s="294"/>
      <c r="AC126" s="294"/>
      <c r="AD126" s="294"/>
      <c r="AE126" s="294"/>
      <c r="AF126" s="294"/>
      <c r="AG126" s="294"/>
      <c r="AH126" s="294"/>
      <c r="AI126" s="294"/>
      <c r="AJ126" s="294"/>
      <c r="AK126" s="294"/>
      <c r="AL126" s="331"/>
      <c r="AM126" s="331"/>
      <c r="AN126" s="331"/>
      <c r="AO126" s="331"/>
      <c r="AP126" s="331"/>
      <c r="AQ126" s="331"/>
      <c r="AR126" s="331"/>
      <c r="AS126" s="331"/>
    </row>
    <row r="127" spans="1:45" ht="15" customHeight="1" x14ac:dyDescent="0.3">
      <c r="A127" s="331"/>
      <c r="B127" s="332"/>
      <c r="C127" s="333" t="s">
        <v>432</v>
      </c>
      <c r="D127" s="299"/>
      <c r="E127" s="294"/>
      <c r="F127" s="294"/>
      <c r="G127" s="294"/>
      <c r="H127" s="334"/>
      <c r="I127" s="334"/>
      <c r="J127" s="42"/>
      <c r="K127" s="294"/>
      <c r="L127" s="294"/>
      <c r="M127" s="294"/>
      <c r="N127" s="294"/>
      <c r="O127" s="294"/>
      <c r="P127" s="294"/>
      <c r="Q127" s="294"/>
      <c r="R127" s="294"/>
      <c r="S127" s="294"/>
      <c r="T127" s="294"/>
      <c r="U127" s="294"/>
      <c r="V127" s="294"/>
      <c r="W127" s="294"/>
      <c r="X127" s="294"/>
      <c r="Y127" s="294"/>
      <c r="Z127" s="294"/>
      <c r="AA127" s="294"/>
      <c r="AB127" s="294"/>
      <c r="AC127" s="294"/>
      <c r="AD127" s="294"/>
      <c r="AE127" s="294"/>
      <c r="AF127" s="294"/>
      <c r="AG127" s="294"/>
      <c r="AH127" s="294"/>
      <c r="AI127" s="294"/>
      <c r="AJ127" s="294"/>
      <c r="AK127" s="294"/>
      <c r="AL127" s="331"/>
      <c r="AM127" s="331"/>
      <c r="AN127" s="331"/>
      <c r="AO127" s="331"/>
      <c r="AP127" s="331"/>
      <c r="AQ127" s="331"/>
      <c r="AR127" s="331"/>
      <c r="AS127" s="331"/>
    </row>
    <row r="128" spans="1:45" ht="15" customHeight="1" x14ac:dyDescent="0.3">
      <c r="A128" s="331"/>
      <c r="B128" s="332"/>
      <c r="C128" s="333"/>
      <c r="D128" s="299"/>
      <c r="E128" s="362" t="str">
        <f xml:space="preserve"> 'Inputs_ FS'!E$62</f>
        <v>Production costs</v>
      </c>
      <c r="F128" s="362">
        <f xml:space="preserve"> 'Inputs_ FS'!F$62</f>
        <v>5849.9963500000003</v>
      </c>
      <c r="G128" s="362" t="str">
        <f xml:space="preserve"> 'Inputs_ FS'!G$62</f>
        <v>$ mn</v>
      </c>
      <c r="H128" s="362" t="str">
        <f xml:space="preserve"> 'Inputs_ FS'!H$62</f>
        <v>M</v>
      </c>
      <c r="I128" s="362"/>
      <c r="J128" s="42"/>
      <c r="K128" s="294"/>
      <c r="L128" s="294"/>
      <c r="M128" s="294"/>
      <c r="N128" s="294"/>
      <c r="O128" s="294"/>
      <c r="P128" s="294"/>
      <c r="Q128" s="294"/>
      <c r="R128" s="294"/>
      <c r="S128" s="294"/>
      <c r="T128" s="294"/>
      <c r="U128" s="294"/>
      <c r="V128" s="294"/>
      <c r="W128" s="294"/>
      <c r="X128" s="294"/>
      <c r="Y128" s="294"/>
      <c r="Z128" s="294"/>
      <c r="AA128" s="294"/>
      <c r="AB128" s="294"/>
      <c r="AC128" s="294"/>
      <c r="AD128" s="294"/>
      <c r="AE128" s="294"/>
      <c r="AF128" s="294"/>
      <c r="AG128" s="294"/>
      <c r="AH128" s="294"/>
      <c r="AI128" s="294"/>
      <c r="AJ128" s="294"/>
      <c r="AK128" s="294"/>
      <c r="AL128" s="331"/>
      <c r="AM128" s="331"/>
      <c r="AN128" s="331"/>
      <c r="AO128" s="331"/>
      <c r="AP128" s="331"/>
      <c r="AQ128" s="331"/>
      <c r="AR128" s="331"/>
      <c r="AS128" s="331"/>
    </row>
    <row r="129" spans="1:45" ht="15" customHeight="1" x14ac:dyDescent="0.3">
      <c r="A129" s="331"/>
      <c r="B129" s="332"/>
      <c r="C129" s="333"/>
      <c r="D129" s="299"/>
      <c r="E129" s="362" t="str">
        <f xml:space="preserve"> 'Inputs_ FS'!E$63</f>
        <v>Personnel expenses</v>
      </c>
      <c r="F129" s="362">
        <f xml:space="preserve"> 'Inputs_ FS'!F$63</f>
        <v>343.43</v>
      </c>
      <c r="G129" s="362" t="str">
        <f xml:space="preserve"> 'Inputs_ FS'!G$63</f>
        <v>$ mn</v>
      </c>
      <c r="H129" s="362" t="str">
        <f xml:space="preserve"> 'Inputs_ FS'!H$63</f>
        <v>M</v>
      </c>
      <c r="I129" s="362"/>
      <c r="J129" s="42"/>
      <c r="K129" s="294"/>
      <c r="L129" s="294"/>
      <c r="M129" s="294"/>
      <c r="N129" s="294"/>
      <c r="O129" s="294"/>
      <c r="P129" s="294"/>
      <c r="Q129" s="294"/>
      <c r="R129" s="294"/>
      <c r="S129" s="294"/>
      <c r="T129" s="294"/>
      <c r="U129" s="294"/>
      <c r="V129" s="294"/>
      <c r="W129" s="294"/>
      <c r="X129" s="294"/>
      <c r="Y129" s="294"/>
      <c r="Z129" s="294"/>
      <c r="AA129" s="294"/>
      <c r="AB129" s="294"/>
      <c r="AC129" s="294"/>
      <c r="AD129" s="294"/>
      <c r="AE129" s="294"/>
      <c r="AF129" s="294"/>
      <c r="AG129" s="294"/>
      <c r="AH129" s="294"/>
      <c r="AI129" s="294"/>
      <c r="AJ129" s="294"/>
      <c r="AK129" s="294"/>
      <c r="AL129" s="331"/>
      <c r="AM129" s="331"/>
      <c r="AN129" s="331"/>
      <c r="AO129" s="331"/>
      <c r="AP129" s="331"/>
      <c r="AQ129" s="331"/>
      <c r="AR129" s="331"/>
      <c r="AS129" s="331"/>
    </row>
    <row r="130" spans="1:45" ht="15" customHeight="1" x14ac:dyDescent="0.3">
      <c r="A130" s="331"/>
      <c r="B130" s="331"/>
      <c r="C130" s="333"/>
      <c r="D130" s="299"/>
      <c r="E130" s="362" t="str">
        <f xml:space="preserve"> 'Inputs_ FS'!E$64</f>
        <v>Selling costs</v>
      </c>
      <c r="F130" s="362">
        <f xml:space="preserve"> 'Inputs_ FS'!F$64</f>
        <v>1007.0272200000001</v>
      </c>
      <c r="G130" s="362" t="str">
        <f xml:space="preserve"> 'Inputs_ FS'!G$64</f>
        <v>$ mn</v>
      </c>
      <c r="H130" s="362" t="str">
        <f xml:space="preserve"> 'Inputs_ FS'!H$64</f>
        <v>M</v>
      </c>
      <c r="I130" s="362"/>
      <c r="J130" s="42"/>
      <c r="K130" s="294"/>
      <c r="L130" s="294"/>
      <c r="M130" s="294"/>
      <c r="N130" s="294"/>
      <c r="O130" s="294"/>
      <c r="P130" s="294"/>
      <c r="Q130" s="294"/>
      <c r="R130" s="294"/>
      <c r="S130" s="294"/>
      <c r="T130" s="294"/>
      <c r="U130" s="294"/>
      <c r="V130" s="294"/>
      <c r="W130" s="294"/>
      <c r="X130" s="294"/>
      <c r="Y130" s="294"/>
      <c r="Z130" s="294"/>
      <c r="AA130" s="294"/>
      <c r="AB130" s="294"/>
      <c r="AC130" s="294"/>
      <c r="AD130" s="294"/>
      <c r="AE130" s="294"/>
      <c r="AF130" s="294"/>
      <c r="AG130" s="294"/>
      <c r="AH130" s="294"/>
      <c r="AI130" s="294"/>
      <c r="AJ130" s="294"/>
      <c r="AK130" s="294"/>
      <c r="AL130" s="294"/>
      <c r="AM130" s="294"/>
      <c r="AN130" s="294"/>
      <c r="AO130" s="294"/>
      <c r="AP130" s="294"/>
      <c r="AQ130" s="294"/>
      <c r="AR130" s="294"/>
      <c r="AS130" s="294"/>
    </row>
    <row r="131" spans="1:45" ht="15" customHeight="1" x14ac:dyDescent="0.3">
      <c r="A131" s="331"/>
      <c r="B131" s="331"/>
      <c r="C131" s="333"/>
      <c r="D131" s="299"/>
      <c r="E131" s="294"/>
      <c r="F131" s="294"/>
      <c r="G131" s="294"/>
      <c r="H131" s="334"/>
      <c r="I131" s="334"/>
      <c r="J131" s="42"/>
      <c r="K131" s="294"/>
      <c r="L131" s="294"/>
      <c r="M131" s="294"/>
      <c r="N131" s="294"/>
      <c r="O131" s="294"/>
      <c r="P131" s="294"/>
      <c r="Q131" s="294"/>
      <c r="R131" s="294"/>
      <c r="S131" s="294"/>
      <c r="T131" s="294"/>
      <c r="U131" s="294"/>
      <c r="V131" s="294"/>
      <c r="W131" s="294"/>
      <c r="X131" s="294"/>
      <c r="Y131" s="294"/>
      <c r="Z131" s="294"/>
      <c r="AA131" s="294"/>
      <c r="AB131" s="294"/>
      <c r="AC131" s="294"/>
      <c r="AD131" s="294"/>
      <c r="AE131" s="294"/>
      <c r="AF131" s="294"/>
      <c r="AG131" s="294"/>
      <c r="AH131" s="294"/>
      <c r="AI131" s="294"/>
      <c r="AJ131" s="294"/>
      <c r="AK131" s="294"/>
      <c r="AL131" s="294"/>
      <c r="AM131" s="294"/>
      <c r="AN131" s="294"/>
      <c r="AO131" s="294"/>
      <c r="AP131" s="294"/>
      <c r="AQ131" s="294"/>
      <c r="AR131" s="294"/>
      <c r="AS131" s="294"/>
    </row>
    <row r="132" spans="1:45" ht="15" customHeight="1" x14ac:dyDescent="0.3">
      <c r="A132" s="331"/>
      <c r="B132" s="331"/>
      <c r="C132" s="333" t="s">
        <v>433</v>
      </c>
      <c r="D132" s="299"/>
      <c r="E132" s="294"/>
      <c r="F132" s="294"/>
      <c r="G132" s="294"/>
      <c r="H132" s="334"/>
      <c r="I132" s="334"/>
      <c r="J132" s="42"/>
      <c r="K132" s="294"/>
      <c r="L132" s="294"/>
      <c r="M132" s="294"/>
      <c r="N132" s="294"/>
      <c r="O132" s="294"/>
      <c r="P132" s="294"/>
      <c r="Q132" s="294"/>
      <c r="R132" s="294"/>
      <c r="S132" s="294"/>
      <c r="T132" s="294"/>
      <c r="U132" s="294"/>
      <c r="V132" s="294"/>
      <c r="W132" s="294"/>
      <c r="X132" s="294"/>
      <c r="Y132" s="294"/>
      <c r="Z132" s="294"/>
      <c r="AA132" s="294"/>
      <c r="AB132" s="294"/>
      <c r="AC132" s="294"/>
      <c r="AD132" s="294"/>
      <c r="AE132" s="294"/>
      <c r="AF132" s="294"/>
      <c r="AG132" s="294"/>
      <c r="AH132" s="294"/>
      <c r="AI132" s="294"/>
      <c r="AJ132" s="294"/>
      <c r="AK132" s="294"/>
      <c r="AL132" s="294"/>
      <c r="AM132" s="294"/>
      <c r="AN132" s="294"/>
      <c r="AO132" s="294"/>
      <c r="AP132" s="294"/>
      <c r="AQ132" s="294"/>
      <c r="AR132" s="294"/>
      <c r="AS132" s="294"/>
    </row>
    <row r="133" spans="1:45" ht="15" customHeight="1" x14ac:dyDescent="0.3">
      <c r="A133" s="282"/>
      <c r="B133" s="282"/>
      <c r="C133" s="333"/>
      <c r="D133" s="299"/>
      <c r="E133" s="300" t="str">
        <f xml:space="preserve"> E$45</f>
        <v>2024-2030 flag</v>
      </c>
      <c r="F133" s="300">
        <f t="shared" ref="F133:I133" si="133" xml:space="preserve"> F$45</f>
        <v>0</v>
      </c>
      <c r="G133" s="300" t="str">
        <f t="shared" si="133"/>
        <v>flag</v>
      </c>
      <c r="H133" s="300">
        <f t="shared" si="133"/>
        <v>0</v>
      </c>
      <c r="I133" s="300">
        <f t="shared" si="133"/>
        <v>0</v>
      </c>
      <c r="J133" s="42"/>
      <c r="K133" s="299">
        <f t="shared" ref="K133:O133" si="134" xml:space="preserve"> K$45</f>
        <v>0</v>
      </c>
      <c r="L133" s="299">
        <f t="shared" si="134"/>
        <v>0</v>
      </c>
      <c r="M133" s="299">
        <f t="shared" si="134"/>
        <v>0</v>
      </c>
      <c r="N133" s="299">
        <f t="shared" si="134"/>
        <v>0</v>
      </c>
      <c r="O133" s="299">
        <f t="shared" si="134"/>
        <v>0</v>
      </c>
      <c r="P133" s="299">
        <f t="shared" ref="P133:AS133" si="135" xml:space="preserve"> P$45</f>
        <v>0</v>
      </c>
      <c r="Q133" s="299">
        <f t="shared" si="135"/>
        <v>0</v>
      </c>
      <c r="R133" s="299">
        <f t="shared" si="135"/>
        <v>0</v>
      </c>
      <c r="S133" s="299">
        <f t="shared" si="135"/>
        <v>0</v>
      </c>
      <c r="T133" s="299">
        <f t="shared" si="135"/>
        <v>0</v>
      </c>
      <c r="U133" s="299">
        <f t="shared" si="135"/>
        <v>0</v>
      </c>
      <c r="V133" s="299">
        <f t="shared" si="135"/>
        <v>0</v>
      </c>
      <c r="W133" s="299">
        <f t="shared" si="135"/>
        <v>0</v>
      </c>
      <c r="X133" s="299">
        <f t="shared" si="135"/>
        <v>0</v>
      </c>
      <c r="Y133" s="299">
        <f t="shared" si="135"/>
        <v>0</v>
      </c>
      <c r="Z133" s="299">
        <f t="shared" si="135"/>
        <v>0</v>
      </c>
      <c r="AA133" s="299">
        <f t="shared" si="135"/>
        <v>0</v>
      </c>
      <c r="AB133" s="299">
        <f t="shared" si="135"/>
        <v>0</v>
      </c>
      <c r="AC133" s="299">
        <f t="shared" si="135"/>
        <v>1</v>
      </c>
      <c r="AD133" s="299">
        <f t="shared" si="135"/>
        <v>1</v>
      </c>
      <c r="AE133" s="299">
        <f t="shared" si="135"/>
        <v>1</v>
      </c>
      <c r="AF133" s="299">
        <f t="shared" si="135"/>
        <v>1</v>
      </c>
      <c r="AG133" s="299">
        <f t="shared" si="135"/>
        <v>1</v>
      </c>
      <c r="AH133" s="299">
        <f t="shared" si="135"/>
        <v>1</v>
      </c>
      <c r="AI133" s="299">
        <f t="shared" si="135"/>
        <v>1</v>
      </c>
      <c r="AJ133" s="299">
        <f t="shared" si="135"/>
        <v>0</v>
      </c>
      <c r="AK133" s="299">
        <f t="shared" si="135"/>
        <v>0</v>
      </c>
      <c r="AL133" s="299">
        <f t="shared" si="135"/>
        <v>0</v>
      </c>
      <c r="AM133" s="299">
        <f t="shared" si="135"/>
        <v>0</v>
      </c>
      <c r="AN133" s="299">
        <f t="shared" si="135"/>
        <v>0</v>
      </c>
      <c r="AO133" s="299">
        <f t="shared" si="135"/>
        <v>0</v>
      </c>
      <c r="AP133" s="299">
        <f t="shared" si="135"/>
        <v>0</v>
      </c>
      <c r="AQ133" s="299">
        <f t="shared" si="135"/>
        <v>0</v>
      </c>
      <c r="AR133" s="299">
        <f t="shared" si="135"/>
        <v>0</v>
      </c>
      <c r="AS133" s="299">
        <f t="shared" si="135"/>
        <v>0</v>
      </c>
    </row>
    <row r="134" spans="1:45" ht="15" customHeight="1" x14ac:dyDescent="0.3">
      <c r="A134" s="331"/>
      <c r="B134" s="331"/>
      <c r="C134" s="333"/>
      <c r="D134" s="299"/>
      <c r="E134" s="294"/>
      <c r="F134" s="294"/>
      <c r="G134" s="294"/>
      <c r="H134" s="334"/>
      <c r="I134" s="334"/>
      <c r="J134" s="42"/>
      <c r="K134" s="294"/>
      <c r="L134" s="294"/>
      <c r="M134" s="294"/>
      <c r="N134" s="294"/>
      <c r="O134" s="294"/>
      <c r="P134" s="294"/>
      <c r="Q134" s="294"/>
      <c r="R134" s="294"/>
      <c r="S134" s="294"/>
      <c r="T134" s="294"/>
      <c r="U134" s="294"/>
      <c r="V134" s="294"/>
      <c r="W134" s="294"/>
      <c r="X134" s="294"/>
      <c r="Y134" s="294"/>
      <c r="Z134" s="294"/>
      <c r="AA134" s="294"/>
      <c r="AB134" s="294"/>
      <c r="AC134" s="294"/>
      <c r="AD134" s="294"/>
      <c r="AE134" s="294"/>
      <c r="AF134" s="294"/>
      <c r="AG134" s="294"/>
      <c r="AH134" s="294"/>
      <c r="AI134" s="294"/>
      <c r="AJ134" s="294"/>
      <c r="AK134" s="294"/>
      <c r="AL134" s="294"/>
      <c r="AM134" s="294"/>
      <c r="AN134" s="294"/>
      <c r="AO134" s="294"/>
      <c r="AP134" s="294"/>
      <c r="AQ134" s="294"/>
      <c r="AR134" s="294"/>
      <c r="AS134" s="294"/>
    </row>
    <row r="135" spans="1:45" ht="15" customHeight="1" x14ac:dyDescent="0.3">
      <c r="A135" s="331"/>
      <c r="B135" s="331"/>
      <c r="C135" s="545"/>
      <c r="D135" s="294"/>
      <c r="E135" s="293" t="s">
        <v>434</v>
      </c>
      <c r="F135" s="294"/>
      <c r="G135" s="293" t="s">
        <v>346</v>
      </c>
      <c r="H135" s="334"/>
      <c r="I135" s="334"/>
      <c r="J135" s="36"/>
      <c r="K135" s="294">
        <f xml:space="preserve"> K$133 * (($F128 - $F123) / SUM($K$133:$AR$133))</f>
        <v>0</v>
      </c>
      <c r="L135" s="294">
        <f t="shared" ref="L135:AS135" si="136" xml:space="preserve"> L$133 * (($F128 - $F123) / SUM($K$133:$AR$133))</f>
        <v>0</v>
      </c>
      <c r="M135" s="294">
        <f t="shared" si="136"/>
        <v>0</v>
      </c>
      <c r="N135" s="294">
        <f t="shared" si="136"/>
        <v>0</v>
      </c>
      <c r="O135" s="294">
        <f t="shared" si="136"/>
        <v>0</v>
      </c>
      <c r="P135" s="294">
        <f t="shared" si="136"/>
        <v>0</v>
      </c>
      <c r="Q135" s="294">
        <f t="shared" si="136"/>
        <v>0</v>
      </c>
      <c r="R135" s="294">
        <f t="shared" si="136"/>
        <v>0</v>
      </c>
      <c r="S135" s="294">
        <f t="shared" si="136"/>
        <v>0</v>
      </c>
      <c r="T135" s="294">
        <f t="shared" si="136"/>
        <v>0</v>
      </c>
      <c r="U135" s="294">
        <f t="shared" si="136"/>
        <v>0</v>
      </c>
      <c r="V135" s="294">
        <f t="shared" si="136"/>
        <v>0</v>
      </c>
      <c r="W135" s="294">
        <f t="shared" si="136"/>
        <v>0</v>
      </c>
      <c r="X135" s="294">
        <f t="shared" si="136"/>
        <v>0</v>
      </c>
      <c r="Y135" s="294">
        <f t="shared" si="136"/>
        <v>0</v>
      </c>
      <c r="Z135" s="294">
        <f t="shared" si="136"/>
        <v>0</v>
      </c>
      <c r="AA135" s="294">
        <f t="shared" si="136"/>
        <v>0</v>
      </c>
      <c r="AB135" s="294">
        <f t="shared" si="136"/>
        <v>0</v>
      </c>
      <c r="AC135" s="294">
        <f t="shared" si="136"/>
        <v>466.00236571428576</v>
      </c>
      <c r="AD135" s="294">
        <f t="shared" si="136"/>
        <v>466.00236571428576</v>
      </c>
      <c r="AE135" s="294">
        <f t="shared" si="136"/>
        <v>466.00236571428576</v>
      </c>
      <c r="AF135" s="294">
        <f t="shared" si="136"/>
        <v>466.00236571428576</v>
      </c>
      <c r="AG135" s="294">
        <f t="shared" si="136"/>
        <v>466.00236571428576</v>
      </c>
      <c r="AH135" s="294">
        <f t="shared" si="136"/>
        <v>466.00236571428576</v>
      </c>
      <c r="AI135" s="294">
        <f t="shared" si="136"/>
        <v>466.00236571428576</v>
      </c>
      <c r="AJ135" s="294">
        <f t="shared" si="136"/>
        <v>0</v>
      </c>
      <c r="AK135" s="294">
        <f t="shared" si="136"/>
        <v>0</v>
      </c>
      <c r="AL135" s="294">
        <f t="shared" si="136"/>
        <v>0</v>
      </c>
      <c r="AM135" s="294">
        <f t="shared" si="136"/>
        <v>0</v>
      </c>
      <c r="AN135" s="294">
        <f t="shared" si="136"/>
        <v>0</v>
      </c>
      <c r="AO135" s="294">
        <f t="shared" si="136"/>
        <v>0</v>
      </c>
      <c r="AP135" s="294">
        <f t="shared" si="136"/>
        <v>0</v>
      </c>
      <c r="AQ135" s="294">
        <f t="shared" si="136"/>
        <v>0</v>
      </c>
      <c r="AR135" s="294">
        <f t="shared" si="136"/>
        <v>0</v>
      </c>
      <c r="AS135" s="294">
        <f t="shared" si="136"/>
        <v>0</v>
      </c>
    </row>
    <row r="136" spans="1:45" ht="15" customHeight="1" x14ac:dyDescent="0.3">
      <c r="A136" s="331"/>
      <c r="B136" s="331"/>
      <c r="C136" s="545"/>
      <c r="D136" s="294"/>
      <c r="E136" s="293" t="s">
        <v>435</v>
      </c>
      <c r="F136" s="294"/>
      <c r="G136" s="293" t="s">
        <v>346</v>
      </c>
      <c r="H136" s="334"/>
      <c r="I136" s="334"/>
      <c r="J136" s="36"/>
      <c r="K136" s="294">
        <f xml:space="preserve"> K$133 * (($F129 - $F124) / SUM($K$133:$AR$133))</f>
        <v>0</v>
      </c>
      <c r="L136" s="294">
        <f t="shared" ref="L136:AS136" si="137" xml:space="preserve"> L$133 * (($F129 - $F124) / SUM($K$133:$AR$133))</f>
        <v>0</v>
      </c>
      <c r="M136" s="294">
        <f t="shared" si="137"/>
        <v>0</v>
      </c>
      <c r="N136" s="294">
        <f t="shared" si="137"/>
        <v>0</v>
      </c>
      <c r="O136" s="294">
        <f t="shared" si="137"/>
        <v>0</v>
      </c>
      <c r="P136" s="294">
        <f t="shared" si="137"/>
        <v>0</v>
      </c>
      <c r="Q136" s="294">
        <f t="shared" si="137"/>
        <v>0</v>
      </c>
      <c r="R136" s="294">
        <f t="shared" si="137"/>
        <v>0</v>
      </c>
      <c r="S136" s="294">
        <f t="shared" si="137"/>
        <v>0</v>
      </c>
      <c r="T136" s="294">
        <f t="shared" si="137"/>
        <v>0</v>
      </c>
      <c r="U136" s="294">
        <f t="shared" si="137"/>
        <v>0</v>
      </c>
      <c r="V136" s="294">
        <f t="shared" si="137"/>
        <v>0</v>
      </c>
      <c r="W136" s="294">
        <f t="shared" si="137"/>
        <v>0</v>
      </c>
      <c r="X136" s="294">
        <f t="shared" si="137"/>
        <v>0</v>
      </c>
      <c r="Y136" s="294">
        <f t="shared" si="137"/>
        <v>0</v>
      </c>
      <c r="Z136" s="294">
        <f t="shared" si="137"/>
        <v>0</v>
      </c>
      <c r="AA136" s="294">
        <f t="shared" si="137"/>
        <v>0</v>
      </c>
      <c r="AB136" s="294">
        <f t="shared" si="137"/>
        <v>0</v>
      </c>
      <c r="AC136" s="294">
        <f t="shared" si="137"/>
        <v>22.504999999999995</v>
      </c>
      <c r="AD136" s="294">
        <f t="shared" si="137"/>
        <v>22.504999999999995</v>
      </c>
      <c r="AE136" s="294">
        <f t="shared" si="137"/>
        <v>22.504999999999995</v>
      </c>
      <c r="AF136" s="294">
        <f t="shared" si="137"/>
        <v>22.504999999999995</v>
      </c>
      <c r="AG136" s="294">
        <f t="shared" si="137"/>
        <v>22.504999999999995</v>
      </c>
      <c r="AH136" s="294">
        <f t="shared" si="137"/>
        <v>22.504999999999995</v>
      </c>
      <c r="AI136" s="294">
        <f t="shared" si="137"/>
        <v>22.504999999999995</v>
      </c>
      <c r="AJ136" s="294">
        <f t="shared" si="137"/>
        <v>0</v>
      </c>
      <c r="AK136" s="294">
        <f t="shared" si="137"/>
        <v>0</v>
      </c>
      <c r="AL136" s="294">
        <f t="shared" si="137"/>
        <v>0</v>
      </c>
      <c r="AM136" s="294">
        <f t="shared" si="137"/>
        <v>0</v>
      </c>
      <c r="AN136" s="294">
        <f t="shared" si="137"/>
        <v>0</v>
      </c>
      <c r="AO136" s="294">
        <f t="shared" si="137"/>
        <v>0</v>
      </c>
      <c r="AP136" s="294">
        <f t="shared" si="137"/>
        <v>0</v>
      </c>
      <c r="AQ136" s="294">
        <f t="shared" si="137"/>
        <v>0</v>
      </c>
      <c r="AR136" s="294">
        <f t="shared" si="137"/>
        <v>0</v>
      </c>
      <c r="AS136" s="294">
        <f t="shared" si="137"/>
        <v>0</v>
      </c>
    </row>
    <row r="137" spans="1:45" ht="15" customHeight="1" x14ac:dyDescent="0.3">
      <c r="A137" s="331"/>
      <c r="B137" s="331"/>
      <c r="C137" s="545"/>
      <c r="D137" s="294"/>
      <c r="E137" s="293" t="s">
        <v>436</v>
      </c>
      <c r="F137" s="294"/>
      <c r="G137" s="293" t="s">
        <v>346</v>
      </c>
      <c r="H137" s="334"/>
      <c r="I137" s="334"/>
      <c r="J137" s="36"/>
      <c r="K137" s="294">
        <f xml:space="preserve"> K$133 * (($F130 - $F125) / SUM($K$133:$AR$133))</f>
        <v>0</v>
      </c>
      <c r="L137" s="294">
        <f t="shared" ref="L137:AS137" si="138" xml:space="preserve"> L$133 * (($F130 - $F125) / SUM($K$133:$AR$133))</f>
        <v>0</v>
      </c>
      <c r="M137" s="294">
        <f t="shared" si="138"/>
        <v>0</v>
      </c>
      <c r="N137" s="294">
        <f t="shared" si="138"/>
        <v>0</v>
      </c>
      <c r="O137" s="294">
        <f t="shared" si="138"/>
        <v>0</v>
      </c>
      <c r="P137" s="294">
        <f t="shared" si="138"/>
        <v>0</v>
      </c>
      <c r="Q137" s="294">
        <f t="shared" si="138"/>
        <v>0</v>
      </c>
      <c r="R137" s="294">
        <f t="shared" si="138"/>
        <v>0</v>
      </c>
      <c r="S137" s="294">
        <f t="shared" si="138"/>
        <v>0</v>
      </c>
      <c r="T137" s="294">
        <f t="shared" si="138"/>
        <v>0</v>
      </c>
      <c r="U137" s="294">
        <f t="shared" si="138"/>
        <v>0</v>
      </c>
      <c r="V137" s="294">
        <f t="shared" si="138"/>
        <v>0</v>
      </c>
      <c r="W137" s="294">
        <f t="shared" si="138"/>
        <v>0</v>
      </c>
      <c r="X137" s="294">
        <f t="shared" si="138"/>
        <v>0</v>
      </c>
      <c r="Y137" s="294">
        <f t="shared" si="138"/>
        <v>0</v>
      </c>
      <c r="Z137" s="294">
        <f t="shared" si="138"/>
        <v>0</v>
      </c>
      <c r="AA137" s="294">
        <f t="shared" si="138"/>
        <v>0</v>
      </c>
      <c r="AB137" s="294">
        <f t="shared" si="138"/>
        <v>0</v>
      </c>
      <c r="AC137" s="294">
        <f t="shared" si="138"/>
        <v>65.279364285714308</v>
      </c>
      <c r="AD137" s="294">
        <f t="shared" si="138"/>
        <v>65.279364285714308</v>
      </c>
      <c r="AE137" s="294">
        <f t="shared" si="138"/>
        <v>65.279364285714308</v>
      </c>
      <c r="AF137" s="294">
        <f t="shared" si="138"/>
        <v>65.279364285714308</v>
      </c>
      <c r="AG137" s="294">
        <f t="shared" si="138"/>
        <v>65.279364285714308</v>
      </c>
      <c r="AH137" s="294">
        <f t="shared" si="138"/>
        <v>65.279364285714308</v>
      </c>
      <c r="AI137" s="294">
        <f t="shared" si="138"/>
        <v>65.279364285714308</v>
      </c>
      <c r="AJ137" s="294">
        <f t="shared" si="138"/>
        <v>0</v>
      </c>
      <c r="AK137" s="294">
        <f t="shared" si="138"/>
        <v>0</v>
      </c>
      <c r="AL137" s="294">
        <f t="shared" si="138"/>
        <v>0</v>
      </c>
      <c r="AM137" s="294">
        <f t="shared" si="138"/>
        <v>0</v>
      </c>
      <c r="AN137" s="294">
        <f t="shared" si="138"/>
        <v>0</v>
      </c>
      <c r="AO137" s="294">
        <f t="shared" si="138"/>
        <v>0</v>
      </c>
      <c r="AP137" s="294">
        <f t="shared" si="138"/>
        <v>0</v>
      </c>
      <c r="AQ137" s="294">
        <f t="shared" si="138"/>
        <v>0</v>
      </c>
      <c r="AR137" s="294">
        <f t="shared" si="138"/>
        <v>0</v>
      </c>
      <c r="AS137" s="294">
        <f t="shared" si="138"/>
        <v>0</v>
      </c>
    </row>
    <row r="138" spans="1:45" ht="15" customHeight="1" x14ac:dyDescent="0.3">
      <c r="A138" s="331"/>
      <c r="B138" s="331"/>
      <c r="C138" s="333"/>
      <c r="D138" s="299"/>
      <c r="E138" s="294"/>
      <c r="F138" s="294"/>
      <c r="G138" s="294"/>
      <c r="H138" s="334"/>
      <c r="I138" s="334"/>
      <c r="J138" s="42"/>
      <c r="K138" s="294"/>
      <c r="L138" s="294"/>
      <c r="M138" s="294"/>
      <c r="N138" s="294"/>
      <c r="O138" s="294"/>
      <c r="P138" s="294"/>
      <c r="Q138" s="294"/>
      <c r="R138" s="294"/>
      <c r="S138" s="294"/>
      <c r="T138" s="294"/>
      <c r="U138" s="294"/>
      <c r="V138" s="294"/>
      <c r="W138" s="294"/>
      <c r="X138" s="294"/>
      <c r="Y138" s="294"/>
      <c r="Z138" s="294"/>
      <c r="AA138" s="294"/>
      <c r="AB138" s="294"/>
      <c r="AC138" s="294"/>
      <c r="AD138" s="294"/>
      <c r="AE138" s="294"/>
      <c r="AF138" s="294"/>
      <c r="AG138" s="294"/>
      <c r="AH138" s="294"/>
      <c r="AI138" s="294"/>
      <c r="AJ138" s="294"/>
      <c r="AK138" s="294"/>
      <c r="AL138" s="294"/>
      <c r="AM138" s="294"/>
      <c r="AN138" s="294"/>
      <c r="AO138" s="294"/>
      <c r="AP138" s="294"/>
      <c r="AQ138" s="294"/>
      <c r="AR138" s="294"/>
      <c r="AS138" s="294"/>
    </row>
    <row r="139" spans="1:45" ht="15" customHeight="1" x14ac:dyDescent="0.3">
      <c r="A139" s="331"/>
      <c r="B139" s="331"/>
      <c r="C139" s="333" t="s">
        <v>437</v>
      </c>
      <c r="D139" s="299"/>
      <c r="E139" s="294"/>
      <c r="F139" s="294"/>
      <c r="G139" s="294"/>
      <c r="H139" s="334"/>
      <c r="I139" s="334"/>
      <c r="J139" s="42"/>
      <c r="K139" s="294"/>
      <c r="L139" s="294"/>
      <c r="M139" s="294"/>
      <c r="N139" s="294"/>
      <c r="O139" s="294"/>
      <c r="P139" s="294"/>
      <c r="Q139" s="294"/>
      <c r="R139" s="294"/>
      <c r="S139" s="294"/>
      <c r="T139" s="294"/>
      <c r="U139" s="294"/>
      <c r="V139" s="294"/>
      <c r="W139" s="294"/>
      <c r="X139" s="294"/>
      <c r="Y139" s="294"/>
      <c r="Z139" s="294"/>
      <c r="AA139" s="294"/>
      <c r="AB139" s="294"/>
      <c r="AC139" s="294"/>
      <c r="AD139" s="294"/>
      <c r="AE139" s="294"/>
      <c r="AF139" s="294"/>
      <c r="AG139" s="294"/>
      <c r="AH139" s="294"/>
      <c r="AI139" s="294"/>
      <c r="AJ139" s="294"/>
      <c r="AK139" s="294"/>
      <c r="AL139" s="294"/>
      <c r="AM139" s="294"/>
      <c r="AN139" s="294"/>
      <c r="AO139" s="294"/>
      <c r="AP139" s="294"/>
      <c r="AQ139" s="294"/>
      <c r="AR139" s="294"/>
      <c r="AS139" s="294"/>
    </row>
    <row r="140" spans="1:45" ht="15" customHeight="1" x14ac:dyDescent="0.3">
      <c r="A140" s="541"/>
      <c r="B140" s="541"/>
      <c r="C140" s="542"/>
      <c r="D140" s="383"/>
      <c r="E140" s="381" t="s">
        <v>376</v>
      </c>
      <c r="F140" s="383"/>
      <c r="G140" s="381" t="s">
        <v>346</v>
      </c>
      <c r="H140" s="543"/>
      <c r="I140" s="543">
        <f>SUM(K140:AS140)</f>
        <v>5849.9963499999994</v>
      </c>
      <c r="J140" s="34"/>
      <c r="K140" s="383">
        <f t="shared" ref="K140:O140" si="139">IF(K119 &gt; 0, K119, K135)</f>
        <v>0</v>
      </c>
      <c r="L140" s="383">
        <f t="shared" si="139"/>
        <v>0</v>
      </c>
      <c r="M140" s="383">
        <f t="shared" si="139"/>
        <v>0</v>
      </c>
      <c r="N140" s="383">
        <f t="shared" si="139"/>
        <v>0</v>
      </c>
      <c r="O140" s="383">
        <f t="shared" si="139"/>
        <v>0</v>
      </c>
      <c r="P140" s="383">
        <f t="shared" ref="P140:R140" si="140">IF(P119 &gt; 0, P119, P135)</f>
        <v>0</v>
      </c>
      <c r="Q140" s="383">
        <f t="shared" si="140"/>
        <v>0</v>
      </c>
      <c r="R140" s="383">
        <f t="shared" si="140"/>
        <v>0</v>
      </c>
      <c r="S140" s="383">
        <f t="shared" ref="S140:AM140" si="141">IF(S119 &gt; 0, S119, S135)</f>
        <v>0</v>
      </c>
      <c r="T140" s="383">
        <f t="shared" si="141"/>
        <v>0</v>
      </c>
      <c r="U140" s="383">
        <f t="shared" si="141"/>
        <v>0</v>
      </c>
      <c r="V140" s="383">
        <f t="shared" si="141"/>
        <v>91.180059999999997</v>
      </c>
      <c r="W140" s="383">
        <f t="shared" si="141"/>
        <v>110.98714</v>
      </c>
      <c r="X140" s="383">
        <f t="shared" si="141"/>
        <v>221.33031</v>
      </c>
      <c r="Y140" s="383">
        <f t="shared" si="141"/>
        <v>274.47759000000002</v>
      </c>
      <c r="Z140" s="383">
        <f t="shared" si="141"/>
        <v>245.96544</v>
      </c>
      <c r="AA140" s="383">
        <f t="shared" si="141"/>
        <v>538.47123999999997</v>
      </c>
      <c r="AB140" s="383">
        <f t="shared" si="141"/>
        <v>460.35408999999999</v>
      </c>
      <c r="AC140" s="383">
        <f t="shared" si="141"/>
        <v>466.00236571428576</v>
      </c>
      <c r="AD140" s="383">
        <f t="shared" si="141"/>
        <v>466.00236571428576</v>
      </c>
      <c r="AE140" s="383">
        <f t="shared" si="141"/>
        <v>466.00236571428576</v>
      </c>
      <c r="AF140" s="383">
        <f t="shared" si="141"/>
        <v>466.00236571428576</v>
      </c>
      <c r="AG140" s="383">
        <f t="shared" si="141"/>
        <v>466.00236571428576</v>
      </c>
      <c r="AH140" s="383">
        <f t="shared" si="141"/>
        <v>466.00236571428576</v>
      </c>
      <c r="AI140" s="383">
        <f t="shared" si="141"/>
        <v>466.00236571428576</v>
      </c>
      <c r="AJ140" s="383">
        <f t="shared" si="141"/>
        <v>420.73610000000002</v>
      </c>
      <c r="AK140" s="383">
        <f t="shared" si="141"/>
        <v>224.47782000000001</v>
      </c>
      <c r="AL140" s="383">
        <f t="shared" si="141"/>
        <v>0</v>
      </c>
      <c r="AM140" s="383">
        <f t="shared" si="141"/>
        <v>0</v>
      </c>
      <c r="AN140" s="383">
        <f>IF(AN119 &gt; 0, AN119, AN135)</f>
        <v>0</v>
      </c>
      <c r="AO140" s="383">
        <f t="shared" ref="AO140:AP140" si="142">IF(AO119 &gt; 0, AO119, AO135)</f>
        <v>0</v>
      </c>
      <c r="AP140" s="383">
        <f t="shared" si="142"/>
        <v>0</v>
      </c>
      <c r="AQ140" s="383">
        <f t="shared" ref="AQ140:AS140" si="143">IF(AQ119 &gt; 0, AQ119, AQ135)</f>
        <v>0</v>
      </c>
      <c r="AR140" s="383">
        <f t="shared" si="143"/>
        <v>0</v>
      </c>
      <c r="AS140" s="383">
        <f t="shared" si="143"/>
        <v>0</v>
      </c>
    </row>
    <row r="141" spans="1:45" ht="15" customHeight="1" x14ac:dyDescent="0.3">
      <c r="A141" s="91"/>
      <c r="B141" s="91"/>
      <c r="C141" s="92"/>
      <c r="D141" s="93"/>
      <c r="E141" s="93" t="str">
        <f xml:space="preserve"> 'Inputs_ FS'!E$68</f>
        <v>Surface rights</v>
      </c>
      <c r="F141" s="93">
        <f xml:space="preserve"> 'Inputs_ FS'!F$68</f>
        <v>64</v>
      </c>
      <c r="G141" s="93" t="str">
        <f xml:space="preserve"> 'Inputs_ FS'!G$68</f>
        <v>$ mn</v>
      </c>
      <c r="H141" s="93" t="str">
        <f xml:space="preserve"> 'Inputs_ FS'!H$68</f>
        <v>M</v>
      </c>
      <c r="I141" s="93">
        <f xml:space="preserve"> 'Inputs_ FS'!I$68</f>
        <v>64</v>
      </c>
      <c r="J141" s="93">
        <f xml:space="preserve"> 'Inputs_ FS'!J$68</f>
        <v>0</v>
      </c>
      <c r="K141" s="93">
        <f xml:space="preserve"> 'Inputs_ FS'!K$68</f>
        <v>0</v>
      </c>
      <c r="L141" s="93">
        <f xml:space="preserve"> 'Inputs_ FS'!L$68</f>
        <v>0</v>
      </c>
      <c r="M141" s="93">
        <f xml:space="preserve"> 'Inputs_ FS'!M$68</f>
        <v>0</v>
      </c>
      <c r="N141" s="93">
        <f xml:space="preserve"> 'Inputs_ FS'!N$68</f>
        <v>0</v>
      </c>
      <c r="O141" s="93">
        <f xml:space="preserve"> 'Inputs_ FS'!O$68</f>
        <v>0</v>
      </c>
      <c r="P141" s="93">
        <f xml:space="preserve"> 'Inputs_ FS'!P$68</f>
        <v>0</v>
      </c>
      <c r="Q141" s="93">
        <f xml:space="preserve"> 'Inputs_ FS'!Q$68</f>
        <v>0</v>
      </c>
      <c r="R141" s="93">
        <f xml:space="preserve"> 'Inputs_ FS'!R$68</f>
        <v>0</v>
      </c>
      <c r="S141" s="93">
        <f xml:space="preserve"> 'Inputs_ FS'!S$68</f>
        <v>0</v>
      </c>
      <c r="T141" s="93">
        <f xml:space="preserve"> 'Inputs_ FS'!T$68</f>
        <v>0</v>
      </c>
      <c r="U141" s="93">
        <f xml:space="preserve"> 'Inputs_ FS'!U$68</f>
        <v>0</v>
      </c>
      <c r="V141" s="93">
        <f xml:space="preserve"> 'Inputs_ FS'!V$68</f>
        <v>4</v>
      </c>
      <c r="W141" s="93">
        <f xml:space="preserve"> 'Inputs_ FS'!W$68</f>
        <v>4</v>
      </c>
      <c r="X141" s="93">
        <f xml:space="preserve"> 'Inputs_ FS'!X$68</f>
        <v>4</v>
      </c>
      <c r="Y141" s="93">
        <f xml:space="preserve"> 'Inputs_ FS'!Y$68</f>
        <v>4</v>
      </c>
      <c r="Z141" s="93">
        <f xml:space="preserve"> 'Inputs_ FS'!Z$68</f>
        <v>4</v>
      </c>
      <c r="AA141" s="93">
        <f xml:space="preserve"> 'Inputs_ FS'!AA$68</f>
        <v>4</v>
      </c>
      <c r="AB141" s="93">
        <f xml:space="preserve"> 'Inputs_ FS'!AB$68</f>
        <v>4</v>
      </c>
      <c r="AC141" s="93">
        <f xml:space="preserve"> 'Inputs_ FS'!AC$68</f>
        <v>4</v>
      </c>
      <c r="AD141" s="93">
        <f xml:space="preserve"> 'Inputs_ FS'!AD$68</f>
        <v>4</v>
      </c>
      <c r="AE141" s="93">
        <f xml:space="preserve"> 'Inputs_ FS'!AE$68</f>
        <v>4</v>
      </c>
      <c r="AF141" s="93">
        <f xml:space="preserve"> 'Inputs_ FS'!AF$68</f>
        <v>4</v>
      </c>
      <c r="AG141" s="93">
        <f xml:space="preserve"> 'Inputs_ FS'!AG$68</f>
        <v>4</v>
      </c>
      <c r="AH141" s="93">
        <f xml:space="preserve"> 'Inputs_ FS'!AH$68</f>
        <v>4</v>
      </c>
      <c r="AI141" s="93">
        <f xml:space="preserve"> 'Inputs_ FS'!AI$68</f>
        <v>4</v>
      </c>
      <c r="AJ141" s="93">
        <f xml:space="preserve"> 'Inputs_ FS'!AJ$68</f>
        <v>4</v>
      </c>
      <c r="AK141" s="93">
        <f xml:space="preserve"> 'Inputs_ FS'!AK$68</f>
        <v>4</v>
      </c>
      <c r="AL141" s="93">
        <f xml:space="preserve"> 'Inputs_ FS'!AL$68</f>
        <v>0</v>
      </c>
      <c r="AM141" s="93">
        <f xml:space="preserve"> 'Inputs_ FS'!AM$68</f>
        <v>0</v>
      </c>
      <c r="AN141" s="93">
        <f xml:space="preserve"> 'Inputs_ FS'!AN$68</f>
        <v>0</v>
      </c>
      <c r="AO141" s="93">
        <f xml:space="preserve"> 'Inputs_ FS'!AO$68</f>
        <v>0</v>
      </c>
      <c r="AP141" s="93">
        <f xml:space="preserve"> 'Inputs_ FS'!AP$68</f>
        <v>0</v>
      </c>
      <c r="AQ141" s="93">
        <f xml:space="preserve"> 'Inputs_ FS'!AQ$68</f>
        <v>0</v>
      </c>
      <c r="AR141" s="93">
        <f xml:space="preserve"> 'Inputs_ FS'!AR$68</f>
        <v>0</v>
      </c>
      <c r="AS141" s="93">
        <f xml:space="preserve"> 'Inputs_ FS'!AS$68</f>
        <v>0</v>
      </c>
    </row>
    <row r="142" spans="1:45" ht="15" customHeight="1" x14ac:dyDescent="0.3">
      <c r="A142" s="91"/>
      <c r="B142" s="91"/>
      <c r="C142" s="92"/>
      <c r="D142" s="93"/>
      <c r="E142" s="93" t="str">
        <f xml:space="preserve"> 'Inputs_ FS'!E$69</f>
        <v>Entry fee</v>
      </c>
      <c r="F142" s="93">
        <f xml:space="preserve"> 'Inputs_ FS'!F$69</f>
        <v>15.164</v>
      </c>
      <c r="G142" s="93" t="str">
        <f xml:space="preserve"> 'Inputs_ FS'!G$69</f>
        <v>$ mn</v>
      </c>
      <c r="H142" s="93" t="str">
        <f xml:space="preserve"> 'Inputs_ FS'!H$69</f>
        <v>M</v>
      </c>
      <c r="I142" s="93">
        <f xml:space="preserve"> 'Inputs_ FS'!I$69</f>
        <v>15.164000000000001</v>
      </c>
      <c r="J142" s="93">
        <f xml:space="preserve"> 'Inputs_ FS'!J$69</f>
        <v>0</v>
      </c>
      <c r="K142" s="93">
        <f xml:space="preserve"> 'Inputs_ FS'!K$69</f>
        <v>0</v>
      </c>
      <c r="L142" s="93">
        <f xml:space="preserve"> 'Inputs_ FS'!L$69</f>
        <v>0</v>
      </c>
      <c r="M142" s="93">
        <f xml:space="preserve"> 'Inputs_ FS'!M$69</f>
        <v>0</v>
      </c>
      <c r="N142" s="93">
        <f xml:space="preserve"> 'Inputs_ FS'!N$69</f>
        <v>0</v>
      </c>
      <c r="O142" s="93">
        <f xml:space="preserve"> 'Inputs_ FS'!O$69</f>
        <v>0</v>
      </c>
      <c r="P142" s="93">
        <f xml:space="preserve"> 'Inputs_ FS'!P$69</f>
        <v>0</v>
      </c>
      <c r="Q142" s="93">
        <f xml:space="preserve"> 'Inputs_ FS'!Q$69</f>
        <v>0</v>
      </c>
      <c r="R142" s="93">
        <f xml:space="preserve"> 'Inputs_ FS'!R$69</f>
        <v>0</v>
      </c>
      <c r="S142" s="93">
        <f xml:space="preserve"> 'Inputs_ FS'!S$69</f>
        <v>0</v>
      </c>
      <c r="T142" s="93">
        <f xml:space="preserve"> 'Inputs_ FS'!T$69</f>
        <v>0</v>
      </c>
      <c r="U142" s="93">
        <f xml:space="preserve"> 'Inputs_ FS'!U$69</f>
        <v>0</v>
      </c>
      <c r="V142" s="93">
        <f xml:space="preserve"> 'Inputs_ FS'!V$69</f>
        <v>9.0980000000000008</v>
      </c>
      <c r="W142" s="93">
        <f xml:space="preserve"> 'Inputs_ FS'!W$69</f>
        <v>6.0659999999999998</v>
      </c>
      <c r="X142" s="93">
        <f xml:space="preserve"> 'Inputs_ FS'!X$69</f>
        <v>0</v>
      </c>
      <c r="Y142" s="93">
        <f xml:space="preserve"> 'Inputs_ FS'!Y$69</f>
        <v>0</v>
      </c>
      <c r="Z142" s="93">
        <f xml:space="preserve"> 'Inputs_ FS'!Z$69</f>
        <v>0</v>
      </c>
      <c r="AA142" s="93">
        <f xml:space="preserve"> 'Inputs_ FS'!AA$69</f>
        <v>0</v>
      </c>
      <c r="AB142" s="93">
        <f xml:space="preserve"> 'Inputs_ FS'!AB$69</f>
        <v>0</v>
      </c>
      <c r="AC142" s="93">
        <f xml:space="preserve"> 'Inputs_ FS'!AC$69</f>
        <v>0</v>
      </c>
      <c r="AD142" s="93">
        <f xml:space="preserve"> 'Inputs_ FS'!AD$69</f>
        <v>0</v>
      </c>
      <c r="AE142" s="93">
        <f xml:space="preserve"> 'Inputs_ FS'!AE$69</f>
        <v>0</v>
      </c>
      <c r="AF142" s="93">
        <f xml:space="preserve"> 'Inputs_ FS'!AF$69</f>
        <v>0</v>
      </c>
      <c r="AG142" s="93">
        <f xml:space="preserve"> 'Inputs_ FS'!AG$69</f>
        <v>0</v>
      </c>
      <c r="AH142" s="93">
        <f xml:space="preserve"> 'Inputs_ FS'!AH$69</f>
        <v>0</v>
      </c>
      <c r="AI142" s="93">
        <f xml:space="preserve"> 'Inputs_ FS'!AI$69</f>
        <v>0</v>
      </c>
      <c r="AJ142" s="93">
        <f xml:space="preserve"> 'Inputs_ FS'!AJ$69</f>
        <v>0</v>
      </c>
      <c r="AK142" s="93">
        <f xml:space="preserve"> 'Inputs_ FS'!AK$69</f>
        <v>0</v>
      </c>
      <c r="AL142" s="93">
        <f xml:space="preserve"> 'Inputs_ FS'!AL$69</f>
        <v>0</v>
      </c>
      <c r="AM142" s="93">
        <f xml:space="preserve"> 'Inputs_ FS'!AM$69</f>
        <v>0</v>
      </c>
      <c r="AN142" s="93">
        <f xml:space="preserve"> 'Inputs_ FS'!AN$69</f>
        <v>0</v>
      </c>
      <c r="AO142" s="93">
        <f xml:space="preserve"> 'Inputs_ FS'!AO$69</f>
        <v>0</v>
      </c>
      <c r="AP142" s="93">
        <f xml:space="preserve"> 'Inputs_ FS'!AP$69</f>
        <v>0</v>
      </c>
      <c r="AQ142" s="93">
        <f xml:space="preserve"> 'Inputs_ FS'!AQ$69</f>
        <v>0</v>
      </c>
      <c r="AR142" s="93">
        <f xml:space="preserve"> 'Inputs_ FS'!AR$69</f>
        <v>0</v>
      </c>
      <c r="AS142" s="93">
        <f xml:space="preserve"> 'Inputs_ FS'!AS$69</f>
        <v>0</v>
      </c>
    </row>
    <row r="143" spans="1:45" ht="15" customHeight="1" x14ac:dyDescent="0.3">
      <c r="A143" s="91"/>
      <c r="B143" s="91"/>
      <c r="C143" s="92"/>
      <c r="D143" s="93"/>
      <c r="E143" s="93" t="str">
        <f xml:space="preserve"> 'Inputs_ FS'!E$70</f>
        <v>Mining concession tax</v>
      </c>
      <c r="F143" s="93">
        <f xml:space="preserve"> 'Inputs_ FS'!F$70</f>
        <v>106.309</v>
      </c>
      <c r="G143" s="93" t="str">
        <f xml:space="preserve"> 'Inputs_ FS'!G$70</f>
        <v>$ mn</v>
      </c>
      <c r="H143" s="93" t="str">
        <f xml:space="preserve"> 'Inputs_ FS'!H$70</f>
        <v>M</v>
      </c>
      <c r="I143" s="93">
        <f xml:space="preserve"> 'Inputs_ FS'!I$70</f>
        <v>106.30400000000003</v>
      </c>
      <c r="J143" s="93">
        <f xml:space="preserve"> 'Inputs_ FS'!J$70</f>
        <v>0</v>
      </c>
      <c r="K143" s="93">
        <f xml:space="preserve"> 'Inputs_ FS'!K$70</f>
        <v>0</v>
      </c>
      <c r="L143" s="93">
        <f xml:space="preserve"> 'Inputs_ FS'!L$70</f>
        <v>0</v>
      </c>
      <c r="M143" s="93">
        <f xml:space="preserve"> 'Inputs_ FS'!M$70</f>
        <v>0</v>
      </c>
      <c r="N143" s="93">
        <f xml:space="preserve"> 'Inputs_ FS'!N$70</f>
        <v>0</v>
      </c>
      <c r="O143" s="93">
        <f xml:space="preserve"> 'Inputs_ FS'!O$70</f>
        <v>0</v>
      </c>
      <c r="P143" s="93">
        <f xml:space="preserve"> 'Inputs_ FS'!P$70</f>
        <v>0</v>
      </c>
      <c r="Q143" s="93">
        <f xml:space="preserve"> 'Inputs_ FS'!Q$70</f>
        <v>0</v>
      </c>
      <c r="R143" s="93">
        <f xml:space="preserve"> 'Inputs_ FS'!R$70</f>
        <v>0</v>
      </c>
      <c r="S143" s="93">
        <f xml:space="preserve"> 'Inputs_ FS'!S$70</f>
        <v>0</v>
      </c>
      <c r="T143" s="93">
        <f xml:space="preserve"> 'Inputs_ FS'!T$70</f>
        <v>0</v>
      </c>
      <c r="U143" s="93">
        <f xml:space="preserve"> 'Inputs_ FS'!U$70</f>
        <v>0</v>
      </c>
      <c r="V143" s="93">
        <f xml:space="preserve"> 'Inputs_ FS'!V$70</f>
        <v>6.6440000000000001</v>
      </c>
      <c r="W143" s="93">
        <f xml:space="preserve"> 'Inputs_ FS'!W$70</f>
        <v>6.6440000000000001</v>
      </c>
      <c r="X143" s="93">
        <f xml:space="preserve"> 'Inputs_ FS'!X$70</f>
        <v>6.6440000000000001</v>
      </c>
      <c r="Y143" s="93">
        <f xml:space="preserve"> 'Inputs_ FS'!Y$70</f>
        <v>6.6440000000000001</v>
      </c>
      <c r="Z143" s="93">
        <f xml:space="preserve"> 'Inputs_ FS'!Z$70</f>
        <v>6.6440000000000001</v>
      </c>
      <c r="AA143" s="93">
        <f xml:space="preserve"> 'Inputs_ FS'!AA$70</f>
        <v>6.6440000000000001</v>
      </c>
      <c r="AB143" s="93">
        <f xml:space="preserve"> 'Inputs_ FS'!AB$70</f>
        <v>6.6440000000000001</v>
      </c>
      <c r="AC143" s="93">
        <f xml:space="preserve"> 'Inputs_ FS'!AC$70</f>
        <v>6.6440000000000001</v>
      </c>
      <c r="AD143" s="93">
        <f xml:space="preserve"> 'Inputs_ FS'!AD$70</f>
        <v>6.6440000000000001</v>
      </c>
      <c r="AE143" s="93">
        <f xml:space="preserve"> 'Inputs_ FS'!AE$70</f>
        <v>6.6440000000000001</v>
      </c>
      <c r="AF143" s="93">
        <f xml:space="preserve"> 'Inputs_ FS'!AF$70</f>
        <v>6.6440000000000001</v>
      </c>
      <c r="AG143" s="93">
        <f xml:space="preserve"> 'Inputs_ FS'!AG$70</f>
        <v>6.6440000000000001</v>
      </c>
      <c r="AH143" s="93">
        <f xml:space="preserve"> 'Inputs_ FS'!AH$70</f>
        <v>6.6440000000000001</v>
      </c>
      <c r="AI143" s="93">
        <f xml:space="preserve"> 'Inputs_ FS'!AI$70</f>
        <v>6.6440000000000001</v>
      </c>
      <c r="AJ143" s="93">
        <f xml:space="preserve"> 'Inputs_ FS'!AJ$70</f>
        <v>6.6440000000000001</v>
      </c>
      <c r="AK143" s="93">
        <f xml:space="preserve"> 'Inputs_ FS'!AK$70</f>
        <v>6.6440000000000001</v>
      </c>
      <c r="AL143" s="93">
        <f xml:space="preserve"> 'Inputs_ FS'!AL$70</f>
        <v>0</v>
      </c>
      <c r="AM143" s="93">
        <f xml:space="preserve"> 'Inputs_ FS'!AM$70</f>
        <v>0</v>
      </c>
      <c r="AN143" s="93">
        <f xml:space="preserve"> 'Inputs_ FS'!AN$70</f>
        <v>0</v>
      </c>
      <c r="AO143" s="93">
        <f xml:space="preserve"> 'Inputs_ FS'!AO$70</f>
        <v>0</v>
      </c>
      <c r="AP143" s="93">
        <f xml:space="preserve"> 'Inputs_ FS'!AP$70</f>
        <v>0</v>
      </c>
      <c r="AQ143" s="93">
        <f xml:space="preserve"> 'Inputs_ FS'!AQ$70</f>
        <v>0</v>
      </c>
      <c r="AR143" s="93">
        <f xml:space="preserve"> 'Inputs_ FS'!AR$70</f>
        <v>0</v>
      </c>
      <c r="AS143" s="93">
        <f xml:space="preserve"> 'Inputs_ FS'!AS$70</f>
        <v>0</v>
      </c>
    </row>
    <row r="144" spans="1:45" ht="15" customHeight="1" x14ac:dyDescent="0.3">
      <c r="A144" s="91"/>
      <c r="B144" s="91"/>
      <c r="C144" s="92"/>
      <c r="D144" s="93"/>
      <c r="E144" s="93" t="str">
        <f xml:space="preserve"> 'Inputs_ FS'!E$71</f>
        <v>Royalties and Fees for export services</v>
      </c>
      <c r="F144" s="93">
        <f xml:space="preserve"> 'Inputs_ FS'!F$71</f>
        <v>119.10599999999999</v>
      </c>
      <c r="G144" s="93" t="str">
        <f xml:space="preserve"> 'Inputs_ FS'!G$71</f>
        <v>$ mn</v>
      </c>
      <c r="H144" s="93" t="str">
        <f xml:space="preserve"> 'Inputs_ FS'!H$71</f>
        <v>M</v>
      </c>
      <c r="I144" s="93">
        <f xml:space="preserve"> 'Inputs_ FS'!I$71</f>
        <v>119.22500000000001</v>
      </c>
      <c r="J144" s="93">
        <f xml:space="preserve"> 'Inputs_ FS'!J$71</f>
        <v>0</v>
      </c>
      <c r="K144" s="93">
        <f xml:space="preserve"> 'Inputs_ FS'!K$71</f>
        <v>0</v>
      </c>
      <c r="L144" s="93">
        <f xml:space="preserve"> 'Inputs_ FS'!L$71</f>
        <v>0</v>
      </c>
      <c r="M144" s="93">
        <f xml:space="preserve"> 'Inputs_ FS'!M$71</f>
        <v>0</v>
      </c>
      <c r="N144" s="93">
        <f xml:space="preserve"> 'Inputs_ FS'!N$71</f>
        <v>0</v>
      </c>
      <c r="O144" s="93">
        <f xml:space="preserve"> 'Inputs_ FS'!O$71</f>
        <v>0</v>
      </c>
      <c r="P144" s="93">
        <f xml:space="preserve"> 'Inputs_ FS'!P$71</f>
        <v>0</v>
      </c>
      <c r="Q144" s="93">
        <f xml:space="preserve"> 'Inputs_ FS'!Q$71</f>
        <v>0</v>
      </c>
      <c r="R144" s="93">
        <f xml:space="preserve"> 'Inputs_ FS'!R$71</f>
        <v>0</v>
      </c>
      <c r="S144" s="93">
        <f xml:space="preserve"> 'Inputs_ FS'!S$71</f>
        <v>0</v>
      </c>
      <c r="T144" s="93">
        <f xml:space="preserve"> 'Inputs_ FS'!T$71</f>
        <v>0</v>
      </c>
      <c r="U144" s="93">
        <f xml:space="preserve"> 'Inputs_ FS'!U$71</f>
        <v>0</v>
      </c>
      <c r="V144" s="93">
        <f xml:space="preserve"> 'Inputs_ FS'!V$71</f>
        <v>1.0469999999999999</v>
      </c>
      <c r="W144" s="93">
        <f xml:space="preserve"> 'Inputs_ FS'!W$71</f>
        <v>2.7509999999999999</v>
      </c>
      <c r="X144" s="93">
        <f xml:space="preserve"> 'Inputs_ FS'!X$71</f>
        <v>4.3440000000000003</v>
      </c>
      <c r="Y144" s="93">
        <f xml:space="preserve"> 'Inputs_ FS'!Y$71</f>
        <v>6.694</v>
      </c>
      <c r="Z144" s="93">
        <f xml:space="preserve"> 'Inputs_ FS'!Z$71</f>
        <v>11.183999999999999</v>
      </c>
      <c r="AA144" s="93">
        <f xml:space="preserve"> 'Inputs_ FS'!AA$71</f>
        <v>10.429</v>
      </c>
      <c r="AB144" s="93">
        <f xml:space="preserve"> 'Inputs_ FS'!AB$71</f>
        <v>9</v>
      </c>
      <c r="AC144" s="93">
        <f xml:space="preserve"> 'Inputs_ FS'!AC$71</f>
        <v>9</v>
      </c>
      <c r="AD144" s="93">
        <f xml:space="preserve"> 'Inputs_ FS'!AD$71</f>
        <v>9</v>
      </c>
      <c r="AE144" s="93">
        <f xml:space="preserve"> 'Inputs_ FS'!AE$71</f>
        <v>9</v>
      </c>
      <c r="AF144" s="93">
        <f xml:space="preserve"> 'Inputs_ FS'!AF$71</f>
        <v>9</v>
      </c>
      <c r="AG144" s="93">
        <f xml:space="preserve"> 'Inputs_ FS'!AG$71</f>
        <v>9</v>
      </c>
      <c r="AH144" s="93">
        <f xml:space="preserve"> 'Inputs_ FS'!AH$71</f>
        <v>9</v>
      </c>
      <c r="AI144" s="93">
        <f xml:space="preserve"> 'Inputs_ FS'!AI$71</f>
        <v>9</v>
      </c>
      <c r="AJ144" s="93">
        <f xml:space="preserve"> 'Inputs_ FS'!AJ$71</f>
        <v>7.6230000000000002</v>
      </c>
      <c r="AK144" s="93">
        <f xml:space="preserve"> 'Inputs_ FS'!AK$71</f>
        <v>3.153</v>
      </c>
      <c r="AL144" s="93">
        <f xml:space="preserve"> 'Inputs_ FS'!AL$71</f>
        <v>0</v>
      </c>
      <c r="AM144" s="93">
        <f xml:space="preserve"> 'Inputs_ FS'!AM$71</f>
        <v>0</v>
      </c>
      <c r="AN144" s="93">
        <f xml:space="preserve"> 'Inputs_ FS'!AN$71</f>
        <v>0</v>
      </c>
      <c r="AO144" s="93">
        <f xml:space="preserve"> 'Inputs_ FS'!AO$71</f>
        <v>0</v>
      </c>
      <c r="AP144" s="93">
        <f xml:space="preserve"> 'Inputs_ FS'!AP$71</f>
        <v>0</v>
      </c>
      <c r="AQ144" s="93">
        <f xml:space="preserve"> 'Inputs_ FS'!AQ$71</f>
        <v>0</v>
      </c>
      <c r="AR144" s="93">
        <f xml:space="preserve"> 'Inputs_ FS'!AR$71</f>
        <v>0</v>
      </c>
      <c r="AS144" s="93">
        <f xml:space="preserve"> 'Inputs_ FS'!AS$71</f>
        <v>0</v>
      </c>
    </row>
    <row r="145" spans="1:45" ht="15" customHeight="1" x14ac:dyDescent="0.3">
      <c r="A145" s="91"/>
      <c r="B145" s="91"/>
      <c r="C145" s="92"/>
      <c r="D145" s="93"/>
      <c r="E145" s="93" t="str">
        <f xml:space="preserve"> 'Inputs_ FS'!E$72</f>
        <v>IPR</v>
      </c>
      <c r="F145" s="93">
        <f xml:space="preserve"> 'Inputs_ FS'!F$72</f>
        <v>12.8</v>
      </c>
      <c r="G145" s="93" t="str">
        <f xml:space="preserve"> 'Inputs_ FS'!G$72</f>
        <v>$ mn</v>
      </c>
      <c r="H145" s="93" t="str">
        <f xml:space="preserve"> 'Inputs_ FS'!H$72</f>
        <v>M</v>
      </c>
      <c r="I145" s="93">
        <f xml:space="preserve"> 'Inputs_ FS'!I$72</f>
        <v>12.800000000000002</v>
      </c>
      <c r="J145" s="93">
        <f xml:space="preserve"> 'Inputs_ FS'!J$72</f>
        <v>0</v>
      </c>
      <c r="K145" s="93">
        <f xml:space="preserve"> 'Inputs_ FS'!K$72</f>
        <v>0</v>
      </c>
      <c r="L145" s="93">
        <f xml:space="preserve"> 'Inputs_ FS'!L$72</f>
        <v>0</v>
      </c>
      <c r="M145" s="93">
        <f xml:space="preserve"> 'Inputs_ FS'!M$72</f>
        <v>0</v>
      </c>
      <c r="N145" s="93">
        <f xml:space="preserve"> 'Inputs_ FS'!N$72</f>
        <v>0</v>
      </c>
      <c r="O145" s="93">
        <f xml:space="preserve"> 'Inputs_ FS'!O$72</f>
        <v>0</v>
      </c>
      <c r="P145" s="93">
        <f xml:space="preserve"> 'Inputs_ FS'!P$72</f>
        <v>0</v>
      </c>
      <c r="Q145" s="93">
        <f xml:space="preserve"> 'Inputs_ FS'!Q$72</f>
        <v>0</v>
      </c>
      <c r="R145" s="93">
        <f xml:space="preserve"> 'Inputs_ FS'!R$72</f>
        <v>0</v>
      </c>
      <c r="S145" s="93">
        <f xml:space="preserve"> 'Inputs_ FS'!S$72</f>
        <v>0</v>
      </c>
      <c r="T145" s="93">
        <f xml:space="preserve"> 'Inputs_ FS'!T$72</f>
        <v>0</v>
      </c>
      <c r="U145" s="93">
        <f xml:space="preserve"> 'Inputs_ FS'!U$72</f>
        <v>0</v>
      </c>
      <c r="V145" s="93">
        <f xml:space="preserve"> 'Inputs_ FS'!V$72</f>
        <v>0.8</v>
      </c>
      <c r="W145" s="93">
        <f xml:space="preserve"> 'Inputs_ FS'!W$72</f>
        <v>0.8</v>
      </c>
      <c r="X145" s="93">
        <f xml:space="preserve"> 'Inputs_ FS'!X$72</f>
        <v>0.8</v>
      </c>
      <c r="Y145" s="93">
        <f xml:space="preserve"> 'Inputs_ FS'!Y$72</f>
        <v>0.8</v>
      </c>
      <c r="Z145" s="93">
        <f xml:space="preserve"> 'Inputs_ FS'!Z$72</f>
        <v>0.8</v>
      </c>
      <c r="AA145" s="93">
        <f xml:space="preserve"> 'Inputs_ FS'!AA$72</f>
        <v>0.8</v>
      </c>
      <c r="AB145" s="93">
        <f xml:space="preserve"> 'Inputs_ FS'!AB$72</f>
        <v>0.8</v>
      </c>
      <c r="AC145" s="93">
        <f xml:space="preserve"> 'Inputs_ FS'!AC$72</f>
        <v>0.8</v>
      </c>
      <c r="AD145" s="93">
        <f xml:space="preserve"> 'Inputs_ FS'!AD$72</f>
        <v>0.8</v>
      </c>
      <c r="AE145" s="93">
        <f xml:space="preserve"> 'Inputs_ FS'!AE$72</f>
        <v>0.8</v>
      </c>
      <c r="AF145" s="93">
        <f xml:space="preserve"> 'Inputs_ FS'!AF$72</f>
        <v>0.8</v>
      </c>
      <c r="AG145" s="93">
        <f xml:space="preserve"> 'Inputs_ FS'!AG$72</f>
        <v>0.8</v>
      </c>
      <c r="AH145" s="93">
        <f xml:space="preserve"> 'Inputs_ FS'!AH$72</f>
        <v>0.8</v>
      </c>
      <c r="AI145" s="93">
        <f xml:space="preserve"> 'Inputs_ FS'!AI$72</f>
        <v>0.8</v>
      </c>
      <c r="AJ145" s="93">
        <f xml:space="preserve"> 'Inputs_ FS'!AJ$72</f>
        <v>0.8</v>
      </c>
      <c r="AK145" s="93">
        <f xml:space="preserve"> 'Inputs_ FS'!AK$72</f>
        <v>0.8</v>
      </c>
      <c r="AL145" s="93">
        <f xml:space="preserve"> 'Inputs_ FS'!AL$72</f>
        <v>0</v>
      </c>
      <c r="AM145" s="93">
        <f xml:space="preserve"> 'Inputs_ FS'!AM$72</f>
        <v>0</v>
      </c>
      <c r="AN145" s="93">
        <f xml:space="preserve"> 'Inputs_ FS'!AN$72</f>
        <v>0</v>
      </c>
      <c r="AO145" s="93">
        <f xml:space="preserve"> 'Inputs_ FS'!AO$72</f>
        <v>0</v>
      </c>
      <c r="AP145" s="93">
        <f xml:space="preserve"> 'Inputs_ FS'!AP$72</f>
        <v>0</v>
      </c>
      <c r="AQ145" s="93">
        <f xml:space="preserve"> 'Inputs_ FS'!AQ$72</f>
        <v>0</v>
      </c>
      <c r="AR145" s="93">
        <f xml:space="preserve"> 'Inputs_ FS'!AR$72</f>
        <v>0</v>
      </c>
      <c r="AS145" s="93">
        <f xml:space="preserve"> 'Inputs_ FS'!AS$72</f>
        <v>0</v>
      </c>
    </row>
    <row r="146" spans="1:45" ht="15" customHeight="1" x14ac:dyDescent="0.3">
      <c r="A146" s="91"/>
      <c r="B146" s="91"/>
      <c r="C146" s="92"/>
      <c r="D146" s="93"/>
      <c r="E146" s="93" t="str">
        <f xml:space="preserve"> 'Inputs_ FS'!E$73</f>
        <v>Other taxes</v>
      </c>
      <c r="F146" s="93">
        <f xml:space="preserve"> 'Inputs_ FS'!F$73</f>
        <v>16</v>
      </c>
      <c r="G146" s="93" t="str">
        <f xml:space="preserve"> 'Inputs_ FS'!G$73</f>
        <v>$ mn</v>
      </c>
      <c r="H146" s="93" t="str">
        <f xml:space="preserve"> 'Inputs_ FS'!H$73</f>
        <v>M</v>
      </c>
      <c r="I146" s="93">
        <f xml:space="preserve"> 'Inputs_ FS'!I$73</f>
        <v>16</v>
      </c>
      <c r="J146" s="93">
        <f xml:space="preserve"> 'Inputs_ FS'!J$73</f>
        <v>0</v>
      </c>
      <c r="K146" s="93">
        <f xml:space="preserve"> 'Inputs_ FS'!K$73</f>
        <v>0</v>
      </c>
      <c r="L146" s="93">
        <f xml:space="preserve"> 'Inputs_ FS'!L$73</f>
        <v>0</v>
      </c>
      <c r="M146" s="93">
        <f xml:space="preserve"> 'Inputs_ FS'!M$73</f>
        <v>0</v>
      </c>
      <c r="N146" s="93">
        <f xml:space="preserve"> 'Inputs_ FS'!N$73</f>
        <v>0</v>
      </c>
      <c r="O146" s="93">
        <f xml:space="preserve"> 'Inputs_ FS'!O$73</f>
        <v>0</v>
      </c>
      <c r="P146" s="93">
        <f xml:space="preserve"> 'Inputs_ FS'!P$73</f>
        <v>0</v>
      </c>
      <c r="Q146" s="93">
        <f xml:space="preserve"> 'Inputs_ FS'!Q$73</f>
        <v>0</v>
      </c>
      <c r="R146" s="93">
        <f xml:space="preserve"> 'Inputs_ FS'!R$73</f>
        <v>0</v>
      </c>
      <c r="S146" s="93">
        <f xml:space="preserve"> 'Inputs_ FS'!S$73</f>
        <v>0</v>
      </c>
      <c r="T146" s="93">
        <f xml:space="preserve"> 'Inputs_ FS'!T$73</f>
        <v>0</v>
      </c>
      <c r="U146" s="93">
        <f xml:space="preserve"> 'Inputs_ FS'!U$73</f>
        <v>0</v>
      </c>
      <c r="V146" s="93">
        <f xml:space="preserve"> 'Inputs_ FS'!V$73</f>
        <v>1</v>
      </c>
      <c r="W146" s="93">
        <f xml:space="preserve"> 'Inputs_ FS'!W$73</f>
        <v>1</v>
      </c>
      <c r="X146" s="93">
        <f xml:space="preserve"> 'Inputs_ FS'!X$73</f>
        <v>1</v>
      </c>
      <c r="Y146" s="93">
        <f xml:space="preserve"> 'Inputs_ FS'!Y$73</f>
        <v>1</v>
      </c>
      <c r="Z146" s="93">
        <f xml:space="preserve"> 'Inputs_ FS'!Z$73</f>
        <v>1</v>
      </c>
      <c r="AA146" s="93">
        <f xml:space="preserve"> 'Inputs_ FS'!AA$73</f>
        <v>1</v>
      </c>
      <c r="AB146" s="93">
        <f xml:space="preserve"> 'Inputs_ FS'!AB$73</f>
        <v>1</v>
      </c>
      <c r="AC146" s="93">
        <f xml:space="preserve"> 'Inputs_ FS'!AC$73</f>
        <v>1</v>
      </c>
      <c r="AD146" s="93">
        <f xml:space="preserve"> 'Inputs_ FS'!AD$73</f>
        <v>1</v>
      </c>
      <c r="AE146" s="93">
        <f xml:space="preserve"> 'Inputs_ FS'!AE$73</f>
        <v>1</v>
      </c>
      <c r="AF146" s="93">
        <f xml:space="preserve"> 'Inputs_ FS'!AF$73</f>
        <v>1</v>
      </c>
      <c r="AG146" s="93">
        <f xml:space="preserve"> 'Inputs_ FS'!AG$73</f>
        <v>1</v>
      </c>
      <c r="AH146" s="93">
        <f xml:space="preserve"> 'Inputs_ FS'!AH$73</f>
        <v>1</v>
      </c>
      <c r="AI146" s="93">
        <f xml:space="preserve"> 'Inputs_ FS'!AI$73</f>
        <v>1</v>
      </c>
      <c r="AJ146" s="93">
        <f xml:space="preserve"> 'Inputs_ FS'!AJ$73</f>
        <v>1</v>
      </c>
      <c r="AK146" s="93">
        <f xml:space="preserve"> 'Inputs_ FS'!AK$73</f>
        <v>1</v>
      </c>
      <c r="AL146" s="93">
        <f xml:space="preserve"> 'Inputs_ FS'!AL$73</f>
        <v>0</v>
      </c>
      <c r="AM146" s="93">
        <f xml:space="preserve"> 'Inputs_ FS'!AM$73</f>
        <v>0</v>
      </c>
      <c r="AN146" s="93">
        <f xml:space="preserve"> 'Inputs_ FS'!AN$73</f>
        <v>0</v>
      </c>
      <c r="AO146" s="93">
        <f xml:space="preserve"> 'Inputs_ FS'!AO$73</f>
        <v>0</v>
      </c>
      <c r="AP146" s="93">
        <f xml:space="preserve"> 'Inputs_ FS'!AP$73</f>
        <v>0</v>
      </c>
      <c r="AQ146" s="93">
        <f xml:space="preserve"> 'Inputs_ FS'!AQ$73</f>
        <v>0</v>
      </c>
      <c r="AR146" s="93">
        <f xml:space="preserve"> 'Inputs_ FS'!AR$73</f>
        <v>0</v>
      </c>
      <c r="AS146" s="93">
        <f xml:space="preserve"> 'Inputs_ FS'!AS$73</f>
        <v>0</v>
      </c>
    </row>
    <row r="147" spans="1:45" ht="15" customHeight="1" x14ac:dyDescent="0.3">
      <c r="A147" s="91"/>
      <c r="B147" s="91"/>
      <c r="C147" s="92"/>
      <c r="D147" s="93"/>
      <c r="E147" s="93" t="str">
        <f xml:space="preserve"> 'Inputs_ FS'!E$74</f>
        <v>Customs duties and other taxes</v>
      </c>
      <c r="F147" s="93">
        <f xml:space="preserve"> 'Inputs_ FS'!F$74</f>
        <v>739.43899999999996</v>
      </c>
      <c r="G147" s="93" t="str">
        <f xml:space="preserve"> 'Inputs_ FS'!G$74</f>
        <v>$ mn</v>
      </c>
      <c r="H147" s="93" t="str">
        <f xml:space="preserve"> 'Inputs_ FS'!H$74</f>
        <v>M</v>
      </c>
      <c r="I147" s="93">
        <f xml:space="preserve"> 'Inputs_ FS'!I$74</f>
        <v>739.43900000000031</v>
      </c>
      <c r="J147" s="93">
        <f xml:space="preserve"> 'Inputs_ FS'!J$74</f>
        <v>0</v>
      </c>
      <c r="K147" s="93">
        <f xml:space="preserve"> 'Inputs_ FS'!K$74</f>
        <v>0</v>
      </c>
      <c r="L147" s="93">
        <f xml:space="preserve"> 'Inputs_ FS'!L$74</f>
        <v>0</v>
      </c>
      <c r="M147" s="93">
        <f xml:space="preserve"> 'Inputs_ FS'!M$74</f>
        <v>0</v>
      </c>
      <c r="N147" s="93">
        <f xml:space="preserve"> 'Inputs_ FS'!N$74</f>
        <v>0</v>
      </c>
      <c r="O147" s="93">
        <f xml:space="preserve"> 'Inputs_ FS'!O$74</f>
        <v>0</v>
      </c>
      <c r="P147" s="93">
        <f xml:space="preserve"> 'Inputs_ FS'!P$74</f>
        <v>0</v>
      </c>
      <c r="Q147" s="93">
        <f xml:space="preserve"> 'Inputs_ FS'!Q$74</f>
        <v>0</v>
      </c>
      <c r="R147" s="93">
        <f xml:space="preserve"> 'Inputs_ FS'!R$74</f>
        <v>0</v>
      </c>
      <c r="S147" s="93">
        <f xml:space="preserve"> 'Inputs_ FS'!S$74</f>
        <v>0</v>
      </c>
      <c r="T147" s="93">
        <f xml:space="preserve"> 'Inputs_ FS'!T$74</f>
        <v>0</v>
      </c>
      <c r="U147" s="93">
        <f xml:space="preserve"> 'Inputs_ FS'!U$74</f>
        <v>0</v>
      </c>
      <c r="V147" s="93">
        <f xml:space="preserve"> 'Inputs_ FS'!V$74</f>
        <v>29.366</v>
      </c>
      <c r="W147" s="93">
        <f xml:space="preserve"> 'Inputs_ FS'!W$74</f>
        <v>14.458</v>
      </c>
      <c r="X147" s="93">
        <f xml:space="preserve"> 'Inputs_ FS'!X$74</f>
        <v>96.558999999999997</v>
      </c>
      <c r="Y147" s="93">
        <f xml:space="preserve"> 'Inputs_ FS'!Y$74</f>
        <v>143.32300000000001</v>
      </c>
      <c r="Z147" s="93">
        <f xml:space="preserve"> 'Inputs_ FS'!Z$74</f>
        <v>78.591999999999999</v>
      </c>
      <c r="AA147" s="93">
        <f xml:space="preserve"> 'Inputs_ FS'!AA$74</f>
        <v>100.86499999999999</v>
      </c>
      <c r="AB147" s="93">
        <f xml:space="preserve"> 'Inputs_ FS'!AB$74</f>
        <v>28.867500000000007</v>
      </c>
      <c r="AC147" s="93">
        <f xml:space="preserve"> 'Inputs_ FS'!AC$74</f>
        <v>28.867500000000007</v>
      </c>
      <c r="AD147" s="93">
        <f xml:space="preserve"> 'Inputs_ FS'!AD$74</f>
        <v>28.867500000000007</v>
      </c>
      <c r="AE147" s="93">
        <f xml:space="preserve"> 'Inputs_ FS'!AE$74</f>
        <v>28.867500000000007</v>
      </c>
      <c r="AF147" s="93">
        <f xml:space="preserve"> 'Inputs_ FS'!AF$74</f>
        <v>28.867500000000007</v>
      </c>
      <c r="AG147" s="93">
        <f xml:space="preserve"> 'Inputs_ FS'!AG$74</f>
        <v>28.867500000000007</v>
      </c>
      <c r="AH147" s="93">
        <f xml:space="preserve"> 'Inputs_ FS'!AH$74</f>
        <v>28.867500000000007</v>
      </c>
      <c r="AI147" s="93">
        <f xml:space="preserve"> 'Inputs_ FS'!AI$74</f>
        <v>28.867500000000007</v>
      </c>
      <c r="AJ147" s="93">
        <f xml:space="preserve"> 'Inputs_ FS'!AJ$74</f>
        <v>27.332999999999998</v>
      </c>
      <c r="AK147" s="93">
        <f xml:space="preserve"> 'Inputs_ FS'!AK$74</f>
        <v>18.003</v>
      </c>
      <c r="AL147" s="93">
        <f xml:space="preserve"> 'Inputs_ FS'!AL$74</f>
        <v>0</v>
      </c>
      <c r="AM147" s="93">
        <f xml:space="preserve"> 'Inputs_ FS'!AM$74</f>
        <v>0</v>
      </c>
      <c r="AN147" s="93">
        <f xml:space="preserve"> 'Inputs_ FS'!AN$74</f>
        <v>0</v>
      </c>
      <c r="AO147" s="93">
        <f xml:space="preserve"> 'Inputs_ FS'!AO$74</f>
        <v>0</v>
      </c>
      <c r="AP147" s="93">
        <f xml:space="preserve"> 'Inputs_ FS'!AP$74</f>
        <v>0</v>
      </c>
      <c r="AQ147" s="93">
        <f xml:space="preserve"> 'Inputs_ FS'!AQ$74</f>
        <v>0</v>
      </c>
      <c r="AR147" s="93">
        <f xml:space="preserve"> 'Inputs_ FS'!AR$74</f>
        <v>0</v>
      </c>
      <c r="AS147" s="93">
        <f xml:space="preserve"> 'Inputs_ FS'!AS$74</f>
        <v>0</v>
      </c>
    </row>
    <row r="148" spans="1:45" ht="15" customHeight="1" x14ac:dyDescent="0.3">
      <c r="A148" s="378"/>
      <c r="B148" s="378"/>
      <c r="C148" s="379"/>
      <c r="D148" s="381"/>
      <c r="E148" s="381" t="str">
        <f xml:space="preserve"> E$227</f>
        <v>Total royalty</v>
      </c>
      <c r="F148" s="381">
        <f t="shared" ref="F148:I148" si="144" xml:space="preserve"> F$227</f>
        <v>0</v>
      </c>
      <c r="G148" s="381" t="str">
        <f t="shared" si="144"/>
        <v>$ mn</v>
      </c>
      <c r="H148" s="381">
        <f t="shared" si="144"/>
        <v>0</v>
      </c>
      <c r="I148" s="381">
        <f t="shared" si="144"/>
        <v>455.87740629965998</v>
      </c>
      <c r="J148" s="34"/>
      <c r="K148" s="381">
        <f t="shared" ref="K148:O148" si="145" xml:space="preserve"> K$227</f>
        <v>0</v>
      </c>
      <c r="L148" s="381">
        <f t="shared" si="145"/>
        <v>0</v>
      </c>
      <c r="M148" s="381">
        <f t="shared" si="145"/>
        <v>0</v>
      </c>
      <c r="N148" s="381">
        <f t="shared" si="145"/>
        <v>0</v>
      </c>
      <c r="O148" s="381">
        <f t="shared" si="145"/>
        <v>0</v>
      </c>
      <c r="P148" s="381">
        <f t="shared" ref="P148:AS148" si="146" xml:space="preserve"> P$227</f>
        <v>0</v>
      </c>
      <c r="Q148" s="381">
        <f t="shared" si="146"/>
        <v>0</v>
      </c>
      <c r="R148" s="381">
        <f t="shared" si="146"/>
        <v>0</v>
      </c>
      <c r="S148" s="381">
        <f t="shared" si="146"/>
        <v>0</v>
      </c>
      <c r="T148" s="381">
        <f t="shared" si="146"/>
        <v>0</v>
      </c>
      <c r="U148" s="381">
        <f t="shared" si="146"/>
        <v>0</v>
      </c>
      <c r="V148" s="381">
        <f t="shared" si="146"/>
        <v>2.0936120999999996</v>
      </c>
      <c r="W148" s="381">
        <f t="shared" si="146"/>
        <v>7.5658579700000015</v>
      </c>
      <c r="X148" s="381">
        <f t="shared" si="146"/>
        <v>16.337975890432002</v>
      </c>
      <c r="Y148" s="381">
        <f t="shared" si="146"/>
        <v>25.546252756080001</v>
      </c>
      <c r="Z148" s="381">
        <f t="shared" si="146"/>
        <v>43.023062557887997</v>
      </c>
      <c r="AA148" s="381">
        <f t="shared" si="146"/>
        <v>43.288425837524002</v>
      </c>
      <c r="AB148" s="381">
        <f t="shared" si="146"/>
        <v>34.594068645528004</v>
      </c>
      <c r="AC148" s="381">
        <f t="shared" si="146"/>
        <v>35.312801728050673</v>
      </c>
      <c r="AD148" s="381">
        <f t="shared" si="146"/>
        <v>35.312801728050673</v>
      </c>
      <c r="AE148" s="381">
        <f t="shared" si="146"/>
        <v>35.312801728050673</v>
      </c>
      <c r="AF148" s="381">
        <f t="shared" si="146"/>
        <v>35.312801728050673</v>
      </c>
      <c r="AG148" s="381">
        <f t="shared" si="146"/>
        <v>35.312801728050673</v>
      </c>
      <c r="AH148" s="381">
        <f t="shared" si="146"/>
        <v>35.312801728050673</v>
      </c>
      <c r="AI148" s="381">
        <f t="shared" si="146"/>
        <v>30.057016041384003</v>
      </c>
      <c r="AJ148" s="381">
        <f t="shared" si="146"/>
        <v>29.352096292092003</v>
      </c>
      <c r="AK148" s="381">
        <f t="shared" si="146"/>
        <v>12.142227840428001</v>
      </c>
      <c r="AL148" s="381">
        <f t="shared" si="146"/>
        <v>0</v>
      </c>
      <c r="AM148" s="381">
        <f t="shared" si="146"/>
        <v>0</v>
      </c>
      <c r="AN148" s="381">
        <f t="shared" si="146"/>
        <v>0</v>
      </c>
      <c r="AO148" s="381">
        <f t="shared" si="146"/>
        <v>0</v>
      </c>
      <c r="AP148" s="381">
        <f t="shared" si="146"/>
        <v>0</v>
      </c>
      <c r="AQ148" s="381">
        <f t="shared" si="146"/>
        <v>0</v>
      </c>
      <c r="AR148" s="381">
        <f t="shared" si="146"/>
        <v>0</v>
      </c>
      <c r="AS148" s="381">
        <f t="shared" si="146"/>
        <v>0</v>
      </c>
    </row>
    <row r="149" spans="1:45" ht="15" customHeight="1" x14ac:dyDescent="0.3">
      <c r="A149" s="546"/>
      <c r="B149" s="546"/>
      <c r="C149" s="547"/>
      <c r="D149" s="515"/>
      <c r="E149" s="513" t="s">
        <v>438</v>
      </c>
      <c r="F149" s="515"/>
      <c r="G149" s="513" t="s">
        <v>346</v>
      </c>
      <c r="H149" s="514"/>
      <c r="I149" s="514">
        <f>SUM(K149:AS149)</f>
        <v>4321.1869437003406</v>
      </c>
      <c r="J149" s="548"/>
      <c r="K149" s="515">
        <f t="shared" ref="K149:O149" si="147">K140 - SUM(K141:K148)</f>
        <v>0</v>
      </c>
      <c r="L149" s="515">
        <f t="shared" si="147"/>
        <v>0</v>
      </c>
      <c r="M149" s="515">
        <f t="shared" si="147"/>
        <v>0</v>
      </c>
      <c r="N149" s="515">
        <f t="shared" si="147"/>
        <v>0</v>
      </c>
      <c r="O149" s="515">
        <f t="shared" si="147"/>
        <v>0</v>
      </c>
      <c r="P149" s="515">
        <f t="shared" ref="P149:R149" si="148">P140 - SUM(P141:P148)</f>
        <v>0</v>
      </c>
      <c r="Q149" s="515">
        <f t="shared" si="148"/>
        <v>0</v>
      </c>
      <c r="R149" s="515">
        <f t="shared" si="148"/>
        <v>0</v>
      </c>
      <c r="S149" s="515">
        <f>S140 - SUM(S141:S148)</f>
        <v>0</v>
      </c>
      <c r="T149" s="515">
        <f t="shared" ref="T149:AP149" si="149">T140 - SUM(T141:T148)</f>
        <v>0</v>
      </c>
      <c r="U149" s="515">
        <f t="shared" si="149"/>
        <v>0</v>
      </c>
      <c r="V149" s="515">
        <f t="shared" si="149"/>
        <v>37.131447899999998</v>
      </c>
      <c r="W149" s="515">
        <f t="shared" si="149"/>
        <v>67.702282029999992</v>
      </c>
      <c r="X149" s="515">
        <f t="shared" si="149"/>
        <v>91.645334109568012</v>
      </c>
      <c r="Y149" s="515">
        <f t="shared" si="149"/>
        <v>86.47033724392</v>
      </c>
      <c r="Z149" s="515">
        <f t="shared" si="149"/>
        <v>100.72237744211202</v>
      </c>
      <c r="AA149" s="515">
        <f t="shared" si="149"/>
        <v>371.44481416247595</v>
      </c>
      <c r="AB149" s="515">
        <f t="shared" si="149"/>
        <v>375.44852135447195</v>
      </c>
      <c r="AC149" s="515">
        <f t="shared" si="149"/>
        <v>380.37806398623508</v>
      </c>
      <c r="AD149" s="515">
        <f t="shared" si="149"/>
        <v>380.37806398623508</v>
      </c>
      <c r="AE149" s="515">
        <f t="shared" si="149"/>
        <v>380.37806398623508</v>
      </c>
      <c r="AF149" s="515">
        <f t="shared" si="149"/>
        <v>380.37806398623508</v>
      </c>
      <c r="AG149" s="515">
        <f t="shared" si="149"/>
        <v>380.37806398623508</v>
      </c>
      <c r="AH149" s="515">
        <f t="shared" si="149"/>
        <v>380.37806398623508</v>
      </c>
      <c r="AI149" s="515">
        <f t="shared" si="149"/>
        <v>385.63384967290176</v>
      </c>
      <c r="AJ149" s="515">
        <f t="shared" si="149"/>
        <v>343.98400370790802</v>
      </c>
      <c r="AK149" s="515">
        <f t="shared" si="149"/>
        <v>178.73559215957201</v>
      </c>
      <c r="AL149" s="515">
        <f t="shared" si="149"/>
        <v>0</v>
      </c>
      <c r="AM149" s="515">
        <f t="shared" si="149"/>
        <v>0</v>
      </c>
      <c r="AN149" s="515">
        <f t="shared" si="149"/>
        <v>0</v>
      </c>
      <c r="AO149" s="515">
        <f t="shared" si="149"/>
        <v>0</v>
      </c>
      <c r="AP149" s="515">
        <f t="shared" si="149"/>
        <v>0</v>
      </c>
      <c r="AQ149" s="515">
        <f t="shared" ref="AQ149:AS149" si="150">AQ140 - SUM(AQ141:AQ148)</f>
        <v>0</v>
      </c>
      <c r="AR149" s="515">
        <f t="shared" si="150"/>
        <v>0</v>
      </c>
      <c r="AS149" s="515">
        <f t="shared" si="150"/>
        <v>0</v>
      </c>
    </row>
    <row r="150" spans="1:45" ht="15" customHeight="1" x14ac:dyDescent="0.3">
      <c r="A150" s="331"/>
      <c r="B150" s="331"/>
      <c r="C150" s="333"/>
      <c r="D150" s="299"/>
      <c r="E150" s="313"/>
      <c r="F150" s="294"/>
      <c r="G150" s="313"/>
      <c r="H150" s="334"/>
      <c r="I150" s="334"/>
      <c r="J150" s="106"/>
      <c r="K150" s="299"/>
      <c r="L150" s="299"/>
      <c r="M150" s="299"/>
      <c r="N150" s="299"/>
      <c r="O150" s="299"/>
      <c r="P150" s="299"/>
      <c r="Q150" s="299"/>
      <c r="R150" s="299"/>
      <c r="S150" s="299"/>
      <c r="T150" s="299"/>
      <c r="U150" s="299"/>
      <c r="V150" s="299"/>
      <c r="W150" s="299"/>
      <c r="X150" s="299"/>
      <c r="Y150" s="299"/>
      <c r="Z150" s="299"/>
      <c r="AA150" s="299"/>
      <c r="AB150" s="299"/>
      <c r="AC150" s="299"/>
      <c r="AD150" s="299"/>
      <c r="AE150" s="299"/>
      <c r="AF150" s="299"/>
      <c r="AG150" s="299"/>
      <c r="AH150" s="299"/>
      <c r="AI150" s="299"/>
      <c r="AJ150" s="299"/>
      <c r="AK150" s="299"/>
      <c r="AL150" s="299"/>
      <c r="AM150" s="299"/>
      <c r="AN150" s="299"/>
      <c r="AO150" s="299"/>
      <c r="AP150" s="299"/>
      <c r="AQ150" s="299"/>
      <c r="AR150" s="299"/>
      <c r="AS150" s="299"/>
    </row>
    <row r="151" spans="1:45" ht="15" customHeight="1" x14ac:dyDescent="0.3">
      <c r="A151" s="331"/>
      <c r="B151" s="331"/>
      <c r="C151" s="333" t="s">
        <v>439</v>
      </c>
      <c r="D151" s="299"/>
      <c r="E151" s="313"/>
      <c r="F151" s="294"/>
      <c r="G151" s="313"/>
      <c r="H151" s="334"/>
      <c r="I151" s="334"/>
      <c r="J151" s="106"/>
      <c r="K151" s="299"/>
      <c r="L151" s="299"/>
      <c r="M151" s="299"/>
      <c r="N151" s="299"/>
      <c r="O151" s="299"/>
      <c r="P151" s="299"/>
      <c r="Q151" s="299"/>
      <c r="R151" s="299"/>
      <c r="S151" s="299"/>
      <c r="T151" s="299"/>
      <c r="U151" s="299"/>
      <c r="V151" s="299"/>
      <c r="W151" s="299"/>
      <c r="X151" s="299"/>
      <c r="Y151" s="299"/>
      <c r="Z151" s="299"/>
      <c r="AA151" s="299"/>
      <c r="AB151" s="299"/>
      <c r="AC151" s="299"/>
      <c r="AD151" s="299"/>
      <c r="AE151" s="299"/>
      <c r="AF151" s="299"/>
      <c r="AG151" s="299"/>
      <c r="AH151" s="299"/>
      <c r="AI151" s="299"/>
      <c r="AJ151" s="299"/>
      <c r="AK151" s="299"/>
      <c r="AL151" s="299"/>
      <c r="AM151" s="299"/>
      <c r="AN151" s="299"/>
      <c r="AO151" s="299"/>
      <c r="AP151" s="299"/>
      <c r="AQ151" s="299"/>
      <c r="AR151" s="299"/>
      <c r="AS151" s="299"/>
    </row>
    <row r="152" spans="1:45" ht="15" customHeight="1" x14ac:dyDescent="0.3">
      <c r="A152" s="541"/>
      <c r="B152" s="541"/>
      <c r="C152" s="542"/>
      <c r="D152" s="383"/>
      <c r="E152" s="381" t="str">
        <f xml:space="preserve"> E$149</f>
        <v>Production costs adjusted</v>
      </c>
      <c r="F152" s="381">
        <f t="shared" ref="F152:O152" si="151" xml:space="preserve"> F$149</f>
        <v>0</v>
      </c>
      <c r="G152" s="381" t="str">
        <f t="shared" si="151"/>
        <v>$ mn</v>
      </c>
      <c r="H152" s="381">
        <f t="shared" si="151"/>
        <v>0</v>
      </c>
      <c r="I152" s="381">
        <f t="shared" si="151"/>
        <v>4321.1869437003406</v>
      </c>
      <c r="J152" s="381">
        <f t="shared" si="151"/>
        <v>0</v>
      </c>
      <c r="K152" s="381">
        <f t="shared" si="151"/>
        <v>0</v>
      </c>
      <c r="L152" s="381">
        <f t="shared" si="151"/>
        <v>0</v>
      </c>
      <c r="M152" s="381">
        <f t="shared" si="151"/>
        <v>0</v>
      </c>
      <c r="N152" s="381">
        <f t="shared" si="151"/>
        <v>0</v>
      </c>
      <c r="O152" s="381">
        <f t="shared" si="151"/>
        <v>0</v>
      </c>
      <c r="P152" s="381">
        <f t="shared" ref="P152:AS152" si="152" xml:space="preserve"> P$149</f>
        <v>0</v>
      </c>
      <c r="Q152" s="381">
        <f t="shared" si="152"/>
        <v>0</v>
      </c>
      <c r="R152" s="381">
        <f t="shared" si="152"/>
        <v>0</v>
      </c>
      <c r="S152" s="381">
        <f t="shared" si="152"/>
        <v>0</v>
      </c>
      <c r="T152" s="381">
        <f t="shared" si="152"/>
        <v>0</v>
      </c>
      <c r="U152" s="381">
        <f t="shared" si="152"/>
        <v>0</v>
      </c>
      <c r="V152" s="381">
        <f t="shared" si="152"/>
        <v>37.131447899999998</v>
      </c>
      <c r="W152" s="381">
        <f t="shared" si="152"/>
        <v>67.702282029999992</v>
      </c>
      <c r="X152" s="381">
        <f t="shared" si="152"/>
        <v>91.645334109568012</v>
      </c>
      <c r="Y152" s="381">
        <f t="shared" si="152"/>
        <v>86.47033724392</v>
      </c>
      <c r="Z152" s="381">
        <f t="shared" si="152"/>
        <v>100.72237744211202</v>
      </c>
      <c r="AA152" s="381">
        <f t="shared" si="152"/>
        <v>371.44481416247595</v>
      </c>
      <c r="AB152" s="381">
        <f t="shared" si="152"/>
        <v>375.44852135447195</v>
      </c>
      <c r="AC152" s="381">
        <f t="shared" si="152"/>
        <v>380.37806398623508</v>
      </c>
      <c r="AD152" s="381">
        <f t="shared" si="152"/>
        <v>380.37806398623508</v>
      </c>
      <c r="AE152" s="381">
        <f t="shared" si="152"/>
        <v>380.37806398623508</v>
      </c>
      <c r="AF152" s="381">
        <f t="shared" si="152"/>
        <v>380.37806398623508</v>
      </c>
      <c r="AG152" s="381">
        <f t="shared" si="152"/>
        <v>380.37806398623508</v>
      </c>
      <c r="AH152" s="381">
        <f t="shared" si="152"/>
        <v>380.37806398623508</v>
      </c>
      <c r="AI152" s="381">
        <f t="shared" si="152"/>
        <v>385.63384967290176</v>
      </c>
      <c r="AJ152" s="381">
        <f t="shared" si="152"/>
        <v>343.98400370790802</v>
      </c>
      <c r="AK152" s="381">
        <f t="shared" si="152"/>
        <v>178.73559215957201</v>
      </c>
      <c r="AL152" s="381">
        <f t="shared" si="152"/>
        <v>0</v>
      </c>
      <c r="AM152" s="381">
        <f t="shared" si="152"/>
        <v>0</v>
      </c>
      <c r="AN152" s="381">
        <f t="shared" si="152"/>
        <v>0</v>
      </c>
      <c r="AO152" s="381">
        <f t="shared" si="152"/>
        <v>0</v>
      </c>
      <c r="AP152" s="381">
        <f t="shared" si="152"/>
        <v>0</v>
      </c>
      <c r="AQ152" s="381">
        <f t="shared" si="152"/>
        <v>0</v>
      </c>
      <c r="AR152" s="381">
        <f t="shared" si="152"/>
        <v>0</v>
      </c>
      <c r="AS152" s="381">
        <f t="shared" si="152"/>
        <v>0</v>
      </c>
    </row>
    <row r="153" spans="1:45" ht="15" customHeight="1" x14ac:dyDescent="0.3">
      <c r="A153" s="541"/>
      <c r="B153" s="541"/>
      <c r="C153" s="542"/>
      <c r="D153" s="383"/>
      <c r="E153" s="381" t="s">
        <v>372</v>
      </c>
      <c r="F153" s="383"/>
      <c r="G153" s="381" t="s">
        <v>346</v>
      </c>
      <c r="H153" s="543"/>
      <c r="I153" s="543">
        <f>SUM(K153:AS153)</f>
        <v>343.43</v>
      </c>
      <c r="J153" s="34"/>
      <c r="K153" s="383">
        <f t="shared" ref="K153:O153" si="153">IF(K120 &gt; 0, K120, K136)</f>
        <v>0</v>
      </c>
      <c r="L153" s="383">
        <f t="shared" si="153"/>
        <v>0</v>
      </c>
      <c r="M153" s="383">
        <f t="shared" si="153"/>
        <v>0</v>
      </c>
      <c r="N153" s="383">
        <f t="shared" si="153"/>
        <v>0</v>
      </c>
      <c r="O153" s="383">
        <f t="shared" si="153"/>
        <v>0</v>
      </c>
      <c r="P153" s="383">
        <f t="shared" ref="P153:R153" si="154">IF(P120 &gt; 0, P120, P136)</f>
        <v>0</v>
      </c>
      <c r="Q153" s="383">
        <f t="shared" si="154"/>
        <v>0</v>
      </c>
      <c r="R153" s="383">
        <f t="shared" si="154"/>
        <v>0</v>
      </c>
      <c r="S153" s="383">
        <f t="shared" ref="S153:AP153" si="155">IF(S120 &gt; 0, S120, S136)</f>
        <v>0</v>
      </c>
      <c r="T153" s="383">
        <f t="shared" si="155"/>
        <v>0</v>
      </c>
      <c r="U153" s="383">
        <f t="shared" si="155"/>
        <v>0</v>
      </c>
      <c r="V153" s="383">
        <f t="shared" si="155"/>
        <v>3.4609999999999999</v>
      </c>
      <c r="W153" s="383">
        <f t="shared" si="155"/>
        <v>7.7869999999999999</v>
      </c>
      <c r="X153" s="383">
        <f t="shared" si="155"/>
        <v>17.962</v>
      </c>
      <c r="Y153" s="383">
        <f t="shared" si="155"/>
        <v>26.148</v>
      </c>
      <c r="Z153" s="383">
        <f t="shared" si="155"/>
        <v>33.9</v>
      </c>
      <c r="AA153" s="383">
        <f t="shared" si="155"/>
        <v>26.048999999999999</v>
      </c>
      <c r="AB153" s="383">
        <f t="shared" si="155"/>
        <v>19.428000000000001</v>
      </c>
      <c r="AC153" s="383">
        <f t="shared" si="155"/>
        <v>22.504999999999995</v>
      </c>
      <c r="AD153" s="383">
        <f t="shared" si="155"/>
        <v>22.504999999999995</v>
      </c>
      <c r="AE153" s="383">
        <f t="shared" si="155"/>
        <v>22.504999999999995</v>
      </c>
      <c r="AF153" s="383">
        <f t="shared" si="155"/>
        <v>22.504999999999995</v>
      </c>
      <c r="AG153" s="383">
        <f t="shared" si="155"/>
        <v>22.504999999999995</v>
      </c>
      <c r="AH153" s="383">
        <f t="shared" si="155"/>
        <v>22.504999999999995</v>
      </c>
      <c r="AI153" s="383">
        <f t="shared" si="155"/>
        <v>22.504999999999995</v>
      </c>
      <c r="AJ153" s="383">
        <f t="shared" si="155"/>
        <v>25.210999999999999</v>
      </c>
      <c r="AK153" s="383">
        <f t="shared" si="155"/>
        <v>25.949000000000002</v>
      </c>
      <c r="AL153" s="383">
        <f t="shared" si="155"/>
        <v>0</v>
      </c>
      <c r="AM153" s="383">
        <f t="shared" si="155"/>
        <v>0</v>
      </c>
      <c r="AN153" s="383">
        <f t="shared" si="155"/>
        <v>0</v>
      </c>
      <c r="AO153" s="383">
        <f t="shared" si="155"/>
        <v>0</v>
      </c>
      <c r="AP153" s="383">
        <f t="shared" si="155"/>
        <v>0</v>
      </c>
      <c r="AQ153" s="383">
        <f t="shared" ref="AQ153:AS153" si="156">IF(AQ120 &gt; 0, AQ120, AQ136)</f>
        <v>0</v>
      </c>
      <c r="AR153" s="383">
        <f t="shared" si="156"/>
        <v>0</v>
      </c>
      <c r="AS153" s="383">
        <f t="shared" si="156"/>
        <v>0</v>
      </c>
    </row>
    <row r="154" spans="1:45" ht="15" customHeight="1" x14ac:dyDescent="0.3">
      <c r="A154" s="541"/>
      <c r="B154" s="541"/>
      <c r="C154" s="542"/>
      <c r="D154" s="383"/>
      <c r="E154" s="381" t="s">
        <v>377</v>
      </c>
      <c r="F154" s="383"/>
      <c r="G154" s="381" t="s">
        <v>346</v>
      </c>
      <c r="H154" s="543"/>
      <c r="I154" s="543">
        <f>SUM(K154:AS154)</f>
        <v>1007.0272200000003</v>
      </c>
      <c r="J154" s="34"/>
      <c r="K154" s="383">
        <f t="shared" ref="K154:O154" si="157">IF(K121 &gt; 0, K121, K137)</f>
        <v>0</v>
      </c>
      <c r="L154" s="383">
        <f t="shared" si="157"/>
        <v>0</v>
      </c>
      <c r="M154" s="383">
        <f t="shared" si="157"/>
        <v>0</v>
      </c>
      <c r="N154" s="383">
        <f t="shared" si="157"/>
        <v>0</v>
      </c>
      <c r="O154" s="383">
        <f t="shared" si="157"/>
        <v>0</v>
      </c>
      <c r="P154" s="383">
        <f t="shared" ref="P154:R154" si="158">IF(P121 &gt; 0, P121, P137)</f>
        <v>0</v>
      </c>
      <c r="Q154" s="383">
        <f t="shared" si="158"/>
        <v>0</v>
      </c>
      <c r="R154" s="383">
        <f t="shared" si="158"/>
        <v>0</v>
      </c>
      <c r="S154" s="383">
        <f t="shared" ref="S154:AP154" si="159">IF(S121 &gt; 0, S121, S137)</f>
        <v>0</v>
      </c>
      <c r="T154" s="383">
        <f t="shared" si="159"/>
        <v>0</v>
      </c>
      <c r="U154" s="383">
        <f t="shared" si="159"/>
        <v>0</v>
      </c>
      <c r="V154" s="383">
        <f t="shared" si="159"/>
        <v>18.271809999999999</v>
      </c>
      <c r="W154" s="383">
        <f t="shared" si="159"/>
        <v>52.600679999999997</v>
      </c>
      <c r="X154" s="383">
        <f t="shared" si="159"/>
        <v>67.747399999999999</v>
      </c>
      <c r="Y154" s="383">
        <f t="shared" si="159"/>
        <v>76.065920000000006</v>
      </c>
      <c r="Z154" s="383">
        <f t="shared" si="159"/>
        <v>106.92619000000001</v>
      </c>
      <c r="AA154" s="383">
        <f t="shared" si="159"/>
        <v>82.362870000000001</v>
      </c>
      <c r="AB154" s="383">
        <f t="shared" si="159"/>
        <v>67.318399999999997</v>
      </c>
      <c r="AC154" s="383">
        <f t="shared" si="159"/>
        <v>65.279364285714308</v>
      </c>
      <c r="AD154" s="383">
        <f t="shared" si="159"/>
        <v>65.279364285714308</v>
      </c>
      <c r="AE154" s="383">
        <f t="shared" si="159"/>
        <v>65.279364285714308</v>
      </c>
      <c r="AF154" s="383">
        <f t="shared" si="159"/>
        <v>65.279364285714308</v>
      </c>
      <c r="AG154" s="383">
        <f t="shared" si="159"/>
        <v>65.279364285714308</v>
      </c>
      <c r="AH154" s="383">
        <f t="shared" si="159"/>
        <v>65.279364285714308</v>
      </c>
      <c r="AI154" s="383">
        <f t="shared" si="159"/>
        <v>65.279364285714308</v>
      </c>
      <c r="AJ154" s="383">
        <f t="shared" si="159"/>
        <v>55.726289999999999</v>
      </c>
      <c r="AK154" s="383">
        <f t="shared" si="159"/>
        <v>23.052109999999999</v>
      </c>
      <c r="AL154" s="383">
        <f t="shared" si="159"/>
        <v>0</v>
      </c>
      <c r="AM154" s="383">
        <f t="shared" si="159"/>
        <v>0</v>
      </c>
      <c r="AN154" s="383">
        <f t="shared" si="159"/>
        <v>0</v>
      </c>
      <c r="AO154" s="383">
        <f t="shared" si="159"/>
        <v>0</v>
      </c>
      <c r="AP154" s="383">
        <f t="shared" si="159"/>
        <v>0</v>
      </c>
      <c r="AQ154" s="383">
        <f t="shared" ref="AQ154:AS154" si="160">IF(AQ121 &gt; 0, AQ121, AQ137)</f>
        <v>0</v>
      </c>
      <c r="AR154" s="383">
        <f t="shared" si="160"/>
        <v>0</v>
      </c>
      <c r="AS154" s="383">
        <f t="shared" si="160"/>
        <v>0</v>
      </c>
    </row>
    <row r="155" spans="1:45" ht="15" customHeight="1" x14ac:dyDescent="0.3">
      <c r="A155" s="546"/>
      <c r="B155" s="546"/>
      <c r="C155" s="547"/>
      <c r="D155" s="515"/>
      <c r="E155" s="513" t="s">
        <v>557</v>
      </c>
      <c r="F155" s="515" t="s">
        <v>552</v>
      </c>
      <c r="G155" s="513" t="s">
        <v>346</v>
      </c>
      <c r="H155" s="514"/>
      <c r="I155" s="514">
        <f>SUM(K155:AS155)</f>
        <v>5671.6441637003409</v>
      </c>
      <c r="J155" s="34"/>
      <c r="K155" s="515">
        <f t="shared" ref="K155:O155" si="161">SUM(K152:K154)</f>
        <v>0</v>
      </c>
      <c r="L155" s="515">
        <f t="shared" si="161"/>
        <v>0</v>
      </c>
      <c r="M155" s="515">
        <f t="shared" si="161"/>
        <v>0</v>
      </c>
      <c r="N155" s="515">
        <f t="shared" si="161"/>
        <v>0</v>
      </c>
      <c r="O155" s="515">
        <f t="shared" si="161"/>
        <v>0</v>
      </c>
      <c r="P155" s="515">
        <f t="shared" ref="P155:R155" si="162">SUM(P152:P154)</f>
        <v>0</v>
      </c>
      <c r="Q155" s="515">
        <f t="shared" si="162"/>
        <v>0</v>
      </c>
      <c r="R155" s="515">
        <f t="shared" si="162"/>
        <v>0</v>
      </c>
      <c r="S155" s="515">
        <f>SUM(S152:S154)</f>
        <v>0</v>
      </c>
      <c r="T155" s="515">
        <f t="shared" ref="T155:AP155" si="163">SUM(T152:T154)</f>
        <v>0</v>
      </c>
      <c r="U155" s="515">
        <f t="shared" si="163"/>
        <v>0</v>
      </c>
      <c r="V155" s="515">
        <f t="shared" si="163"/>
        <v>58.864257899999998</v>
      </c>
      <c r="W155" s="515">
        <f t="shared" si="163"/>
        <v>128.08996202999998</v>
      </c>
      <c r="X155" s="515">
        <f t="shared" si="163"/>
        <v>177.35473410956803</v>
      </c>
      <c r="Y155" s="515">
        <f t="shared" si="163"/>
        <v>188.68425724392</v>
      </c>
      <c r="Z155" s="515">
        <f t="shared" si="163"/>
        <v>241.54856744211202</v>
      </c>
      <c r="AA155" s="515">
        <f t="shared" si="163"/>
        <v>479.85668416247591</v>
      </c>
      <c r="AB155" s="515">
        <f t="shared" si="163"/>
        <v>462.19492135447194</v>
      </c>
      <c r="AC155" s="515">
        <f t="shared" si="163"/>
        <v>468.16242827194935</v>
      </c>
      <c r="AD155" s="515">
        <f t="shared" si="163"/>
        <v>468.16242827194935</v>
      </c>
      <c r="AE155" s="515">
        <f t="shared" si="163"/>
        <v>468.16242827194935</v>
      </c>
      <c r="AF155" s="515">
        <f t="shared" si="163"/>
        <v>468.16242827194935</v>
      </c>
      <c r="AG155" s="515">
        <f t="shared" si="163"/>
        <v>468.16242827194935</v>
      </c>
      <c r="AH155" s="515">
        <f t="shared" si="163"/>
        <v>468.16242827194935</v>
      </c>
      <c r="AI155" s="515">
        <f t="shared" si="163"/>
        <v>473.41821395861609</v>
      </c>
      <c r="AJ155" s="515">
        <f t="shared" si="163"/>
        <v>424.92129370790803</v>
      </c>
      <c r="AK155" s="515">
        <f t="shared" si="163"/>
        <v>227.73670215957202</v>
      </c>
      <c r="AL155" s="515">
        <f t="shared" si="163"/>
        <v>0</v>
      </c>
      <c r="AM155" s="515">
        <f t="shared" si="163"/>
        <v>0</v>
      </c>
      <c r="AN155" s="515">
        <f t="shared" si="163"/>
        <v>0</v>
      </c>
      <c r="AO155" s="515">
        <f t="shared" si="163"/>
        <v>0</v>
      </c>
      <c r="AP155" s="515">
        <f t="shared" si="163"/>
        <v>0</v>
      </c>
      <c r="AQ155" s="515">
        <f t="shared" ref="AQ155:AS155" si="164">SUM(AQ152:AQ154)</f>
        <v>0</v>
      </c>
      <c r="AR155" s="515">
        <f t="shared" si="164"/>
        <v>0</v>
      </c>
      <c r="AS155" s="515">
        <f t="shared" si="164"/>
        <v>0</v>
      </c>
    </row>
    <row r="156" spans="1:45" ht="15" customHeight="1" x14ac:dyDescent="0.3">
      <c r="I156" s="291"/>
      <c r="J156" s="42"/>
      <c r="AL156" s="290"/>
      <c r="AM156" s="290"/>
      <c r="AN156" s="290"/>
      <c r="AO156" s="290"/>
      <c r="AP156" s="290"/>
      <c r="AQ156" s="290"/>
      <c r="AR156" s="290"/>
      <c r="AS156" s="290"/>
    </row>
    <row r="157" spans="1:45" ht="15" customHeight="1" x14ac:dyDescent="0.3">
      <c r="B157" s="288" t="s">
        <v>440</v>
      </c>
      <c r="I157" s="291"/>
      <c r="J157" s="42"/>
      <c r="AL157" s="290"/>
      <c r="AM157" s="290"/>
      <c r="AN157" s="290"/>
      <c r="AO157" s="290"/>
      <c r="AP157" s="290"/>
      <c r="AQ157" s="290"/>
      <c r="AR157" s="290"/>
      <c r="AS157" s="290"/>
    </row>
    <row r="158" spans="1:45" ht="15" customHeight="1" x14ac:dyDescent="0.3">
      <c r="E158" s="362" t="str">
        <f xml:space="preserve"> 'Inputs_ FS'!E$46</f>
        <v>Construction investment</v>
      </c>
      <c r="F158" s="362">
        <f xml:space="preserve"> 'Inputs_ FS'!F$46</f>
        <v>0</v>
      </c>
      <c r="G158" s="362" t="str">
        <f xml:space="preserve"> 'Inputs_ FS'!G$46</f>
        <v>$ mn</v>
      </c>
      <c r="H158" s="362" t="str">
        <f xml:space="preserve"> 'Inputs_ FS'!H$46</f>
        <v>M</v>
      </c>
      <c r="I158" s="362">
        <f xml:space="preserve"> 'Inputs_ FS'!I$46</f>
        <v>583.0057502200001</v>
      </c>
      <c r="J158" s="362">
        <f xml:space="preserve"> 'Inputs_ FS'!J$46</f>
        <v>0</v>
      </c>
      <c r="K158" s="362">
        <f xml:space="preserve"> 'Inputs_ FS'!K$46</f>
        <v>0</v>
      </c>
      <c r="L158" s="362">
        <f xml:space="preserve"> 'Inputs_ FS'!L$46</f>
        <v>0</v>
      </c>
      <c r="M158" s="362">
        <f xml:space="preserve"> 'Inputs_ FS'!M$46</f>
        <v>0</v>
      </c>
      <c r="N158" s="362">
        <f xml:space="preserve"> 'Inputs_ FS'!N$46</f>
        <v>0</v>
      </c>
      <c r="O158" s="362">
        <f xml:space="preserve"> 'Inputs_ FS'!O$46</f>
        <v>0</v>
      </c>
      <c r="P158" s="362">
        <f xml:space="preserve"> 'Inputs_ FS'!P$46</f>
        <v>0</v>
      </c>
      <c r="Q158" s="362">
        <f xml:space="preserve"> 'Inputs_ FS'!Q$46</f>
        <v>0</v>
      </c>
      <c r="R158" s="362">
        <f xml:space="preserve"> 'Inputs_ FS'!R$46</f>
        <v>0</v>
      </c>
      <c r="S158" s="362">
        <f xml:space="preserve"> 'Inputs_ FS'!S$46</f>
        <v>0</v>
      </c>
      <c r="T158" s="362">
        <f xml:space="preserve"> 'Inputs_ FS'!T$46</f>
        <v>0</v>
      </c>
      <c r="U158" s="362">
        <f xml:space="preserve"> 'Inputs_ FS'!U$46</f>
        <v>0</v>
      </c>
      <c r="V158" s="362">
        <f xml:space="preserve"> 'Inputs_ FS'!V$46</f>
        <v>206.56673885000001</v>
      </c>
      <c r="W158" s="362">
        <f xml:space="preserve"> 'Inputs_ FS'!W$46</f>
        <v>93.857954650000011</v>
      </c>
      <c r="X158" s="362">
        <f xml:space="preserve"> 'Inputs_ FS'!X$46</f>
        <v>125.01304914000001</v>
      </c>
      <c r="Y158" s="362">
        <f xml:space="preserve"> 'Inputs_ FS'!Y$46</f>
        <v>4.0362397200000002</v>
      </c>
      <c r="Z158" s="362">
        <f xml:space="preserve"> 'Inputs_ FS'!Z$46</f>
        <v>68.970431939999997</v>
      </c>
      <c r="AA158" s="362">
        <f xml:space="preserve"> 'Inputs_ FS'!AA$46</f>
        <v>84.561335919999991</v>
      </c>
      <c r="AB158" s="362">
        <f xml:space="preserve"> 'Inputs_ FS'!AB$46</f>
        <v>0</v>
      </c>
      <c r="AC158" s="362">
        <f xml:space="preserve"> 'Inputs_ FS'!AC$46</f>
        <v>0</v>
      </c>
      <c r="AD158" s="362">
        <f xml:space="preserve"> 'Inputs_ FS'!AD$46</f>
        <v>0</v>
      </c>
      <c r="AE158" s="362">
        <f xml:space="preserve"> 'Inputs_ FS'!AE$46</f>
        <v>0</v>
      </c>
      <c r="AF158" s="362">
        <f xml:space="preserve"> 'Inputs_ FS'!AF$46</f>
        <v>0</v>
      </c>
      <c r="AG158" s="362">
        <f xml:space="preserve"> 'Inputs_ FS'!AG$46</f>
        <v>0</v>
      </c>
      <c r="AH158" s="362">
        <f xml:space="preserve"> 'Inputs_ FS'!AH$46</f>
        <v>0</v>
      </c>
      <c r="AI158" s="362">
        <f xml:space="preserve"> 'Inputs_ FS'!AI$46</f>
        <v>0</v>
      </c>
      <c r="AJ158" s="362">
        <f xml:space="preserve"> 'Inputs_ FS'!AJ$46</f>
        <v>0</v>
      </c>
      <c r="AK158" s="362">
        <f xml:space="preserve"> 'Inputs_ FS'!AK$46</f>
        <v>0</v>
      </c>
      <c r="AL158" s="362">
        <f xml:space="preserve"> 'Inputs_ FS'!AL$46</f>
        <v>0</v>
      </c>
      <c r="AM158" s="362">
        <f xml:space="preserve"> 'Inputs_ FS'!AM$46</f>
        <v>0</v>
      </c>
      <c r="AN158" s="362">
        <f xml:space="preserve"> 'Inputs_ FS'!AN$46</f>
        <v>0</v>
      </c>
      <c r="AO158" s="362">
        <f xml:space="preserve"> 'Inputs_ FS'!AO$46</f>
        <v>0</v>
      </c>
      <c r="AP158" s="362">
        <f xml:space="preserve"> 'Inputs_ FS'!AP$46</f>
        <v>0</v>
      </c>
      <c r="AQ158" s="362">
        <f xml:space="preserve"> 'Inputs_ FS'!AQ$46</f>
        <v>0</v>
      </c>
      <c r="AR158" s="362">
        <f xml:space="preserve"> 'Inputs_ FS'!AR$46</f>
        <v>0</v>
      </c>
      <c r="AS158" s="362">
        <f xml:space="preserve"> 'Inputs_ FS'!AS$46</f>
        <v>0</v>
      </c>
    </row>
    <row r="159" spans="1:45" ht="15" customHeight="1" x14ac:dyDescent="0.3">
      <c r="E159" s="362" t="str">
        <f xml:space="preserve"> 'Inputs_ FS'!E$47</f>
        <v>Environment rehabilitation</v>
      </c>
      <c r="F159" s="362">
        <f xml:space="preserve"> 'Inputs_ FS'!F$47</f>
        <v>0</v>
      </c>
      <c r="G159" s="362" t="str">
        <f xml:space="preserve"> 'Inputs_ FS'!G$47</f>
        <v>$ mn</v>
      </c>
      <c r="H159" s="362" t="str">
        <f xml:space="preserve"> 'Inputs_ FS'!H$47</f>
        <v>M</v>
      </c>
      <c r="I159" s="362">
        <f xml:space="preserve"> 'Inputs_ FS'!I$47</f>
        <v>241.71616872000004</v>
      </c>
      <c r="J159" s="362">
        <f xml:space="preserve"> 'Inputs_ FS'!J$47</f>
        <v>0</v>
      </c>
      <c r="K159" s="362">
        <f xml:space="preserve"> 'Inputs_ FS'!K$47</f>
        <v>0</v>
      </c>
      <c r="L159" s="362">
        <f xml:space="preserve"> 'Inputs_ FS'!L$47</f>
        <v>0</v>
      </c>
      <c r="M159" s="362">
        <f xml:space="preserve"> 'Inputs_ FS'!M$47</f>
        <v>0</v>
      </c>
      <c r="N159" s="362">
        <f xml:space="preserve"> 'Inputs_ FS'!N$47</f>
        <v>0</v>
      </c>
      <c r="O159" s="362">
        <f xml:space="preserve"> 'Inputs_ FS'!O$47</f>
        <v>0</v>
      </c>
      <c r="P159" s="362">
        <f xml:space="preserve"> 'Inputs_ FS'!P$47</f>
        <v>0</v>
      </c>
      <c r="Q159" s="362">
        <f xml:space="preserve"> 'Inputs_ FS'!Q$47</f>
        <v>0</v>
      </c>
      <c r="R159" s="362">
        <f xml:space="preserve"> 'Inputs_ FS'!R$47</f>
        <v>0</v>
      </c>
      <c r="S159" s="362">
        <f xml:space="preserve"> 'Inputs_ FS'!S$47</f>
        <v>0</v>
      </c>
      <c r="T159" s="362">
        <f xml:space="preserve"> 'Inputs_ FS'!T$47</f>
        <v>0</v>
      </c>
      <c r="U159" s="362">
        <f xml:space="preserve"> 'Inputs_ FS'!U$47</f>
        <v>0</v>
      </c>
      <c r="V159" s="362">
        <f xml:space="preserve"> 'Inputs_ FS'!V$47</f>
        <v>38.461454500000002</v>
      </c>
      <c r="W159" s="362">
        <f xml:space="preserve"> 'Inputs_ FS'!W$47</f>
        <v>17.47577308</v>
      </c>
      <c r="X159" s="362">
        <f xml:space="preserve"> 'Inputs_ FS'!X$47</f>
        <v>23.276659779999999</v>
      </c>
      <c r="Y159" s="362">
        <f xml:space="preserve"> 'Inputs_ FS'!Y$47</f>
        <v>0.75152297999999995</v>
      </c>
      <c r="Z159" s="362">
        <f xml:space="preserve"> 'Inputs_ FS'!Z$47</f>
        <v>12.841858459999999</v>
      </c>
      <c r="AA159" s="362">
        <f xml:space="preserve"> 'Inputs_ FS'!AA$47</f>
        <v>15.74479992</v>
      </c>
      <c r="AB159" s="362">
        <f xml:space="preserve"> 'Inputs_ FS'!AB$47</f>
        <v>99.765600000000006</v>
      </c>
      <c r="AC159" s="362">
        <f xml:space="preserve"> 'Inputs_ FS'!AC$47</f>
        <v>33.398499999999999</v>
      </c>
      <c r="AD159" s="362">
        <f xml:space="preserve"> 'Inputs_ FS'!AD$47</f>
        <v>0</v>
      </c>
      <c r="AE159" s="362">
        <f xml:space="preserve"> 'Inputs_ FS'!AE$47</f>
        <v>0</v>
      </c>
      <c r="AF159" s="362">
        <f xml:space="preserve"> 'Inputs_ FS'!AF$47</f>
        <v>0</v>
      </c>
      <c r="AG159" s="362">
        <f xml:space="preserve"> 'Inputs_ FS'!AG$47</f>
        <v>0</v>
      </c>
      <c r="AH159" s="362">
        <f xml:space="preserve"> 'Inputs_ FS'!AH$47</f>
        <v>0</v>
      </c>
      <c r="AI159" s="362">
        <f xml:space="preserve"> 'Inputs_ FS'!AI$47</f>
        <v>0</v>
      </c>
      <c r="AJ159" s="362">
        <f xml:space="preserve"> 'Inputs_ FS'!AJ$47</f>
        <v>0</v>
      </c>
      <c r="AK159" s="362">
        <f xml:space="preserve"> 'Inputs_ FS'!AK$47</f>
        <v>0</v>
      </c>
      <c r="AL159" s="362">
        <f xml:space="preserve"> 'Inputs_ FS'!AL$47</f>
        <v>0</v>
      </c>
      <c r="AM159" s="362">
        <f xml:space="preserve"> 'Inputs_ FS'!AM$47</f>
        <v>0</v>
      </c>
      <c r="AN159" s="362">
        <f xml:space="preserve"> 'Inputs_ FS'!AN$47</f>
        <v>0</v>
      </c>
      <c r="AO159" s="362">
        <f xml:space="preserve"> 'Inputs_ FS'!AO$47</f>
        <v>0</v>
      </c>
      <c r="AP159" s="362">
        <f xml:space="preserve"> 'Inputs_ FS'!AP$47</f>
        <v>0</v>
      </c>
      <c r="AQ159" s="362">
        <f xml:space="preserve"> 'Inputs_ FS'!AQ$47</f>
        <v>0</v>
      </c>
      <c r="AR159" s="362">
        <f xml:space="preserve"> 'Inputs_ FS'!AR$47</f>
        <v>0</v>
      </c>
      <c r="AS159" s="362">
        <f xml:space="preserve"> 'Inputs_ FS'!AS$47</f>
        <v>0</v>
      </c>
    </row>
    <row r="160" spans="1:45" ht="15" customHeight="1" x14ac:dyDescent="0.3">
      <c r="A160" s="553"/>
      <c r="B160" s="553"/>
      <c r="C160" s="547"/>
      <c r="D160" s="515"/>
      <c r="E160" s="515" t="s">
        <v>559</v>
      </c>
      <c r="F160" s="515" t="s">
        <v>552</v>
      </c>
      <c r="G160" s="513" t="s">
        <v>346</v>
      </c>
      <c r="H160" s="514"/>
      <c r="I160" s="514">
        <f>SUM(K160:AS160)</f>
        <v>824.72191894000002</v>
      </c>
      <c r="J160" s="34"/>
      <c r="K160" s="515">
        <f t="shared" ref="K160:O160" si="165">K158 + K159</f>
        <v>0</v>
      </c>
      <c r="L160" s="515">
        <f t="shared" si="165"/>
        <v>0</v>
      </c>
      <c r="M160" s="515">
        <f t="shared" si="165"/>
        <v>0</v>
      </c>
      <c r="N160" s="515">
        <f t="shared" si="165"/>
        <v>0</v>
      </c>
      <c r="O160" s="515">
        <f t="shared" si="165"/>
        <v>0</v>
      </c>
      <c r="P160" s="515">
        <f t="shared" ref="P160:R160" si="166">P158 + P159</f>
        <v>0</v>
      </c>
      <c r="Q160" s="515">
        <f t="shared" si="166"/>
        <v>0</v>
      </c>
      <c r="R160" s="515">
        <f t="shared" si="166"/>
        <v>0</v>
      </c>
      <c r="S160" s="515">
        <f>S158 + S159</f>
        <v>0</v>
      </c>
      <c r="T160" s="515">
        <f t="shared" ref="T160:AN160" si="167">T158 + T159</f>
        <v>0</v>
      </c>
      <c r="U160" s="515">
        <f t="shared" si="167"/>
        <v>0</v>
      </c>
      <c r="V160" s="515">
        <f>V158 + V159</f>
        <v>245.02819335000001</v>
      </c>
      <c r="W160" s="515">
        <f t="shared" si="167"/>
        <v>111.33372773000001</v>
      </c>
      <c r="X160" s="515">
        <f t="shared" si="167"/>
        <v>148.28970892000001</v>
      </c>
      <c r="Y160" s="515">
        <f t="shared" si="167"/>
        <v>4.7877627</v>
      </c>
      <c r="Z160" s="515">
        <f t="shared" si="167"/>
        <v>81.812290399999995</v>
      </c>
      <c r="AA160" s="515">
        <f t="shared" si="167"/>
        <v>100.30613584</v>
      </c>
      <c r="AB160" s="515">
        <f t="shared" si="167"/>
        <v>99.765600000000006</v>
      </c>
      <c r="AC160" s="515">
        <f t="shared" si="167"/>
        <v>33.398499999999999</v>
      </c>
      <c r="AD160" s="515">
        <f t="shared" si="167"/>
        <v>0</v>
      </c>
      <c r="AE160" s="515">
        <f t="shared" si="167"/>
        <v>0</v>
      </c>
      <c r="AF160" s="515">
        <f t="shared" si="167"/>
        <v>0</v>
      </c>
      <c r="AG160" s="515">
        <f t="shared" si="167"/>
        <v>0</v>
      </c>
      <c r="AH160" s="515">
        <f t="shared" si="167"/>
        <v>0</v>
      </c>
      <c r="AI160" s="515">
        <f t="shared" si="167"/>
        <v>0</v>
      </c>
      <c r="AJ160" s="515">
        <f t="shared" si="167"/>
        <v>0</v>
      </c>
      <c r="AK160" s="515">
        <f t="shared" si="167"/>
        <v>0</v>
      </c>
      <c r="AL160" s="515">
        <f t="shared" si="167"/>
        <v>0</v>
      </c>
      <c r="AM160" s="515">
        <f t="shared" si="167"/>
        <v>0</v>
      </c>
      <c r="AN160" s="515">
        <f t="shared" si="167"/>
        <v>0</v>
      </c>
      <c r="AO160" s="515">
        <f t="shared" ref="AO160:AP160" si="168">AO158 + AO159</f>
        <v>0</v>
      </c>
      <c r="AP160" s="515">
        <f t="shared" si="168"/>
        <v>0</v>
      </c>
      <c r="AQ160" s="515">
        <f t="shared" ref="AQ160:AS160" si="169">AQ158 + AQ159</f>
        <v>0</v>
      </c>
      <c r="AR160" s="515">
        <f t="shared" si="169"/>
        <v>0</v>
      </c>
      <c r="AS160" s="515">
        <f t="shared" si="169"/>
        <v>0</v>
      </c>
    </row>
    <row r="161" spans="1:45" ht="15" customHeight="1" x14ac:dyDescent="0.3">
      <c r="F161" s="299"/>
      <c r="I161" s="291"/>
      <c r="J161" s="42"/>
      <c r="K161" s="299"/>
      <c r="L161" s="299"/>
      <c r="M161" s="299"/>
      <c r="N161" s="299"/>
      <c r="O161" s="299"/>
      <c r="P161" s="299"/>
      <c r="Q161" s="299"/>
      <c r="R161" s="299"/>
      <c r="S161" s="299"/>
      <c r="T161" s="299"/>
      <c r="U161" s="299"/>
      <c r="V161" s="299"/>
      <c r="W161" s="299"/>
      <c r="X161" s="299"/>
      <c r="Y161" s="299"/>
      <c r="Z161" s="299"/>
      <c r="AA161" s="299"/>
      <c r="AB161" s="299"/>
      <c r="AC161" s="299"/>
      <c r="AD161" s="299"/>
      <c r="AE161" s="299"/>
      <c r="AF161" s="299"/>
      <c r="AG161" s="299"/>
      <c r="AH161" s="299"/>
      <c r="AI161" s="299"/>
      <c r="AJ161" s="299"/>
      <c r="AK161" s="299"/>
      <c r="AL161" s="299"/>
      <c r="AM161" s="299"/>
      <c r="AN161" s="299"/>
      <c r="AO161" s="299"/>
      <c r="AP161" s="299"/>
      <c r="AQ161" s="299"/>
      <c r="AR161" s="299"/>
      <c r="AS161" s="299"/>
    </row>
    <row r="162" spans="1:45" ht="15" customHeight="1" x14ac:dyDescent="0.3">
      <c r="B162" s="288" t="s">
        <v>441</v>
      </c>
      <c r="F162" s="299"/>
      <c r="I162" s="291"/>
      <c r="J162" s="42"/>
      <c r="K162" s="299"/>
      <c r="L162" s="299"/>
      <c r="M162" s="299"/>
      <c r="N162" s="299"/>
      <c r="O162" s="299"/>
      <c r="P162" s="299"/>
      <c r="Q162" s="299"/>
      <c r="R162" s="299"/>
      <c r="S162" s="299"/>
      <c r="T162" s="299"/>
      <c r="U162" s="299"/>
      <c r="V162" s="299"/>
      <c r="W162" s="299"/>
      <c r="X162" s="299"/>
      <c r="Y162" s="299"/>
      <c r="Z162" s="299"/>
      <c r="AA162" s="299"/>
      <c r="AB162" s="299"/>
      <c r="AC162" s="299"/>
      <c r="AD162" s="299"/>
      <c r="AE162" s="299"/>
      <c r="AF162" s="299"/>
      <c r="AG162" s="299"/>
      <c r="AH162" s="299"/>
      <c r="AI162" s="299"/>
      <c r="AJ162" s="299"/>
      <c r="AK162" s="299"/>
      <c r="AL162" s="299"/>
      <c r="AM162" s="299"/>
      <c r="AN162" s="299"/>
      <c r="AO162" s="299"/>
      <c r="AP162" s="299"/>
      <c r="AQ162" s="299"/>
      <c r="AR162" s="299"/>
      <c r="AS162" s="299"/>
    </row>
    <row r="163" spans="1:45" ht="15" customHeight="1" x14ac:dyDescent="0.3">
      <c r="E163" s="299" t="str">
        <f xml:space="preserve"> E$112</f>
        <v>Total revenue</v>
      </c>
      <c r="F163" s="299">
        <f t="shared" ref="F163:I163" si="170" xml:space="preserve"> F$112</f>
        <v>0</v>
      </c>
      <c r="G163" s="290" t="str">
        <f t="shared" si="170"/>
        <v>$ mn</v>
      </c>
      <c r="H163" s="291">
        <f t="shared" si="170"/>
        <v>0</v>
      </c>
      <c r="I163" s="291">
        <f t="shared" si="170"/>
        <v>11910.175160496599</v>
      </c>
      <c r="J163" s="42"/>
      <c r="K163" s="299">
        <f t="shared" ref="K163:O163" si="171" xml:space="preserve"> K$112</f>
        <v>0</v>
      </c>
      <c r="L163" s="299">
        <f t="shared" si="171"/>
        <v>0</v>
      </c>
      <c r="M163" s="299">
        <f t="shared" si="171"/>
        <v>0</v>
      </c>
      <c r="N163" s="299">
        <f t="shared" si="171"/>
        <v>0</v>
      </c>
      <c r="O163" s="299">
        <f t="shared" si="171"/>
        <v>0</v>
      </c>
      <c r="P163" s="299">
        <f t="shared" ref="P163:AS163" si="172" xml:space="preserve"> P$112</f>
        <v>0</v>
      </c>
      <c r="Q163" s="299">
        <f t="shared" si="172"/>
        <v>0</v>
      </c>
      <c r="R163" s="299">
        <f t="shared" si="172"/>
        <v>0</v>
      </c>
      <c r="S163" s="299">
        <f t="shared" si="172"/>
        <v>0</v>
      </c>
      <c r="T163" s="299">
        <f t="shared" si="172"/>
        <v>0</v>
      </c>
      <c r="U163" s="299">
        <f t="shared" si="172"/>
        <v>0</v>
      </c>
      <c r="V163" s="299">
        <f t="shared" si="172"/>
        <v>104.68060499999999</v>
      </c>
      <c r="W163" s="299">
        <f t="shared" si="172"/>
        <v>275.12210800000003</v>
      </c>
      <c r="X163" s="299">
        <f t="shared" si="172"/>
        <v>434.33181950432004</v>
      </c>
      <c r="Y163" s="299">
        <f t="shared" si="172"/>
        <v>668.71459861080007</v>
      </c>
      <c r="Z163" s="299">
        <f t="shared" si="172"/>
        <v>1118.6990542788799</v>
      </c>
      <c r="AA163" s="299">
        <f t="shared" si="172"/>
        <v>1042.87854002524</v>
      </c>
      <c r="AB163" s="299">
        <f t="shared" si="172"/>
        <v>901.78862325527996</v>
      </c>
      <c r="AC163" s="299">
        <f t="shared" si="172"/>
        <v>919.50006854717333</v>
      </c>
      <c r="AD163" s="299">
        <f t="shared" si="172"/>
        <v>919.50006854717333</v>
      </c>
      <c r="AE163" s="299">
        <f t="shared" si="172"/>
        <v>919.50006854717333</v>
      </c>
      <c r="AF163" s="299">
        <f t="shared" si="172"/>
        <v>919.50006854717333</v>
      </c>
      <c r="AG163" s="299">
        <f t="shared" si="172"/>
        <v>919.50006854717333</v>
      </c>
      <c r="AH163" s="299">
        <f t="shared" si="172"/>
        <v>919.50006854717333</v>
      </c>
      <c r="AI163" s="299">
        <f t="shared" si="172"/>
        <v>769.33476321383989</v>
      </c>
      <c r="AJ163" s="299">
        <f t="shared" si="172"/>
        <v>762.28556572091998</v>
      </c>
      <c r="AK163" s="299">
        <f t="shared" si="172"/>
        <v>315.33907160427998</v>
      </c>
      <c r="AL163" s="299">
        <f t="shared" si="172"/>
        <v>0</v>
      </c>
      <c r="AM163" s="299">
        <f t="shared" si="172"/>
        <v>0</v>
      </c>
      <c r="AN163" s="299">
        <f t="shared" si="172"/>
        <v>0</v>
      </c>
      <c r="AO163" s="299">
        <f t="shared" si="172"/>
        <v>0</v>
      </c>
      <c r="AP163" s="299">
        <f t="shared" si="172"/>
        <v>0</v>
      </c>
      <c r="AQ163" s="299">
        <f t="shared" si="172"/>
        <v>0</v>
      </c>
      <c r="AR163" s="299">
        <f t="shared" si="172"/>
        <v>0</v>
      </c>
      <c r="AS163" s="299">
        <f t="shared" si="172"/>
        <v>0</v>
      </c>
    </row>
    <row r="164" spans="1:45" ht="15" customHeight="1" x14ac:dyDescent="0.3">
      <c r="E164" s="299" t="str">
        <f xml:space="preserve"> E$155</f>
        <v>Operating costs: FS</v>
      </c>
      <c r="F164" s="299" t="str">
        <f t="shared" ref="F164:I164" si="173" xml:space="preserve"> F$155</f>
        <v>FS</v>
      </c>
      <c r="G164" s="290" t="str">
        <f t="shared" si="173"/>
        <v>$ mn</v>
      </c>
      <c r="H164" s="291">
        <f t="shared" si="173"/>
        <v>0</v>
      </c>
      <c r="I164" s="291">
        <f t="shared" si="173"/>
        <v>5671.6441637003409</v>
      </c>
      <c r="J164" s="42"/>
      <c r="K164" s="299">
        <f t="shared" ref="K164:O164" si="174" xml:space="preserve"> K$155</f>
        <v>0</v>
      </c>
      <c r="L164" s="299">
        <f t="shared" si="174"/>
        <v>0</v>
      </c>
      <c r="M164" s="299">
        <f t="shared" si="174"/>
        <v>0</v>
      </c>
      <c r="N164" s="299">
        <f t="shared" si="174"/>
        <v>0</v>
      </c>
      <c r="O164" s="299">
        <f t="shared" si="174"/>
        <v>0</v>
      </c>
      <c r="P164" s="299">
        <f t="shared" ref="P164:AS164" si="175" xml:space="preserve"> P$155</f>
        <v>0</v>
      </c>
      <c r="Q164" s="299">
        <f t="shared" si="175"/>
        <v>0</v>
      </c>
      <c r="R164" s="299">
        <f t="shared" si="175"/>
        <v>0</v>
      </c>
      <c r="S164" s="299">
        <f t="shared" si="175"/>
        <v>0</v>
      </c>
      <c r="T164" s="299">
        <f t="shared" si="175"/>
        <v>0</v>
      </c>
      <c r="U164" s="299">
        <f t="shared" si="175"/>
        <v>0</v>
      </c>
      <c r="V164" s="299">
        <f t="shared" si="175"/>
        <v>58.864257899999998</v>
      </c>
      <c r="W164" s="299">
        <f t="shared" si="175"/>
        <v>128.08996202999998</v>
      </c>
      <c r="X164" s="299">
        <f t="shared" si="175"/>
        <v>177.35473410956803</v>
      </c>
      <c r="Y164" s="299">
        <f t="shared" si="175"/>
        <v>188.68425724392</v>
      </c>
      <c r="Z164" s="299">
        <f t="shared" si="175"/>
        <v>241.54856744211202</v>
      </c>
      <c r="AA164" s="299">
        <f t="shared" si="175"/>
        <v>479.85668416247591</v>
      </c>
      <c r="AB164" s="299">
        <f t="shared" si="175"/>
        <v>462.19492135447194</v>
      </c>
      <c r="AC164" s="299">
        <f t="shared" si="175"/>
        <v>468.16242827194935</v>
      </c>
      <c r="AD164" s="299">
        <f t="shared" si="175"/>
        <v>468.16242827194935</v>
      </c>
      <c r="AE164" s="299">
        <f t="shared" si="175"/>
        <v>468.16242827194935</v>
      </c>
      <c r="AF164" s="299">
        <f t="shared" si="175"/>
        <v>468.16242827194935</v>
      </c>
      <c r="AG164" s="299">
        <f t="shared" si="175"/>
        <v>468.16242827194935</v>
      </c>
      <c r="AH164" s="299">
        <f t="shared" si="175"/>
        <v>468.16242827194935</v>
      </c>
      <c r="AI164" s="299">
        <f t="shared" si="175"/>
        <v>473.41821395861609</v>
      </c>
      <c r="AJ164" s="299">
        <f t="shared" si="175"/>
        <v>424.92129370790803</v>
      </c>
      <c r="AK164" s="299">
        <f t="shared" si="175"/>
        <v>227.73670215957202</v>
      </c>
      <c r="AL164" s="299">
        <f t="shared" si="175"/>
        <v>0</v>
      </c>
      <c r="AM164" s="299">
        <f t="shared" si="175"/>
        <v>0</v>
      </c>
      <c r="AN164" s="299">
        <f t="shared" si="175"/>
        <v>0</v>
      </c>
      <c r="AO164" s="299">
        <f t="shared" si="175"/>
        <v>0</v>
      </c>
      <c r="AP164" s="299">
        <f t="shared" si="175"/>
        <v>0</v>
      </c>
      <c r="AQ164" s="299">
        <f t="shared" si="175"/>
        <v>0</v>
      </c>
      <c r="AR164" s="299">
        <f t="shared" si="175"/>
        <v>0</v>
      </c>
      <c r="AS164" s="299">
        <f t="shared" si="175"/>
        <v>0</v>
      </c>
    </row>
    <row r="165" spans="1:45" ht="15" customHeight="1" x14ac:dyDescent="0.3">
      <c r="E165" s="300" t="str">
        <f xml:space="preserve"> E$160</f>
        <v>Capital costs: FS</v>
      </c>
      <c r="F165" s="300" t="str">
        <f t="shared" ref="F165:I165" si="176" xml:space="preserve"> F$160</f>
        <v>FS</v>
      </c>
      <c r="G165" s="300" t="str">
        <f t="shared" si="176"/>
        <v>$ mn</v>
      </c>
      <c r="H165" s="300">
        <f t="shared" si="176"/>
        <v>0</v>
      </c>
      <c r="I165" s="300">
        <f t="shared" si="176"/>
        <v>824.72191894000002</v>
      </c>
      <c r="J165" s="42"/>
      <c r="K165" s="300">
        <f t="shared" ref="K165:O165" si="177" xml:space="preserve"> K$160</f>
        <v>0</v>
      </c>
      <c r="L165" s="300">
        <f t="shared" si="177"/>
        <v>0</v>
      </c>
      <c r="M165" s="300">
        <f t="shared" si="177"/>
        <v>0</v>
      </c>
      <c r="N165" s="300">
        <f t="shared" si="177"/>
        <v>0</v>
      </c>
      <c r="O165" s="300">
        <f t="shared" si="177"/>
        <v>0</v>
      </c>
      <c r="P165" s="300">
        <f t="shared" ref="P165:AS165" si="178" xml:space="preserve"> P$160</f>
        <v>0</v>
      </c>
      <c r="Q165" s="300">
        <f t="shared" si="178"/>
        <v>0</v>
      </c>
      <c r="R165" s="300">
        <f t="shared" si="178"/>
        <v>0</v>
      </c>
      <c r="S165" s="300">
        <f t="shared" si="178"/>
        <v>0</v>
      </c>
      <c r="T165" s="300">
        <f t="shared" si="178"/>
        <v>0</v>
      </c>
      <c r="U165" s="300">
        <f t="shared" si="178"/>
        <v>0</v>
      </c>
      <c r="V165" s="300">
        <f t="shared" si="178"/>
        <v>245.02819335000001</v>
      </c>
      <c r="W165" s="300">
        <f t="shared" si="178"/>
        <v>111.33372773000001</v>
      </c>
      <c r="X165" s="300">
        <f t="shared" si="178"/>
        <v>148.28970892000001</v>
      </c>
      <c r="Y165" s="300">
        <f t="shared" si="178"/>
        <v>4.7877627</v>
      </c>
      <c r="Z165" s="300">
        <f t="shared" si="178"/>
        <v>81.812290399999995</v>
      </c>
      <c r="AA165" s="300">
        <f t="shared" si="178"/>
        <v>100.30613584</v>
      </c>
      <c r="AB165" s="300">
        <f t="shared" si="178"/>
        <v>99.765600000000006</v>
      </c>
      <c r="AC165" s="300">
        <f t="shared" si="178"/>
        <v>33.398499999999999</v>
      </c>
      <c r="AD165" s="300">
        <f t="shared" si="178"/>
        <v>0</v>
      </c>
      <c r="AE165" s="300">
        <f t="shared" si="178"/>
        <v>0</v>
      </c>
      <c r="AF165" s="300">
        <f t="shared" si="178"/>
        <v>0</v>
      </c>
      <c r="AG165" s="300">
        <f t="shared" si="178"/>
        <v>0</v>
      </c>
      <c r="AH165" s="300">
        <f t="shared" si="178"/>
        <v>0</v>
      </c>
      <c r="AI165" s="300">
        <f t="shared" si="178"/>
        <v>0</v>
      </c>
      <c r="AJ165" s="300">
        <f t="shared" si="178"/>
        <v>0</v>
      </c>
      <c r="AK165" s="300">
        <f t="shared" si="178"/>
        <v>0</v>
      </c>
      <c r="AL165" s="300">
        <f t="shared" si="178"/>
        <v>0</v>
      </c>
      <c r="AM165" s="300">
        <f t="shared" si="178"/>
        <v>0</v>
      </c>
      <c r="AN165" s="300">
        <f t="shared" si="178"/>
        <v>0</v>
      </c>
      <c r="AO165" s="300">
        <f t="shared" si="178"/>
        <v>0</v>
      </c>
      <c r="AP165" s="300">
        <f t="shared" si="178"/>
        <v>0</v>
      </c>
      <c r="AQ165" s="300">
        <f t="shared" si="178"/>
        <v>0</v>
      </c>
      <c r="AR165" s="300">
        <f t="shared" si="178"/>
        <v>0</v>
      </c>
      <c r="AS165" s="300">
        <f t="shared" si="178"/>
        <v>0</v>
      </c>
    </row>
    <row r="166" spans="1:45" ht="15" customHeight="1" x14ac:dyDescent="0.3">
      <c r="A166" s="303"/>
      <c r="B166" s="303"/>
      <c r="C166" s="304"/>
      <c r="D166" s="305"/>
      <c r="E166" s="305" t="s">
        <v>442</v>
      </c>
      <c r="F166" s="308"/>
      <c r="G166" s="305" t="s">
        <v>346</v>
      </c>
      <c r="H166" s="307"/>
      <c r="I166" s="307">
        <f>SUM(K166:AS166)</f>
        <v>5413.8090778562582</v>
      </c>
      <c r="J166" s="42"/>
      <c r="K166" s="308">
        <f t="shared" ref="K166:O166" si="179">K163 - K164 - K165</f>
        <v>0</v>
      </c>
      <c r="L166" s="308">
        <f t="shared" si="179"/>
        <v>0</v>
      </c>
      <c r="M166" s="308">
        <f t="shared" si="179"/>
        <v>0</v>
      </c>
      <c r="N166" s="308">
        <f t="shared" si="179"/>
        <v>0</v>
      </c>
      <c r="O166" s="308">
        <f t="shared" si="179"/>
        <v>0</v>
      </c>
      <c r="P166" s="308">
        <f t="shared" ref="P166:R166" si="180">P163 - P164 - P165</f>
        <v>0</v>
      </c>
      <c r="Q166" s="308">
        <f t="shared" si="180"/>
        <v>0</v>
      </c>
      <c r="R166" s="308">
        <f t="shared" si="180"/>
        <v>0</v>
      </c>
      <c r="S166" s="308">
        <f>S163 - S164 - S165</f>
        <v>0</v>
      </c>
      <c r="T166" s="308">
        <f t="shared" ref="T166:AP166" si="181">T163 - T164 - T165</f>
        <v>0</v>
      </c>
      <c r="U166" s="308">
        <f t="shared" si="181"/>
        <v>0</v>
      </c>
      <c r="V166" s="308">
        <f t="shared" si="181"/>
        <v>-199.21184625000001</v>
      </c>
      <c r="W166" s="308">
        <f t="shared" si="181"/>
        <v>35.698418240000038</v>
      </c>
      <c r="X166" s="308">
        <f t="shared" si="181"/>
        <v>108.687376474752</v>
      </c>
      <c r="Y166" s="308">
        <f t="shared" si="181"/>
        <v>475.24257866688009</v>
      </c>
      <c r="Z166" s="308">
        <f t="shared" si="181"/>
        <v>795.33819643676793</v>
      </c>
      <c r="AA166" s="308">
        <f t="shared" si="181"/>
        <v>462.71572002276412</v>
      </c>
      <c r="AB166" s="308">
        <f t="shared" si="181"/>
        <v>339.82810190080801</v>
      </c>
      <c r="AC166" s="308">
        <f t="shared" si="181"/>
        <v>417.93914027522396</v>
      </c>
      <c r="AD166" s="308">
        <f t="shared" si="181"/>
        <v>451.33764027522398</v>
      </c>
      <c r="AE166" s="308">
        <f t="shared" si="181"/>
        <v>451.33764027522398</v>
      </c>
      <c r="AF166" s="308">
        <f t="shared" si="181"/>
        <v>451.33764027522398</v>
      </c>
      <c r="AG166" s="308">
        <f t="shared" si="181"/>
        <v>451.33764027522398</v>
      </c>
      <c r="AH166" s="308">
        <f t="shared" si="181"/>
        <v>451.33764027522398</v>
      </c>
      <c r="AI166" s="308">
        <f t="shared" si="181"/>
        <v>295.9165492552238</v>
      </c>
      <c r="AJ166" s="308">
        <f t="shared" si="181"/>
        <v>337.36427201301194</v>
      </c>
      <c r="AK166" s="308">
        <f t="shared" si="181"/>
        <v>87.602369444707961</v>
      </c>
      <c r="AL166" s="308">
        <f t="shared" si="181"/>
        <v>0</v>
      </c>
      <c r="AM166" s="308">
        <f t="shared" si="181"/>
        <v>0</v>
      </c>
      <c r="AN166" s="308">
        <f t="shared" si="181"/>
        <v>0</v>
      </c>
      <c r="AO166" s="308">
        <f t="shared" si="181"/>
        <v>0</v>
      </c>
      <c r="AP166" s="308">
        <f t="shared" si="181"/>
        <v>0</v>
      </c>
      <c r="AQ166" s="308">
        <f t="shared" ref="AQ166:AS166" si="182">AQ163 - AQ164 - AQ165</f>
        <v>0</v>
      </c>
      <c r="AR166" s="308">
        <f t="shared" si="182"/>
        <v>0</v>
      </c>
      <c r="AS166" s="308">
        <f t="shared" si="182"/>
        <v>0</v>
      </c>
    </row>
    <row r="167" spans="1:45" ht="15" customHeight="1" x14ac:dyDescent="0.3">
      <c r="A167" s="310"/>
      <c r="B167" s="310"/>
      <c r="C167" s="311"/>
      <c r="D167" s="312"/>
      <c r="E167" s="312"/>
      <c r="F167" s="299"/>
      <c r="G167" s="312"/>
      <c r="H167" s="314"/>
      <c r="I167" s="314"/>
      <c r="J167" s="42"/>
      <c r="K167" s="299"/>
      <c r="L167" s="299"/>
      <c r="M167" s="299"/>
      <c r="N167" s="299"/>
      <c r="O167" s="299"/>
      <c r="P167" s="299"/>
      <c r="Q167" s="299"/>
      <c r="R167" s="299"/>
      <c r="S167" s="299"/>
      <c r="T167" s="299"/>
      <c r="U167" s="299"/>
      <c r="V167" s="299"/>
      <c r="W167" s="299"/>
      <c r="X167" s="299"/>
      <c r="Y167" s="299"/>
      <c r="Z167" s="299"/>
      <c r="AA167" s="299"/>
      <c r="AB167" s="299"/>
      <c r="AC167" s="299"/>
      <c r="AD167" s="299"/>
      <c r="AE167" s="299"/>
      <c r="AF167" s="299"/>
      <c r="AG167" s="299"/>
      <c r="AH167" s="299"/>
      <c r="AI167" s="299"/>
      <c r="AJ167" s="299"/>
      <c r="AK167" s="299"/>
      <c r="AL167" s="299"/>
      <c r="AM167" s="299"/>
      <c r="AN167" s="299"/>
      <c r="AO167" s="299"/>
      <c r="AP167" s="299"/>
      <c r="AQ167" s="299"/>
      <c r="AR167" s="299"/>
      <c r="AS167" s="299"/>
    </row>
    <row r="168" spans="1:45" ht="15" customHeight="1" x14ac:dyDescent="0.3">
      <c r="A168" s="112"/>
      <c r="B168" s="112"/>
      <c r="C168" s="113" t="s">
        <v>443</v>
      </c>
      <c r="D168" s="42"/>
      <c r="E168" s="88"/>
      <c r="F168" s="72"/>
      <c r="G168" s="88"/>
      <c r="H168" s="88"/>
      <c r="I168" s="88"/>
      <c r="J168" s="42"/>
      <c r="K168" s="338"/>
      <c r="L168" s="338"/>
      <c r="M168" s="338"/>
      <c r="N168" s="338"/>
      <c r="O168" s="338"/>
      <c r="P168" s="338"/>
      <c r="Q168" s="338"/>
      <c r="R168" s="338"/>
      <c r="S168" s="338"/>
      <c r="T168" s="338"/>
      <c r="U168" s="338"/>
      <c r="V168" s="338"/>
      <c r="W168" s="338"/>
      <c r="X168" s="338"/>
      <c r="Y168" s="338"/>
      <c r="Z168" s="338"/>
      <c r="AA168" s="338"/>
      <c r="AB168" s="338"/>
      <c r="AC168" s="338"/>
      <c r="AD168" s="338"/>
      <c r="AE168" s="338"/>
      <c r="AF168" s="338"/>
      <c r="AG168" s="338"/>
      <c r="AH168" s="338"/>
      <c r="AI168" s="338"/>
      <c r="AJ168" s="338"/>
      <c r="AK168" s="42"/>
      <c r="AL168" s="42"/>
      <c r="AM168" s="42"/>
      <c r="AN168" s="42"/>
      <c r="AO168" s="42"/>
      <c r="AP168" s="42"/>
      <c r="AQ168" s="42"/>
      <c r="AR168" s="42"/>
      <c r="AS168" s="42"/>
    </row>
    <row r="169" spans="1:45" ht="15" customHeight="1" x14ac:dyDescent="0.3">
      <c r="A169" s="112"/>
      <c r="B169" s="112"/>
      <c r="C169" s="113"/>
      <c r="D169" s="42"/>
      <c r="E169" s="339" t="str">
        <f xml:space="preserve"> E$166</f>
        <v>Cashflow before fiscal regime</v>
      </c>
      <c r="F169" s="339">
        <f t="shared" ref="F169:O169" si="183" xml:space="preserve"> F$166</f>
        <v>0</v>
      </c>
      <c r="G169" s="339" t="str">
        <f t="shared" si="183"/>
        <v>$ mn</v>
      </c>
      <c r="H169" s="339">
        <f t="shared" si="183"/>
        <v>0</v>
      </c>
      <c r="I169" s="339">
        <f t="shared" si="183"/>
        <v>5413.8090778562582</v>
      </c>
      <c r="J169" s="339">
        <f t="shared" si="183"/>
        <v>0</v>
      </c>
      <c r="K169" s="339">
        <f t="shared" si="183"/>
        <v>0</v>
      </c>
      <c r="L169" s="339">
        <f t="shared" si="183"/>
        <v>0</v>
      </c>
      <c r="M169" s="339">
        <f t="shared" si="183"/>
        <v>0</v>
      </c>
      <c r="N169" s="339">
        <f t="shared" si="183"/>
        <v>0</v>
      </c>
      <c r="O169" s="339">
        <f t="shared" si="183"/>
        <v>0</v>
      </c>
      <c r="P169" s="339">
        <f t="shared" ref="P169:AS169" si="184" xml:space="preserve"> P$166</f>
        <v>0</v>
      </c>
      <c r="Q169" s="339">
        <f t="shared" si="184"/>
        <v>0</v>
      </c>
      <c r="R169" s="339">
        <f t="shared" si="184"/>
        <v>0</v>
      </c>
      <c r="S169" s="339">
        <f t="shared" si="184"/>
        <v>0</v>
      </c>
      <c r="T169" s="339">
        <f t="shared" si="184"/>
        <v>0</v>
      </c>
      <c r="U169" s="339">
        <f t="shared" si="184"/>
        <v>0</v>
      </c>
      <c r="V169" s="339">
        <f t="shared" si="184"/>
        <v>-199.21184625000001</v>
      </c>
      <c r="W169" s="339">
        <f t="shared" si="184"/>
        <v>35.698418240000038</v>
      </c>
      <c r="X169" s="339">
        <f t="shared" si="184"/>
        <v>108.687376474752</v>
      </c>
      <c r="Y169" s="339">
        <f t="shared" si="184"/>
        <v>475.24257866688009</v>
      </c>
      <c r="Z169" s="339">
        <f t="shared" si="184"/>
        <v>795.33819643676793</v>
      </c>
      <c r="AA169" s="339">
        <f t="shared" si="184"/>
        <v>462.71572002276412</v>
      </c>
      <c r="AB169" s="339">
        <f t="shared" si="184"/>
        <v>339.82810190080801</v>
      </c>
      <c r="AC169" s="339">
        <f t="shared" si="184"/>
        <v>417.93914027522396</v>
      </c>
      <c r="AD169" s="339">
        <f t="shared" si="184"/>
        <v>451.33764027522398</v>
      </c>
      <c r="AE169" s="339">
        <f t="shared" si="184"/>
        <v>451.33764027522398</v>
      </c>
      <c r="AF169" s="339">
        <f t="shared" si="184"/>
        <v>451.33764027522398</v>
      </c>
      <c r="AG169" s="339">
        <f t="shared" si="184"/>
        <v>451.33764027522398</v>
      </c>
      <c r="AH169" s="339">
        <f t="shared" si="184"/>
        <v>451.33764027522398</v>
      </c>
      <c r="AI169" s="339">
        <f t="shared" si="184"/>
        <v>295.9165492552238</v>
      </c>
      <c r="AJ169" s="339">
        <f t="shared" si="184"/>
        <v>337.36427201301194</v>
      </c>
      <c r="AK169" s="339">
        <f t="shared" si="184"/>
        <v>87.602369444707961</v>
      </c>
      <c r="AL169" s="339">
        <f t="shared" si="184"/>
        <v>0</v>
      </c>
      <c r="AM169" s="339">
        <f t="shared" si="184"/>
        <v>0</v>
      </c>
      <c r="AN169" s="339">
        <f t="shared" si="184"/>
        <v>0</v>
      </c>
      <c r="AO169" s="339">
        <f t="shared" si="184"/>
        <v>0</v>
      </c>
      <c r="AP169" s="339">
        <f t="shared" si="184"/>
        <v>0</v>
      </c>
      <c r="AQ169" s="339">
        <f t="shared" si="184"/>
        <v>0</v>
      </c>
      <c r="AR169" s="339">
        <f t="shared" si="184"/>
        <v>0</v>
      </c>
      <c r="AS169" s="339">
        <f t="shared" si="184"/>
        <v>0</v>
      </c>
    </row>
    <row r="170" spans="1:45" ht="15" customHeight="1" x14ac:dyDescent="0.3">
      <c r="A170" s="112"/>
      <c r="B170" s="112"/>
      <c r="C170" s="113"/>
      <c r="D170" s="42"/>
      <c r="E170" s="340" t="str">
        <f xml:space="preserve"> E$141</f>
        <v>Surface rights</v>
      </c>
      <c r="F170" s="340">
        <f t="shared" ref="F170:O170" si="185" xml:space="preserve"> F$141</f>
        <v>64</v>
      </c>
      <c r="G170" s="340" t="str">
        <f t="shared" si="185"/>
        <v>$ mn</v>
      </c>
      <c r="H170" s="340" t="str">
        <f t="shared" si="185"/>
        <v>M</v>
      </c>
      <c r="I170" s="340">
        <f t="shared" si="185"/>
        <v>64</v>
      </c>
      <c r="J170" s="340">
        <f t="shared" si="185"/>
        <v>0</v>
      </c>
      <c r="K170" s="339">
        <f t="shared" si="185"/>
        <v>0</v>
      </c>
      <c r="L170" s="339">
        <f t="shared" si="185"/>
        <v>0</v>
      </c>
      <c r="M170" s="339">
        <f t="shared" si="185"/>
        <v>0</v>
      </c>
      <c r="N170" s="339">
        <f t="shared" si="185"/>
        <v>0</v>
      </c>
      <c r="O170" s="339">
        <f t="shared" si="185"/>
        <v>0</v>
      </c>
      <c r="P170" s="339">
        <f t="shared" ref="P170:AS170" si="186" xml:space="preserve"> P$141</f>
        <v>0</v>
      </c>
      <c r="Q170" s="339">
        <f t="shared" si="186"/>
        <v>0</v>
      </c>
      <c r="R170" s="339">
        <f t="shared" si="186"/>
        <v>0</v>
      </c>
      <c r="S170" s="339">
        <f t="shared" si="186"/>
        <v>0</v>
      </c>
      <c r="T170" s="339">
        <f t="shared" si="186"/>
        <v>0</v>
      </c>
      <c r="U170" s="339">
        <f t="shared" si="186"/>
        <v>0</v>
      </c>
      <c r="V170" s="339">
        <f t="shared" si="186"/>
        <v>4</v>
      </c>
      <c r="W170" s="339">
        <f t="shared" si="186"/>
        <v>4</v>
      </c>
      <c r="X170" s="339">
        <f t="shared" si="186"/>
        <v>4</v>
      </c>
      <c r="Y170" s="339">
        <f t="shared" si="186"/>
        <v>4</v>
      </c>
      <c r="Z170" s="339">
        <f t="shared" si="186"/>
        <v>4</v>
      </c>
      <c r="AA170" s="339">
        <f t="shared" si="186"/>
        <v>4</v>
      </c>
      <c r="AB170" s="339">
        <f t="shared" si="186"/>
        <v>4</v>
      </c>
      <c r="AC170" s="339">
        <f t="shared" si="186"/>
        <v>4</v>
      </c>
      <c r="AD170" s="339">
        <f t="shared" si="186"/>
        <v>4</v>
      </c>
      <c r="AE170" s="339">
        <f t="shared" si="186"/>
        <v>4</v>
      </c>
      <c r="AF170" s="339">
        <f t="shared" si="186"/>
        <v>4</v>
      </c>
      <c r="AG170" s="339">
        <f t="shared" si="186"/>
        <v>4</v>
      </c>
      <c r="AH170" s="339">
        <f t="shared" si="186"/>
        <v>4</v>
      </c>
      <c r="AI170" s="339">
        <f t="shared" si="186"/>
        <v>4</v>
      </c>
      <c r="AJ170" s="339">
        <f t="shared" si="186"/>
        <v>4</v>
      </c>
      <c r="AK170" s="339">
        <f t="shared" si="186"/>
        <v>4</v>
      </c>
      <c r="AL170" s="339">
        <f t="shared" si="186"/>
        <v>0</v>
      </c>
      <c r="AM170" s="339">
        <f t="shared" si="186"/>
        <v>0</v>
      </c>
      <c r="AN170" s="339">
        <f t="shared" si="186"/>
        <v>0</v>
      </c>
      <c r="AO170" s="339">
        <f t="shared" si="186"/>
        <v>0</v>
      </c>
      <c r="AP170" s="339">
        <f t="shared" si="186"/>
        <v>0</v>
      </c>
      <c r="AQ170" s="339">
        <f t="shared" si="186"/>
        <v>0</v>
      </c>
      <c r="AR170" s="339">
        <f t="shared" si="186"/>
        <v>0</v>
      </c>
      <c r="AS170" s="339">
        <f t="shared" si="186"/>
        <v>0</v>
      </c>
    </row>
    <row r="171" spans="1:45" ht="15" customHeight="1" x14ac:dyDescent="0.3">
      <c r="A171" s="112"/>
      <c r="B171" s="112"/>
      <c r="C171" s="113"/>
      <c r="D171" s="42"/>
      <c r="E171" s="340" t="str">
        <f xml:space="preserve"> E$142</f>
        <v>Entry fee</v>
      </c>
      <c r="F171" s="340">
        <f t="shared" ref="F171:O171" si="187" xml:space="preserve"> F$142</f>
        <v>15.164</v>
      </c>
      <c r="G171" s="340" t="str">
        <f t="shared" si="187"/>
        <v>$ mn</v>
      </c>
      <c r="H171" s="340" t="str">
        <f t="shared" si="187"/>
        <v>M</v>
      </c>
      <c r="I171" s="340">
        <f t="shared" si="187"/>
        <v>15.164000000000001</v>
      </c>
      <c r="J171" s="340">
        <f t="shared" si="187"/>
        <v>0</v>
      </c>
      <c r="K171" s="339">
        <f t="shared" si="187"/>
        <v>0</v>
      </c>
      <c r="L171" s="339">
        <f t="shared" si="187"/>
        <v>0</v>
      </c>
      <c r="M171" s="339">
        <f t="shared" si="187"/>
        <v>0</v>
      </c>
      <c r="N171" s="339">
        <f t="shared" si="187"/>
        <v>0</v>
      </c>
      <c r="O171" s="339">
        <f t="shared" si="187"/>
        <v>0</v>
      </c>
      <c r="P171" s="339">
        <f t="shared" ref="P171:AS171" si="188" xml:space="preserve"> P$142</f>
        <v>0</v>
      </c>
      <c r="Q171" s="339">
        <f t="shared" si="188"/>
        <v>0</v>
      </c>
      <c r="R171" s="339">
        <f t="shared" si="188"/>
        <v>0</v>
      </c>
      <c r="S171" s="339">
        <f t="shared" si="188"/>
        <v>0</v>
      </c>
      <c r="T171" s="339">
        <f t="shared" si="188"/>
        <v>0</v>
      </c>
      <c r="U171" s="339">
        <f t="shared" si="188"/>
        <v>0</v>
      </c>
      <c r="V171" s="339">
        <f t="shared" si="188"/>
        <v>9.0980000000000008</v>
      </c>
      <c r="W171" s="339">
        <f t="shared" si="188"/>
        <v>6.0659999999999998</v>
      </c>
      <c r="X171" s="339">
        <f t="shared" si="188"/>
        <v>0</v>
      </c>
      <c r="Y171" s="339">
        <f t="shared" si="188"/>
        <v>0</v>
      </c>
      <c r="Z171" s="339">
        <f t="shared" si="188"/>
        <v>0</v>
      </c>
      <c r="AA171" s="339">
        <f t="shared" si="188"/>
        <v>0</v>
      </c>
      <c r="AB171" s="339">
        <f t="shared" si="188"/>
        <v>0</v>
      </c>
      <c r="AC171" s="339">
        <f t="shared" si="188"/>
        <v>0</v>
      </c>
      <c r="AD171" s="339">
        <f t="shared" si="188"/>
        <v>0</v>
      </c>
      <c r="AE171" s="339">
        <f t="shared" si="188"/>
        <v>0</v>
      </c>
      <c r="AF171" s="339">
        <f t="shared" si="188"/>
        <v>0</v>
      </c>
      <c r="AG171" s="339">
        <f t="shared" si="188"/>
        <v>0</v>
      </c>
      <c r="AH171" s="339">
        <f t="shared" si="188"/>
        <v>0</v>
      </c>
      <c r="AI171" s="339">
        <f t="shared" si="188"/>
        <v>0</v>
      </c>
      <c r="AJ171" s="339">
        <f t="shared" si="188"/>
        <v>0</v>
      </c>
      <c r="AK171" s="339">
        <f t="shared" si="188"/>
        <v>0</v>
      </c>
      <c r="AL171" s="339">
        <f t="shared" si="188"/>
        <v>0</v>
      </c>
      <c r="AM171" s="339">
        <f t="shared" si="188"/>
        <v>0</v>
      </c>
      <c r="AN171" s="339">
        <f t="shared" si="188"/>
        <v>0</v>
      </c>
      <c r="AO171" s="339">
        <f t="shared" si="188"/>
        <v>0</v>
      </c>
      <c r="AP171" s="339">
        <f t="shared" si="188"/>
        <v>0</v>
      </c>
      <c r="AQ171" s="339">
        <f t="shared" si="188"/>
        <v>0</v>
      </c>
      <c r="AR171" s="339">
        <f t="shared" si="188"/>
        <v>0</v>
      </c>
      <c r="AS171" s="339">
        <f t="shared" si="188"/>
        <v>0</v>
      </c>
    </row>
    <row r="172" spans="1:45" ht="15" customHeight="1" x14ac:dyDescent="0.3">
      <c r="A172" s="112"/>
      <c r="B172" s="112"/>
      <c r="C172" s="113"/>
      <c r="D172" s="42"/>
      <c r="E172" s="340" t="str">
        <f xml:space="preserve"> E$143</f>
        <v>Mining concession tax</v>
      </c>
      <c r="F172" s="340">
        <f t="shared" ref="F172:O172" si="189" xml:space="preserve"> F$143</f>
        <v>106.309</v>
      </c>
      <c r="G172" s="340" t="str">
        <f t="shared" si="189"/>
        <v>$ mn</v>
      </c>
      <c r="H172" s="340" t="str">
        <f t="shared" si="189"/>
        <v>M</v>
      </c>
      <c r="I172" s="340">
        <f t="shared" si="189"/>
        <v>106.30400000000003</v>
      </c>
      <c r="J172" s="340">
        <f t="shared" si="189"/>
        <v>0</v>
      </c>
      <c r="K172" s="339">
        <f t="shared" si="189"/>
        <v>0</v>
      </c>
      <c r="L172" s="339">
        <f t="shared" si="189"/>
        <v>0</v>
      </c>
      <c r="M172" s="339">
        <f t="shared" si="189"/>
        <v>0</v>
      </c>
      <c r="N172" s="339">
        <f t="shared" si="189"/>
        <v>0</v>
      </c>
      <c r="O172" s="339">
        <f t="shared" si="189"/>
        <v>0</v>
      </c>
      <c r="P172" s="339">
        <f t="shared" ref="P172:AS172" si="190" xml:space="preserve"> P$143</f>
        <v>0</v>
      </c>
      <c r="Q172" s="339">
        <f t="shared" si="190"/>
        <v>0</v>
      </c>
      <c r="R172" s="339">
        <f t="shared" si="190"/>
        <v>0</v>
      </c>
      <c r="S172" s="339">
        <f t="shared" si="190"/>
        <v>0</v>
      </c>
      <c r="T172" s="339">
        <f t="shared" si="190"/>
        <v>0</v>
      </c>
      <c r="U172" s="339">
        <f t="shared" si="190"/>
        <v>0</v>
      </c>
      <c r="V172" s="339">
        <f t="shared" si="190"/>
        <v>6.6440000000000001</v>
      </c>
      <c r="W172" s="339">
        <f t="shared" si="190"/>
        <v>6.6440000000000001</v>
      </c>
      <c r="X172" s="339">
        <f t="shared" si="190"/>
        <v>6.6440000000000001</v>
      </c>
      <c r="Y172" s="339">
        <f t="shared" si="190"/>
        <v>6.6440000000000001</v>
      </c>
      <c r="Z172" s="339">
        <f t="shared" si="190"/>
        <v>6.6440000000000001</v>
      </c>
      <c r="AA172" s="339">
        <f t="shared" si="190"/>
        <v>6.6440000000000001</v>
      </c>
      <c r="AB172" s="339">
        <f t="shared" si="190"/>
        <v>6.6440000000000001</v>
      </c>
      <c r="AC172" s="339">
        <f t="shared" si="190"/>
        <v>6.6440000000000001</v>
      </c>
      <c r="AD172" s="339">
        <f t="shared" si="190"/>
        <v>6.6440000000000001</v>
      </c>
      <c r="AE172" s="339">
        <f t="shared" si="190"/>
        <v>6.6440000000000001</v>
      </c>
      <c r="AF172" s="339">
        <f t="shared" si="190"/>
        <v>6.6440000000000001</v>
      </c>
      <c r="AG172" s="339">
        <f t="shared" si="190"/>
        <v>6.6440000000000001</v>
      </c>
      <c r="AH172" s="339">
        <f t="shared" si="190"/>
        <v>6.6440000000000001</v>
      </c>
      <c r="AI172" s="339">
        <f t="shared" si="190"/>
        <v>6.6440000000000001</v>
      </c>
      <c r="AJ172" s="339">
        <f t="shared" si="190"/>
        <v>6.6440000000000001</v>
      </c>
      <c r="AK172" s="339">
        <f t="shared" si="190"/>
        <v>6.6440000000000001</v>
      </c>
      <c r="AL172" s="339">
        <f t="shared" si="190"/>
        <v>0</v>
      </c>
      <c r="AM172" s="339">
        <f t="shared" si="190"/>
        <v>0</v>
      </c>
      <c r="AN172" s="339">
        <f t="shared" si="190"/>
        <v>0</v>
      </c>
      <c r="AO172" s="339">
        <f t="shared" si="190"/>
        <v>0</v>
      </c>
      <c r="AP172" s="339">
        <f t="shared" si="190"/>
        <v>0</v>
      </c>
      <c r="AQ172" s="339">
        <f t="shared" si="190"/>
        <v>0</v>
      </c>
      <c r="AR172" s="339">
        <f t="shared" si="190"/>
        <v>0</v>
      </c>
      <c r="AS172" s="339">
        <f t="shared" si="190"/>
        <v>0</v>
      </c>
    </row>
    <row r="173" spans="1:45" ht="15" customHeight="1" x14ac:dyDescent="0.3">
      <c r="A173" s="112"/>
      <c r="B173" s="112"/>
      <c r="C173" s="113"/>
      <c r="D173" s="42"/>
      <c r="E173" s="340" t="str">
        <f xml:space="preserve"> E$144</f>
        <v>Royalties and Fees for export services</v>
      </c>
      <c r="F173" s="340">
        <f t="shared" ref="F173:O173" si="191" xml:space="preserve"> F$144</f>
        <v>119.10599999999999</v>
      </c>
      <c r="G173" s="340" t="str">
        <f t="shared" si="191"/>
        <v>$ mn</v>
      </c>
      <c r="H173" s="340" t="str">
        <f t="shared" si="191"/>
        <v>M</v>
      </c>
      <c r="I173" s="340">
        <f t="shared" si="191"/>
        <v>119.22500000000001</v>
      </c>
      <c r="J173" s="340">
        <f t="shared" si="191"/>
        <v>0</v>
      </c>
      <c r="K173" s="339">
        <f t="shared" si="191"/>
        <v>0</v>
      </c>
      <c r="L173" s="339">
        <f t="shared" si="191"/>
        <v>0</v>
      </c>
      <c r="M173" s="339">
        <f t="shared" si="191"/>
        <v>0</v>
      </c>
      <c r="N173" s="339">
        <f t="shared" si="191"/>
        <v>0</v>
      </c>
      <c r="O173" s="339">
        <f t="shared" si="191"/>
        <v>0</v>
      </c>
      <c r="P173" s="339">
        <f t="shared" ref="P173:AS173" si="192" xml:space="preserve"> P$144</f>
        <v>0</v>
      </c>
      <c r="Q173" s="339">
        <f t="shared" si="192"/>
        <v>0</v>
      </c>
      <c r="R173" s="339">
        <f t="shared" si="192"/>
        <v>0</v>
      </c>
      <c r="S173" s="339">
        <f t="shared" si="192"/>
        <v>0</v>
      </c>
      <c r="T173" s="339">
        <f t="shared" si="192"/>
        <v>0</v>
      </c>
      <c r="U173" s="339">
        <f t="shared" si="192"/>
        <v>0</v>
      </c>
      <c r="V173" s="339">
        <f t="shared" si="192"/>
        <v>1.0469999999999999</v>
      </c>
      <c r="W173" s="339">
        <f t="shared" si="192"/>
        <v>2.7509999999999999</v>
      </c>
      <c r="X173" s="339">
        <f t="shared" si="192"/>
        <v>4.3440000000000003</v>
      </c>
      <c r="Y173" s="339">
        <f t="shared" si="192"/>
        <v>6.694</v>
      </c>
      <c r="Z173" s="339">
        <f t="shared" si="192"/>
        <v>11.183999999999999</v>
      </c>
      <c r="AA173" s="339">
        <f t="shared" si="192"/>
        <v>10.429</v>
      </c>
      <c r="AB173" s="339">
        <f t="shared" si="192"/>
        <v>9</v>
      </c>
      <c r="AC173" s="339">
        <f t="shared" si="192"/>
        <v>9</v>
      </c>
      <c r="AD173" s="339">
        <f t="shared" si="192"/>
        <v>9</v>
      </c>
      <c r="AE173" s="339">
        <f t="shared" si="192"/>
        <v>9</v>
      </c>
      <c r="AF173" s="339">
        <f t="shared" si="192"/>
        <v>9</v>
      </c>
      <c r="AG173" s="339">
        <f t="shared" si="192"/>
        <v>9</v>
      </c>
      <c r="AH173" s="339">
        <f t="shared" si="192"/>
        <v>9</v>
      </c>
      <c r="AI173" s="339">
        <f t="shared" si="192"/>
        <v>9</v>
      </c>
      <c r="AJ173" s="339">
        <f t="shared" si="192"/>
        <v>7.6230000000000002</v>
      </c>
      <c r="AK173" s="339">
        <f t="shared" si="192"/>
        <v>3.153</v>
      </c>
      <c r="AL173" s="339">
        <f t="shared" si="192"/>
        <v>0</v>
      </c>
      <c r="AM173" s="339">
        <f t="shared" si="192"/>
        <v>0</v>
      </c>
      <c r="AN173" s="339">
        <f t="shared" si="192"/>
        <v>0</v>
      </c>
      <c r="AO173" s="339">
        <f t="shared" si="192"/>
        <v>0</v>
      </c>
      <c r="AP173" s="339">
        <f t="shared" si="192"/>
        <v>0</v>
      </c>
      <c r="AQ173" s="339">
        <f t="shared" si="192"/>
        <v>0</v>
      </c>
      <c r="AR173" s="339">
        <f t="shared" si="192"/>
        <v>0</v>
      </c>
      <c r="AS173" s="339">
        <f t="shared" si="192"/>
        <v>0</v>
      </c>
    </row>
    <row r="174" spans="1:45" ht="15" customHeight="1" x14ac:dyDescent="0.3">
      <c r="A174" s="112"/>
      <c r="B174" s="112"/>
      <c r="C174" s="113"/>
      <c r="D174" s="42"/>
      <c r="E174" s="340" t="str">
        <f xml:space="preserve"> E$145</f>
        <v>IPR</v>
      </c>
      <c r="F174" s="340">
        <f t="shared" ref="F174:O174" si="193" xml:space="preserve"> F$145</f>
        <v>12.8</v>
      </c>
      <c r="G174" s="340" t="str">
        <f t="shared" si="193"/>
        <v>$ mn</v>
      </c>
      <c r="H174" s="340" t="str">
        <f t="shared" si="193"/>
        <v>M</v>
      </c>
      <c r="I174" s="340">
        <f t="shared" si="193"/>
        <v>12.800000000000002</v>
      </c>
      <c r="J174" s="340">
        <f t="shared" si="193"/>
        <v>0</v>
      </c>
      <c r="K174" s="339">
        <f t="shared" si="193"/>
        <v>0</v>
      </c>
      <c r="L174" s="339">
        <f t="shared" si="193"/>
        <v>0</v>
      </c>
      <c r="M174" s="339">
        <f t="shared" si="193"/>
        <v>0</v>
      </c>
      <c r="N174" s="339">
        <f t="shared" si="193"/>
        <v>0</v>
      </c>
      <c r="O174" s="339">
        <f t="shared" si="193"/>
        <v>0</v>
      </c>
      <c r="P174" s="339">
        <f t="shared" ref="P174:AS174" si="194" xml:space="preserve"> P$145</f>
        <v>0</v>
      </c>
      <c r="Q174" s="339">
        <f t="shared" si="194"/>
        <v>0</v>
      </c>
      <c r="R174" s="339">
        <f t="shared" si="194"/>
        <v>0</v>
      </c>
      <c r="S174" s="339">
        <f t="shared" si="194"/>
        <v>0</v>
      </c>
      <c r="T174" s="339">
        <f t="shared" si="194"/>
        <v>0</v>
      </c>
      <c r="U174" s="339">
        <f t="shared" si="194"/>
        <v>0</v>
      </c>
      <c r="V174" s="339">
        <f t="shared" si="194"/>
        <v>0.8</v>
      </c>
      <c r="W174" s="339">
        <f t="shared" si="194"/>
        <v>0.8</v>
      </c>
      <c r="X174" s="339">
        <f t="shared" si="194"/>
        <v>0.8</v>
      </c>
      <c r="Y174" s="339">
        <f t="shared" si="194"/>
        <v>0.8</v>
      </c>
      <c r="Z174" s="339">
        <f t="shared" si="194"/>
        <v>0.8</v>
      </c>
      <c r="AA174" s="339">
        <f t="shared" si="194"/>
        <v>0.8</v>
      </c>
      <c r="AB174" s="339">
        <f t="shared" si="194"/>
        <v>0.8</v>
      </c>
      <c r="AC174" s="339">
        <f t="shared" si="194"/>
        <v>0.8</v>
      </c>
      <c r="AD174" s="339">
        <f t="shared" si="194"/>
        <v>0.8</v>
      </c>
      <c r="AE174" s="339">
        <f t="shared" si="194"/>
        <v>0.8</v>
      </c>
      <c r="AF174" s="339">
        <f t="shared" si="194"/>
        <v>0.8</v>
      </c>
      <c r="AG174" s="339">
        <f t="shared" si="194"/>
        <v>0.8</v>
      </c>
      <c r="AH174" s="339">
        <f t="shared" si="194"/>
        <v>0.8</v>
      </c>
      <c r="AI174" s="339">
        <f t="shared" si="194"/>
        <v>0.8</v>
      </c>
      <c r="AJ174" s="339">
        <f t="shared" si="194"/>
        <v>0.8</v>
      </c>
      <c r="AK174" s="339">
        <f t="shared" si="194"/>
        <v>0.8</v>
      </c>
      <c r="AL174" s="339">
        <f t="shared" si="194"/>
        <v>0</v>
      </c>
      <c r="AM174" s="339">
        <f t="shared" si="194"/>
        <v>0</v>
      </c>
      <c r="AN174" s="339">
        <f t="shared" si="194"/>
        <v>0</v>
      </c>
      <c r="AO174" s="339">
        <f t="shared" si="194"/>
        <v>0</v>
      </c>
      <c r="AP174" s="339">
        <f t="shared" si="194"/>
        <v>0</v>
      </c>
      <c r="AQ174" s="339">
        <f t="shared" si="194"/>
        <v>0</v>
      </c>
      <c r="AR174" s="339">
        <f t="shared" si="194"/>
        <v>0</v>
      </c>
      <c r="AS174" s="339">
        <f t="shared" si="194"/>
        <v>0</v>
      </c>
    </row>
    <row r="175" spans="1:45" ht="15" customHeight="1" x14ac:dyDescent="0.3">
      <c r="A175" s="112"/>
      <c r="B175" s="112"/>
      <c r="C175" s="113"/>
      <c r="D175" s="42"/>
      <c r="E175" s="340" t="str">
        <f xml:space="preserve"> E$146</f>
        <v>Other taxes</v>
      </c>
      <c r="F175" s="340">
        <f t="shared" ref="F175:O175" si="195" xml:space="preserve"> F$146</f>
        <v>16</v>
      </c>
      <c r="G175" s="340" t="str">
        <f t="shared" si="195"/>
        <v>$ mn</v>
      </c>
      <c r="H175" s="340" t="str">
        <f t="shared" si="195"/>
        <v>M</v>
      </c>
      <c r="I175" s="340">
        <f t="shared" si="195"/>
        <v>16</v>
      </c>
      <c r="J175" s="340">
        <f t="shared" si="195"/>
        <v>0</v>
      </c>
      <c r="K175" s="339">
        <f t="shared" si="195"/>
        <v>0</v>
      </c>
      <c r="L175" s="339">
        <f t="shared" si="195"/>
        <v>0</v>
      </c>
      <c r="M175" s="339">
        <f t="shared" si="195"/>
        <v>0</v>
      </c>
      <c r="N175" s="339">
        <f t="shared" si="195"/>
        <v>0</v>
      </c>
      <c r="O175" s="339">
        <f t="shared" si="195"/>
        <v>0</v>
      </c>
      <c r="P175" s="339">
        <f t="shared" ref="P175:AS175" si="196" xml:space="preserve"> P$146</f>
        <v>0</v>
      </c>
      <c r="Q175" s="339">
        <f t="shared" si="196"/>
        <v>0</v>
      </c>
      <c r="R175" s="339">
        <f t="shared" si="196"/>
        <v>0</v>
      </c>
      <c r="S175" s="339">
        <f t="shared" si="196"/>
        <v>0</v>
      </c>
      <c r="T175" s="339">
        <f t="shared" si="196"/>
        <v>0</v>
      </c>
      <c r="U175" s="339">
        <f t="shared" si="196"/>
        <v>0</v>
      </c>
      <c r="V175" s="339">
        <f t="shared" si="196"/>
        <v>1</v>
      </c>
      <c r="W175" s="339">
        <f t="shared" si="196"/>
        <v>1</v>
      </c>
      <c r="X175" s="339">
        <f t="shared" si="196"/>
        <v>1</v>
      </c>
      <c r="Y175" s="339">
        <f t="shared" si="196"/>
        <v>1</v>
      </c>
      <c r="Z175" s="339">
        <f t="shared" si="196"/>
        <v>1</v>
      </c>
      <c r="AA175" s="339">
        <f t="shared" si="196"/>
        <v>1</v>
      </c>
      <c r="AB175" s="339">
        <f t="shared" si="196"/>
        <v>1</v>
      </c>
      <c r="AC175" s="339">
        <f t="shared" si="196"/>
        <v>1</v>
      </c>
      <c r="AD175" s="339">
        <f t="shared" si="196"/>
        <v>1</v>
      </c>
      <c r="AE175" s="339">
        <f t="shared" si="196"/>
        <v>1</v>
      </c>
      <c r="AF175" s="339">
        <f t="shared" si="196"/>
        <v>1</v>
      </c>
      <c r="AG175" s="339">
        <f t="shared" si="196"/>
        <v>1</v>
      </c>
      <c r="AH175" s="339">
        <f t="shared" si="196"/>
        <v>1</v>
      </c>
      <c r="AI175" s="339">
        <f t="shared" si="196"/>
        <v>1</v>
      </c>
      <c r="AJ175" s="339">
        <f t="shared" si="196"/>
        <v>1</v>
      </c>
      <c r="AK175" s="339">
        <f t="shared" si="196"/>
        <v>1</v>
      </c>
      <c r="AL175" s="339">
        <f t="shared" si="196"/>
        <v>0</v>
      </c>
      <c r="AM175" s="339">
        <f t="shared" si="196"/>
        <v>0</v>
      </c>
      <c r="AN175" s="339">
        <f t="shared" si="196"/>
        <v>0</v>
      </c>
      <c r="AO175" s="339">
        <f t="shared" si="196"/>
        <v>0</v>
      </c>
      <c r="AP175" s="339">
        <f t="shared" si="196"/>
        <v>0</v>
      </c>
      <c r="AQ175" s="339">
        <f t="shared" si="196"/>
        <v>0</v>
      </c>
      <c r="AR175" s="339">
        <f t="shared" si="196"/>
        <v>0</v>
      </c>
      <c r="AS175" s="339">
        <f t="shared" si="196"/>
        <v>0</v>
      </c>
    </row>
    <row r="176" spans="1:45" ht="15" customHeight="1" x14ac:dyDescent="0.3">
      <c r="A176" s="112"/>
      <c r="B176" s="112"/>
      <c r="C176" s="113"/>
      <c r="D176" s="42"/>
      <c r="E176" s="340" t="str">
        <f xml:space="preserve"> E$147</f>
        <v>Customs duties and other taxes</v>
      </c>
      <c r="F176" s="340">
        <f t="shared" ref="F176:O176" si="197" xml:space="preserve"> F$147</f>
        <v>739.43899999999996</v>
      </c>
      <c r="G176" s="340" t="str">
        <f t="shared" si="197"/>
        <v>$ mn</v>
      </c>
      <c r="H176" s="340" t="str">
        <f t="shared" si="197"/>
        <v>M</v>
      </c>
      <c r="I176" s="340">
        <f t="shared" si="197"/>
        <v>739.43900000000031</v>
      </c>
      <c r="J176" s="340">
        <f t="shared" si="197"/>
        <v>0</v>
      </c>
      <c r="K176" s="340">
        <f t="shared" si="197"/>
        <v>0</v>
      </c>
      <c r="L176" s="340">
        <f t="shared" si="197"/>
        <v>0</v>
      </c>
      <c r="M176" s="340">
        <f t="shared" si="197"/>
        <v>0</v>
      </c>
      <c r="N176" s="340">
        <f t="shared" si="197"/>
        <v>0</v>
      </c>
      <c r="O176" s="340">
        <f t="shared" si="197"/>
        <v>0</v>
      </c>
      <c r="P176" s="340">
        <f t="shared" ref="P176:AS176" si="198" xml:space="preserve"> P$147</f>
        <v>0</v>
      </c>
      <c r="Q176" s="340">
        <f t="shared" si="198"/>
        <v>0</v>
      </c>
      <c r="R176" s="340">
        <f t="shared" si="198"/>
        <v>0</v>
      </c>
      <c r="S176" s="340">
        <f t="shared" si="198"/>
        <v>0</v>
      </c>
      <c r="T176" s="340">
        <f t="shared" si="198"/>
        <v>0</v>
      </c>
      <c r="U176" s="340">
        <f t="shared" si="198"/>
        <v>0</v>
      </c>
      <c r="V176" s="340">
        <f t="shared" si="198"/>
        <v>29.366</v>
      </c>
      <c r="W176" s="340">
        <f t="shared" si="198"/>
        <v>14.458</v>
      </c>
      <c r="X176" s="340">
        <f t="shared" si="198"/>
        <v>96.558999999999997</v>
      </c>
      <c r="Y176" s="340">
        <f t="shared" si="198"/>
        <v>143.32300000000001</v>
      </c>
      <c r="Z176" s="340">
        <f t="shared" si="198"/>
        <v>78.591999999999999</v>
      </c>
      <c r="AA176" s="340">
        <f t="shared" si="198"/>
        <v>100.86499999999999</v>
      </c>
      <c r="AB176" s="340">
        <f t="shared" si="198"/>
        <v>28.867500000000007</v>
      </c>
      <c r="AC176" s="340">
        <f t="shared" si="198"/>
        <v>28.867500000000007</v>
      </c>
      <c r="AD176" s="340">
        <f t="shared" si="198"/>
        <v>28.867500000000007</v>
      </c>
      <c r="AE176" s="340">
        <f t="shared" si="198"/>
        <v>28.867500000000007</v>
      </c>
      <c r="AF176" s="340">
        <f t="shared" si="198"/>
        <v>28.867500000000007</v>
      </c>
      <c r="AG176" s="340">
        <f t="shared" si="198"/>
        <v>28.867500000000007</v>
      </c>
      <c r="AH176" s="340">
        <f t="shared" si="198"/>
        <v>28.867500000000007</v>
      </c>
      <c r="AI176" s="340">
        <f t="shared" si="198"/>
        <v>28.867500000000007</v>
      </c>
      <c r="AJ176" s="340">
        <f t="shared" si="198"/>
        <v>27.332999999999998</v>
      </c>
      <c r="AK176" s="340">
        <f t="shared" si="198"/>
        <v>18.003</v>
      </c>
      <c r="AL176" s="340">
        <f t="shared" si="198"/>
        <v>0</v>
      </c>
      <c r="AM176" s="340">
        <f t="shared" si="198"/>
        <v>0</v>
      </c>
      <c r="AN176" s="340">
        <f t="shared" si="198"/>
        <v>0</v>
      </c>
      <c r="AO176" s="340">
        <f t="shared" si="198"/>
        <v>0</v>
      </c>
      <c r="AP176" s="340">
        <f t="shared" si="198"/>
        <v>0</v>
      </c>
      <c r="AQ176" s="340">
        <f t="shared" si="198"/>
        <v>0</v>
      </c>
      <c r="AR176" s="340">
        <f t="shared" si="198"/>
        <v>0</v>
      </c>
      <c r="AS176" s="340">
        <f t="shared" si="198"/>
        <v>0</v>
      </c>
    </row>
    <row r="177" spans="1:45" ht="15" customHeight="1" x14ac:dyDescent="0.3">
      <c r="E177" s="169" t="str">
        <f xml:space="preserve"> E$227</f>
        <v>Total royalty</v>
      </c>
      <c r="F177" s="169">
        <f t="shared" ref="F177:I177" si="199" xml:space="preserve"> F$227</f>
        <v>0</v>
      </c>
      <c r="G177" s="169" t="str">
        <f t="shared" si="199"/>
        <v>$ mn</v>
      </c>
      <c r="H177" s="169">
        <f t="shared" si="199"/>
        <v>0</v>
      </c>
      <c r="I177" s="169">
        <f t="shared" si="199"/>
        <v>455.87740629965998</v>
      </c>
      <c r="J177" s="42"/>
      <c r="K177" s="169">
        <f t="shared" ref="K177:O177" si="200" xml:space="preserve"> K$227</f>
        <v>0</v>
      </c>
      <c r="L177" s="169">
        <f t="shared" si="200"/>
        <v>0</v>
      </c>
      <c r="M177" s="169">
        <f t="shared" si="200"/>
        <v>0</v>
      </c>
      <c r="N177" s="169">
        <f t="shared" si="200"/>
        <v>0</v>
      </c>
      <c r="O177" s="169">
        <f t="shared" si="200"/>
        <v>0</v>
      </c>
      <c r="P177" s="169">
        <f t="shared" ref="P177:AS177" si="201" xml:space="preserve"> P$227</f>
        <v>0</v>
      </c>
      <c r="Q177" s="169">
        <f t="shared" si="201"/>
        <v>0</v>
      </c>
      <c r="R177" s="169">
        <f t="shared" si="201"/>
        <v>0</v>
      </c>
      <c r="S177" s="169">
        <f t="shared" si="201"/>
        <v>0</v>
      </c>
      <c r="T177" s="169">
        <f t="shared" si="201"/>
        <v>0</v>
      </c>
      <c r="U177" s="169">
        <f t="shared" si="201"/>
        <v>0</v>
      </c>
      <c r="V177" s="169">
        <f t="shared" si="201"/>
        <v>2.0936120999999996</v>
      </c>
      <c r="W177" s="169">
        <f t="shared" si="201"/>
        <v>7.5658579700000015</v>
      </c>
      <c r="X177" s="169">
        <f t="shared" si="201"/>
        <v>16.337975890432002</v>
      </c>
      <c r="Y177" s="169">
        <f t="shared" si="201"/>
        <v>25.546252756080001</v>
      </c>
      <c r="Z177" s="169">
        <f t="shared" si="201"/>
        <v>43.023062557887997</v>
      </c>
      <c r="AA177" s="169">
        <f t="shared" si="201"/>
        <v>43.288425837524002</v>
      </c>
      <c r="AB177" s="169">
        <f t="shared" si="201"/>
        <v>34.594068645528004</v>
      </c>
      <c r="AC177" s="169">
        <f t="shared" si="201"/>
        <v>35.312801728050673</v>
      </c>
      <c r="AD177" s="169">
        <f t="shared" si="201"/>
        <v>35.312801728050673</v>
      </c>
      <c r="AE177" s="169">
        <f t="shared" si="201"/>
        <v>35.312801728050673</v>
      </c>
      <c r="AF177" s="169">
        <f t="shared" si="201"/>
        <v>35.312801728050673</v>
      </c>
      <c r="AG177" s="169">
        <f t="shared" si="201"/>
        <v>35.312801728050673</v>
      </c>
      <c r="AH177" s="169">
        <f t="shared" si="201"/>
        <v>35.312801728050673</v>
      </c>
      <c r="AI177" s="169">
        <f t="shared" si="201"/>
        <v>30.057016041384003</v>
      </c>
      <c r="AJ177" s="169">
        <f t="shared" si="201"/>
        <v>29.352096292092003</v>
      </c>
      <c r="AK177" s="169">
        <f t="shared" si="201"/>
        <v>12.142227840428001</v>
      </c>
      <c r="AL177" s="169">
        <f t="shared" si="201"/>
        <v>0</v>
      </c>
      <c r="AM177" s="169">
        <f t="shared" si="201"/>
        <v>0</v>
      </c>
      <c r="AN177" s="169">
        <f t="shared" si="201"/>
        <v>0</v>
      </c>
      <c r="AO177" s="169">
        <f t="shared" si="201"/>
        <v>0</v>
      </c>
      <c r="AP177" s="169">
        <f t="shared" si="201"/>
        <v>0</v>
      </c>
      <c r="AQ177" s="169">
        <f t="shared" si="201"/>
        <v>0</v>
      </c>
      <c r="AR177" s="169">
        <f t="shared" si="201"/>
        <v>0</v>
      </c>
      <c r="AS177" s="169">
        <f t="shared" si="201"/>
        <v>0</v>
      </c>
    </row>
    <row r="178" spans="1:45" ht="15" customHeight="1" x14ac:dyDescent="0.3">
      <c r="A178" s="123"/>
      <c r="B178" s="123"/>
      <c r="C178" s="124"/>
      <c r="D178" s="109"/>
      <c r="E178" s="341" t="s">
        <v>444</v>
      </c>
      <c r="F178" s="342"/>
      <c r="G178" s="305" t="s">
        <v>346</v>
      </c>
      <c r="H178" s="341"/>
      <c r="I178" s="341">
        <f>SUM(K178:AS178)</f>
        <v>3884.9996715565999</v>
      </c>
      <c r="J178" s="109"/>
      <c r="K178" s="341">
        <f t="shared" ref="K178:O178" si="202">K169 - SUM(K170:K177)</f>
        <v>0</v>
      </c>
      <c r="L178" s="341">
        <f t="shared" si="202"/>
        <v>0</v>
      </c>
      <c r="M178" s="341">
        <f t="shared" si="202"/>
        <v>0</v>
      </c>
      <c r="N178" s="341">
        <f t="shared" si="202"/>
        <v>0</v>
      </c>
      <c r="O178" s="341">
        <f t="shared" si="202"/>
        <v>0</v>
      </c>
      <c r="P178" s="341">
        <f t="shared" ref="P178:R178" si="203">P169 - SUM(P170:P177)</f>
        <v>0</v>
      </c>
      <c r="Q178" s="341">
        <f t="shared" si="203"/>
        <v>0</v>
      </c>
      <c r="R178" s="341">
        <f t="shared" si="203"/>
        <v>0</v>
      </c>
      <c r="S178" s="341">
        <f>S169 - SUM(S170:S177)</f>
        <v>0</v>
      </c>
      <c r="T178" s="341">
        <f t="shared" ref="T178:AP178" si="204">T169 - SUM(T170:T177)</f>
        <v>0</v>
      </c>
      <c r="U178" s="341">
        <f t="shared" si="204"/>
        <v>0</v>
      </c>
      <c r="V178" s="341">
        <f t="shared" si="204"/>
        <v>-253.26045835000002</v>
      </c>
      <c r="W178" s="341">
        <f t="shared" si="204"/>
        <v>-7.5864397299999666</v>
      </c>
      <c r="X178" s="341">
        <f t="shared" si="204"/>
        <v>-20.997599415679986</v>
      </c>
      <c r="Y178" s="341">
        <f t="shared" si="204"/>
        <v>287.23532591080004</v>
      </c>
      <c r="Z178" s="341">
        <f t="shared" si="204"/>
        <v>650.09513387888001</v>
      </c>
      <c r="AA178" s="341">
        <f t="shared" si="204"/>
        <v>295.6892941852401</v>
      </c>
      <c r="AB178" s="341">
        <f t="shared" si="204"/>
        <v>254.92253325528</v>
      </c>
      <c r="AC178" s="341">
        <f t="shared" si="204"/>
        <v>332.31483854717328</v>
      </c>
      <c r="AD178" s="341">
        <f t="shared" si="204"/>
        <v>365.71333854717329</v>
      </c>
      <c r="AE178" s="341">
        <f t="shared" si="204"/>
        <v>365.71333854717329</v>
      </c>
      <c r="AF178" s="341">
        <f t="shared" si="204"/>
        <v>365.71333854717329</v>
      </c>
      <c r="AG178" s="341">
        <f t="shared" si="204"/>
        <v>365.71333854717329</v>
      </c>
      <c r="AH178" s="341">
        <f t="shared" si="204"/>
        <v>365.71333854717329</v>
      </c>
      <c r="AI178" s="341">
        <f t="shared" si="204"/>
        <v>215.5480332138398</v>
      </c>
      <c r="AJ178" s="341">
        <f t="shared" si="204"/>
        <v>260.61217572091994</v>
      </c>
      <c r="AK178" s="341">
        <f t="shared" si="204"/>
        <v>41.86014160427996</v>
      </c>
      <c r="AL178" s="341">
        <f t="shared" si="204"/>
        <v>0</v>
      </c>
      <c r="AM178" s="341">
        <f t="shared" si="204"/>
        <v>0</v>
      </c>
      <c r="AN178" s="341">
        <f t="shared" si="204"/>
        <v>0</v>
      </c>
      <c r="AO178" s="341">
        <f t="shared" si="204"/>
        <v>0</v>
      </c>
      <c r="AP178" s="341">
        <f t="shared" si="204"/>
        <v>0</v>
      </c>
      <c r="AQ178" s="341">
        <f t="shared" ref="AQ178:AS178" si="205">AQ169 - SUM(AQ170:AQ177)</f>
        <v>0</v>
      </c>
      <c r="AR178" s="341">
        <f t="shared" si="205"/>
        <v>0</v>
      </c>
      <c r="AS178" s="341">
        <f t="shared" si="205"/>
        <v>0</v>
      </c>
    </row>
    <row r="179" spans="1:45" ht="15" customHeight="1" x14ac:dyDescent="0.3">
      <c r="A179" s="112"/>
      <c r="B179" s="112"/>
      <c r="C179" s="113"/>
      <c r="D179" s="42"/>
      <c r="E179" s="88"/>
      <c r="F179" s="72"/>
      <c r="G179" s="88"/>
      <c r="H179" s="88"/>
      <c r="I179" s="88"/>
      <c r="J179" s="42"/>
      <c r="K179" s="338"/>
      <c r="L179" s="338"/>
      <c r="M179" s="338"/>
      <c r="N179" s="338"/>
      <c r="O179" s="338"/>
      <c r="P179" s="338"/>
      <c r="Q179" s="338"/>
      <c r="R179" s="338"/>
      <c r="S179" s="338"/>
      <c r="T179" s="338"/>
      <c r="U179" s="338"/>
      <c r="V179" s="338"/>
      <c r="W179" s="338"/>
      <c r="X179" s="338"/>
      <c r="Y179" s="338"/>
      <c r="Z179" s="338"/>
      <c r="AA179" s="338"/>
      <c r="AB179" s="338"/>
      <c r="AC179" s="338"/>
      <c r="AD179" s="338"/>
      <c r="AE179" s="338"/>
      <c r="AF179" s="338"/>
      <c r="AG179" s="338"/>
      <c r="AH179" s="338"/>
      <c r="AI179" s="338"/>
      <c r="AJ179" s="338"/>
      <c r="AK179" s="42"/>
      <c r="AL179" s="42"/>
      <c r="AM179" s="42"/>
      <c r="AN179" s="42"/>
      <c r="AO179" s="42"/>
      <c r="AP179" s="42"/>
      <c r="AQ179" s="42"/>
      <c r="AR179" s="42"/>
      <c r="AS179" s="42"/>
    </row>
    <row r="180" spans="1:45" ht="15" customHeight="1" x14ac:dyDescent="0.3">
      <c r="A180" s="112"/>
      <c r="B180" s="112"/>
      <c r="C180" s="113"/>
      <c r="D180" s="42"/>
      <c r="E180" s="88" t="s">
        <v>445</v>
      </c>
      <c r="F180" s="252">
        <v>3907.76</v>
      </c>
      <c r="G180" s="142" t="s">
        <v>346</v>
      </c>
      <c r="H180" s="104" t="str">
        <f xml:space="preserve"> Sources!I$39</f>
        <v>M</v>
      </c>
      <c r="I180" s="104">
        <f>SUM(K180:AS180)</f>
        <v>1667.6746799999999</v>
      </c>
      <c r="J180" s="142"/>
      <c r="K180" s="279"/>
      <c r="L180" s="279"/>
      <c r="M180" s="279"/>
      <c r="N180" s="279"/>
      <c r="O180" s="279"/>
      <c r="P180" s="279"/>
      <c r="Q180" s="279"/>
      <c r="R180" s="279"/>
      <c r="S180" s="279"/>
      <c r="T180" s="279"/>
      <c r="U180" s="279"/>
      <c r="V180" s="277">
        <v>-187.64446000000001</v>
      </c>
      <c r="W180" s="252">
        <v>5.6078099999999997</v>
      </c>
      <c r="X180" s="252">
        <v>-101.8121</v>
      </c>
      <c r="Y180" s="252">
        <v>215.51925</v>
      </c>
      <c r="Z180" s="252">
        <v>730.90778999999998</v>
      </c>
      <c r="AA180" s="252">
        <v>365.34647999999999</v>
      </c>
      <c r="AB180" s="272">
        <v>276.31130999999999</v>
      </c>
      <c r="AC180" s="279"/>
      <c r="AD180" s="277"/>
      <c r="AE180" s="252"/>
      <c r="AF180" s="252"/>
      <c r="AG180" s="252"/>
      <c r="AH180" s="252"/>
      <c r="AI180" s="252"/>
      <c r="AJ180" s="252">
        <v>290.78622999999999</v>
      </c>
      <c r="AK180" s="252">
        <v>72.652370000000005</v>
      </c>
      <c r="AL180" s="252"/>
      <c r="AM180" s="252"/>
      <c r="AN180" s="252"/>
      <c r="AO180" s="252"/>
      <c r="AP180" s="252"/>
      <c r="AQ180" s="252"/>
      <c r="AR180" s="252"/>
      <c r="AS180" s="272"/>
    </row>
    <row r="181" spans="1:45" ht="15" customHeight="1" x14ac:dyDescent="0.3">
      <c r="A181" s="112"/>
      <c r="B181" s="112"/>
      <c r="C181" s="113"/>
      <c r="D181" s="42"/>
      <c r="E181" s="88"/>
      <c r="F181" s="88"/>
      <c r="G181" s="88"/>
      <c r="H181" s="88"/>
      <c r="I181" s="88"/>
      <c r="J181" s="42"/>
      <c r="K181" s="338"/>
      <c r="L181" s="338"/>
      <c r="M181" s="338"/>
      <c r="N181" s="338"/>
      <c r="O181" s="338"/>
      <c r="P181" s="338"/>
      <c r="Q181" s="338"/>
      <c r="R181" s="338"/>
      <c r="S181" s="338"/>
      <c r="T181" s="338"/>
      <c r="U181" s="338"/>
      <c r="V181" s="338"/>
      <c r="W181" s="338"/>
      <c r="X181" s="338"/>
      <c r="Y181" s="338"/>
      <c r="Z181" s="338"/>
      <c r="AA181" s="338"/>
      <c r="AB181" s="338"/>
      <c r="AC181" s="338"/>
      <c r="AD181" s="338"/>
      <c r="AE181" s="338"/>
      <c r="AF181" s="338"/>
      <c r="AG181" s="338"/>
      <c r="AH181" s="338"/>
      <c r="AI181" s="338"/>
      <c r="AJ181" s="338"/>
      <c r="AK181" s="42"/>
      <c r="AL181" s="42"/>
      <c r="AM181" s="42"/>
      <c r="AN181" s="42"/>
      <c r="AO181" s="42"/>
      <c r="AP181" s="42"/>
      <c r="AQ181" s="42"/>
      <c r="AR181" s="42"/>
      <c r="AS181" s="42"/>
    </row>
    <row r="182" spans="1:45" ht="15" customHeight="1" x14ac:dyDescent="0.3">
      <c r="A182" s="112"/>
      <c r="B182" s="112"/>
      <c r="C182" s="113" t="s">
        <v>250</v>
      </c>
      <c r="D182" s="42"/>
      <c r="E182" s="42"/>
      <c r="F182" s="42"/>
      <c r="G182" s="42"/>
      <c r="H182" s="116"/>
      <c r="I182" s="116"/>
      <c r="J182" s="42"/>
      <c r="K182" s="42"/>
      <c r="L182" s="42"/>
      <c r="M182" s="42"/>
      <c r="N182" s="42"/>
      <c r="O182" s="42"/>
      <c r="P182" s="42"/>
      <c r="Q182" s="42"/>
      <c r="R182" s="42"/>
      <c r="S182" s="42"/>
      <c r="T182" s="42"/>
      <c r="U182" s="42"/>
      <c r="V182" s="42"/>
      <c r="W182" s="42"/>
      <c r="X182" s="42"/>
      <c r="Y182" s="42"/>
      <c r="Z182" s="42"/>
      <c r="AA182" s="42"/>
      <c r="AB182" s="42"/>
      <c r="AC182" s="42"/>
      <c r="AD182" s="42"/>
      <c r="AE182" s="42"/>
      <c r="AF182" s="42"/>
      <c r="AG182" s="42"/>
      <c r="AH182" s="42"/>
      <c r="AI182" s="42"/>
      <c r="AJ182" s="42"/>
      <c r="AK182" s="42"/>
      <c r="AL182" s="42"/>
      <c r="AM182" s="42"/>
      <c r="AN182" s="42"/>
      <c r="AO182" s="42"/>
      <c r="AP182" s="42"/>
      <c r="AQ182" s="42"/>
      <c r="AR182" s="42"/>
      <c r="AS182" s="42"/>
    </row>
    <row r="183" spans="1:45" ht="15" customHeight="1" x14ac:dyDescent="0.3">
      <c r="A183" s="112"/>
      <c r="B183" s="112"/>
      <c r="C183" s="113"/>
      <c r="D183" s="42"/>
      <c r="E183" s="42" t="s">
        <v>251</v>
      </c>
      <c r="F183" s="73">
        <v>0.1</v>
      </c>
      <c r="G183" s="42"/>
      <c r="H183" s="104" t="str">
        <f xml:space="preserve"> Sources!I$39</f>
        <v>M</v>
      </c>
      <c r="I183" s="104"/>
      <c r="J183" s="42"/>
      <c r="K183" s="42"/>
      <c r="L183" s="42"/>
      <c r="M183" s="42"/>
      <c r="N183" s="42"/>
      <c r="O183" s="42"/>
      <c r="P183" s="42"/>
      <c r="Q183" s="42"/>
      <c r="R183" s="42"/>
      <c r="S183" s="42"/>
      <c r="T183" s="42"/>
      <c r="U183" s="42"/>
      <c r="V183" s="42"/>
      <c r="W183" s="42"/>
      <c r="X183" s="42"/>
      <c r="Y183" s="42"/>
      <c r="Z183" s="42"/>
      <c r="AA183" s="42"/>
      <c r="AB183" s="42"/>
      <c r="AC183" s="42"/>
      <c r="AD183" s="42"/>
      <c r="AE183" s="42"/>
      <c r="AF183" s="42"/>
      <c r="AG183" s="42"/>
      <c r="AH183" s="42"/>
      <c r="AI183" s="42"/>
      <c r="AJ183" s="42"/>
      <c r="AK183" s="42"/>
      <c r="AL183" s="42"/>
      <c r="AM183" s="42"/>
      <c r="AN183" s="42"/>
      <c r="AO183" s="42"/>
      <c r="AP183" s="42"/>
      <c r="AQ183" s="42"/>
      <c r="AR183" s="42"/>
      <c r="AS183" s="42"/>
    </row>
    <row r="184" spans="1:45" ht="15" customHeight="1" x14ac:dyDescent="0.3">
      <c r="E184" s="169" t="str">
        <f xml:space="preserve"> E$58</f>
        <v>Production year cumulative</v>
      </c>
      <c r="F184" s="169">
        <f t="shared" ref="F184:I184" si="206" xml:space="preserve"> F$58</f>
        <v>0</v>
      </c>
      <c r="G184" s="169" t="str">
        <f t="shared" si="206"/>
        <v>years</v>
      </c>
      <c r="H184" s="169">
        <f t="shared" si="206"/>
        <v>0</v>
      </c>
      <c r="I184" s="169">
        <f t="shared" si="206"/>
        <v>0</v>
      </c>
      <c r="J184" s="42"/>
      <c r="K184" s="169">
        <f t="shared" ref="K184:O184" si="207" xml:space="preserve"> K$58</f>
        <v>0</v>
      </c>
      <c r="L184" s="169">
        <f t="shared" si="207"/>
        <v>0</v>
      </c>
      <c r="M184" s="169">
        <f t="shared" si="207"/>
        <v>0</v>
      </c>
      <c r="N184" s="169">
        <f t="shared" si="207"/>
        <v>0</v>
      </c>
      <c r="O184" s="169">
        <f t="shared" si="207"/>
        <v>0</v>
      </c>
      <c r="P184" s="169">
        <f t="shared" ref="P184:AS184" si="208" xml:space="preserve"> P$58</f>
        <v>0</v>
      </c>
      <c r="Q184" s="169">
        <f t="shared" si="208"/>
        <v>0</v>
      </c>
      <c r="R184" s="169">
        <f t="shared" si="208"/>
        <v>0</v>
      </c>
      <c r="S184" s="169">
        <f t="shared" si="208"/>
        <v>0</v>
      </c>
      <c r="T184" s="169">
        <f t="shared" si="208"/>
        <v>0</v>
      </c>
      <c r="U184" s="169">
        <f t="shared" si="208"/>
        <v>0</v>
      </c>
      <c r="V184" s="169">
        <f t="shared" si="208"/>
        <v>1</v>
      </c>
      <c r="W184" s="169">
        <f t="shared" si="208"/>
        <v>2</v>
      </c>
      <c r="X184" s="169">
        <f t="shared" si="208"/>
        <v>3</v>
      </c>
      <c r="Y184" s="169">
        <f t="shared" si="208"/>
        <v>4</v>
      </c>
      <c r="Z184" s="169">
        <f t="shared" si="208"/>
        <v>5</v>
      </c>
      <c r="AA184" s="169">
        <f t="shared" si="208"/>
        <v>6</v>
      </c>
      <c r="AB184" s="169">
        <f t="shared" si="208"/>
        <v>7</v>
      </c>
      <c r="AC184" s="169">
        <f t="shared" si="208"/>
        <v>8</v>
      </c>
      <c r="AD184" s="169">
        <f t="shared" si="208"/>
        <v>9</v>
      </c>
      <c r="AE184" s="169">
        <f t="shared" si="208"/>
        <v>10</v>
      </c>
      <c r="AF184" s="169">
        <f t="shared" si="208"/>
        <v>11</v>
      </c>
      <c r="AG184" s="169">
        <f t="shared" si="208"/>
        <v>12</v>
      </c>
      <c r="AH184" s="169">
        <f t="shared" si="208"/>
        <v>13</v>
      </c>
      <c r="AI184" s="169">
        <f t="shared" si="208"/>
        <v>14</v>
      </c>
      <c r="AJ184" s="169">
        <f t="shared" si="208"/>
        <v>15</v>
      </c>
      <c r="AK184" s="169">
        <f t="shared" si="208"/>
        <v>16</v>
      </c>
      <c r="AL184" s="169">
        <f t="shared" si="208"/>
        <v>16</v>
      </c>
      <c r="AM184" s="169">
        <f t="shared" si="208"/>
        <v>16</v>
      </c>
      <c r="AN184" s="169">
        <f t="shared" si="208"/>
        <v>16</v>
      </c>
      <c r="AO184" s="169">
        <f t="shared" si="208"/>
        <v>16</v>
      </c>
      <c r="AP184" s="169">
        <f t="shared" si="208"/>
        <v>16</v>
      </c>
      <c r="AQ184" s="169">
        <f t="shared" si="208"/>
        <v>16</v>
      </c>
      <c r="AR184" s="169">
        <f t="shared" si="208"/>
        <v>16</v>
      </c>
      <c r="AS184" s="169">
        <f t="shared" si="208"/>
        <v>16</v>
      </c>
    </row>
    <row r="185" spans="1:45" ht="15" customHeight="1" x14ac:dyDescent="0.3">
      <c r="A185" s="112"/>
      <c r="B185" s="112"/>
      <c r="C185" s="113"/>
      <c r="D185" s="42"/>
      <c r="E185" s="88" t="s">
        <v>250</v>
      </c>
      <c r="F185" s="88"/>
      <c r="G185" s="88" t="s">
        <v>252</v>
      </c>
      <c r="H185" s="88"/>
      <c r="I185" s="88"/>
      <c r="J185" s="42"/>
      <c r="K185" s="338"/>
      <c r="L185" s="338"/>
      <c r="M185" s="338"/>
      <c r="N185" s="338"/>
      <c r="O185" s="338"/>
      <c r="P185" s="338"/>
      <c r="Q185" s="338"/>
      <c r="R185" s="338"/>
      <c r="S185" s="338"/>
      <c r="T185" s="338"/>
      <c r="U185" s="338"/>
      <c r="V185" s="338">
        <f t="shared" ref="V185:AS185" si="209" xml:space="preserve"> 1 / ( 1 + $F183) ^ (V184 - 1)</f>
        <v>1</v>
      </c>
      <c r="W185" s="338">
        <f t="shared" si="209"/>
        <v>0.90909090909090906</v>
      </c>
      <c r="X185" s="338">
        <f t="shared" si="209"/>
        <v>0.82644628099173545</v>
      </c>
      <c r="Y185" s="338">
        <f t="shared" si="209"/>
        <v>0.75131480090157754</v>
      </c>
      <c r="Z185" s="338">
        <f t="shared" si="209"/>
        <v>0.68301345536507052</v>
      </c>
      <c r="AA185" s="338">
        <f t="shared" si="209"/>
        <v>0.62092132305915493</v>
      </c>
      <c r="AB185" s="338">
        <f t="shared" si="209"/>
        <v>0.56447393005377722</v>
      </c>
      <c r="AC185" s="338">
        <f t="shared" si="209"/>
        <v>0.51315811823070645</v>
      </c>
      <c r="AD185" s="338">
        <f t="shared" si="209"/>
        <v>0.46650738020973315</v>
      </c>
      <c r="AE185" s="338">
        <f t="shared" si="209"/>
        <v>0.42409761837248466</v>
      </c>
      <c r="AF185" s="338">
        <f t="shared" si="209"/>
        <v>0.38554328942953148</v>
      </c>
      <c r="AG185" s="338">
        <f t="shared" si="209"/>
        <v>0.3504938994813922</v>
      </c>
      <c r="AH185" s="338">
        <f t="shared" si="209"/>
        <v>0.31863081771035656</v>
      </c>
      <c r="AI185" s="338">
        <f t="shared" si="209"/>
        <v>0.28966437973668779</v>
      </c>
      <c r="AJ185" s="338">
        <f t="shared" si="209"/>
        <v>0.26333125430607973</v>
      </c>
      <c r="AK185" s="338">
        <f t="shared" si="209"/>
        <v>0.23939204936916339</v>
      </c>
      <c r="AL185" s="338">
        <f t="shared" si="209"/>
        <v>0.23939204936916339</v>
      </c>
      <c r="AM185" s="338">
        <f t="shared" si="209"/>
        <v>0.23939204936916339</v>
      </c>
      <c r="AN185" s="338">
        <f t="shared" si="209"/>
        <v>0.23939204936916339</v>
      </c>
      <c r="AO185" s="338">
        <f t="shared" si="209"/>
        <v>0.23939204936916339</v>
      </c>
      <c r="AP185" s="338">
        <f t="shared" si="209"/>
        <v>0.23939204936916339</v>
      </c>
      <c r="AQ185" s="338">
        <f t="shared" si="209"/>
        <v>0.23939204936916339</v>
      </c>
      <c r="AR185" s="338">
        <f t="shared" si="209"/>
        <v>0.23939204936916339</v>
      </c>
      <c r="AS185" s="338">
        <f t="shared" si="209"/>
        <v>0.23939204936916339</v>
      </c>
    </row>
    <row r="186" spans="1:45" ht="15" customHeight="1" x14ac:dyDescent="0.3">
      <c r="A186" s="112"/>
      <c r="B186" s="112"/>
      <c r="C186" s="113"/>
      <c r="D186" s="42"/>
      <c r="E186" s="88" t="s">
        <v>253</v>
      </c>
      <c r="F186" s="88" t="str">
        <f>"USD mn NPV" &amp; F183 * 100</f>
        <v>USD mn NPV10</v>
      </c>
      <c r="G186" s="88" t="s">
        <v>254</v>
      </c>
      <c r="H186" s="88"/>
      <c r="I186" s="88"/>
      <c r="J186" s="42"/>
      <c r="K186" s="338"/>
      <c r="L186" s="338"/>
      <c r="M186" s="338"/>
      <c r="N186" s="338"/>
      <c r="O186" s="338"/>
      <c r="P186" s="338"/>
      <c r="Q186" s="338"/>
      <c r="R186" s="338"/>
      <c r="S186" s="338"/>
      <c r="T186" s="338"/>
      <c r="U186" s="338"/>
      <c r="V186" s="338"/>
      <c r="W186" s="338"/>
      <c r="X186" s="338"/>
      <c r="Y186" s="338"/>
      <c r="Z186" s="338"/>
      <c r="AA186" s="338"/>
      <c r="AB186" s="338"/>
      <c r="AC186" s="338"/>
      <c r="AD186" s="338"/>
      <c r="AE186" s="338"/>
      <c r="AF186" s="338"/>
      <c r="AG186" s="338"/>
      <c r="AH186" s="338"/>
      <c r="AI186" s="338"/>
      <c r="AJ186" s="338"/>
      <c r="AK186" s="42"/>
      <c r="AL186" s="42"/>
      <c r="AM186" s="42"/>
      <c r="AN186" s="42"/>
      <c r="AO186" s="42"/>
      <c r="AP186" s="42"/>
      <c r="AQ186" s="42"/>
      <c r="AR186" s="42"/>
      <c r="AS186" s="42"/>
    </row>
    <row r="187" spans="1:45" ht="15" customHeight="1" x14ac:dyDescent="0.3">
      <c r="A187" s="112"/>
      <c r="B187" s="112"/>
      <c r="C187" s="113"/>
      <c r="D187" s="42"/>
      <c r="E187" s="88"/>
      <c r="F187" s="88"/>
      <c r="G187" s="88"/>
      <c r="H187" s="88"/>
      <c r="I187" s="88"/>
      <c r="J187" s="42"/>
      <c r="K187" s="338"/>
      <c r="L187" s="338"/>
      <c r="M187" s="338"/>
      <c r="N187" s="338"/>
      <c r="O187" s="338"/>
      <c r="P187" s="338"/>
      <c r="Q187" s="338"/>
      <c r="R187" s="338"/>
      <c r="S187" s="338"/>
      <c r="T187" s="338"/>
      <c r="U187" s="338"/>
      <c r="V187" s="338"/>
      <c r="W187" s="338"/>
      <c r="X187" s="338"/>
      <c r="Y187" s="338"/>
      <c r="Z187" s="338"/>
      <c r="AA187" s="338"/>
      <c r="AB187" s="338"/>
      <c r="AC187" s="338"/>
      <c r="AD187" s="338"/>
      <c r="AE187" s="338"/>
      <c r="AF187" s="338"/>
      <c r="AG187" s="338"/>
      <c r="AH187" s="338"/>
      <c r="AI187" s="338"/>
      <c r="AJ187" s="338"/>
      <c r="AK187" s="42"/>
      <c r="AL187" s="42"/>
      <c r="AM187" s="42"/>
      <c r="AN187" s="42"/>
      <c r="AO187" s="42"/>
      <c r="AP187" s="42"/>
      <c r="AQ187" s="42"/>
      <c r="AR187" s="42"/>
      <c r="AS187" s="42"/>
    </row>
    <row r="188" spans="1:45" ht="15" customHeight="1" x14ac:dyDescent="0.3">
      <c r="A188" s="112"/>
      <c r="B188" s="112"/>
      <c r="C188" s="113"/>
      <c r="D188" s="42"/>
      <c r="E188" s="88" t="s">
        <v>446</v>
      </c>
      <c r="F188" s="88">
        <f xml:space="preserve"> SUMPRODUCT(V178:AS178, V$185:AS$185)</f>
        <v>1732.8414235608325</v>
      </c>
      <c r="G188" s="88" t="s">
        <v>447</v>
      </c>
      <c r="H188" s="88"/>
      <c r="I188" s="88"/>
      <c r="J188" s="42"/>
      <c r="K188" s="338"/>
      <c r="L188" s="338"/>
      <c r="M188" s="338"/>
      <c r="N188" s="338"/>
      <c r="O188" s="338"/>
      <c r="P188" s="338"/>
      <c r="Q188" s="338"/>
      <c r="R188" s="338"/>
      <c r="S188" s="338"/>
      <c r="T188" s="338"/>
      <c r="U188" s="338"/>
      <c r="V188" s="338"/>
      <c r="W188" s="338"/>
      <c r="X188" s="338"/>
      <c r="Y188" s="338"/>
      <c r="Z188" s="338"/>
      <c r="AA188" s="338"/>
      <c r="AB188" s="338"/>
      <c r="AC188" s="338"/>
      <c r="AD188" s="338"/>
      <c r="AE188" s="338"/>
      <c r="AF188" s="338"/>
      <c r="AG188" s="338"/>
      <c r="AH188" s="338"/>
      <c r="AI188" s="338"/>
      <c r="AJ188" s="338"/>
      <c r="AK188" s="42"/>
      <c r="AL188" s="42"/>
      <c r="AM188" s="42"/>
      <c r="AN188" s="42"/>
      <c r="AO188" s="42"/>
      <c r="AP188" s="42"/>
      <c r="AQ188" s="42"/>
      <c r="AR188" s="42"/>
      <c r="AS188" s="42"/>
    </row>
    <row r="189" spans="1:45" ht="15" customHeight="1" x14ac:dyDescent="0.3">
      <c r="A189" s="112"/>
      <c r="B189" s="112"/>
      <c r="C189" s="113"/>
      <c r="D189" s="42"/>
      <c r="E189" s="88"/>
      <c r="F189" s="88"/>
      <c r="G189" s="88"/>
      <c r="H189" s="88"/>
      <c r="I189" s="88"/>
      <c r="J189" s="42"/>
      <c r="K189" s="338"/>
      <c r="L189" s="338"/>
      <c r="M189" s="338"/>
      <c r="N189" s="338"/>
      <c r="O189" s="338"/>
      <c r="P189" s="338"/>
      <c r="Q189" s="338"/>
      <c r="R189" s="338"/>
      <c r="S189" s="338"/>
      <c r="T189" s="338"/>
      <c r="U189" s="338"/>
      <c r="V189" s="338"/>
      <c r="W189" s="338"/>
      <c r="X189" s="338"/>
      <c r="Y189" s="338"/>
      <c r="Z189" s="338"/>
      <c r="AA189" s="338"/>
      <c r="AB189" s="338"/>
      <c r="AC189" s="338"/>
      <c r="AD189" s="338"/>
      <c r="AE189" s="338"/>
      <c r="AF189" s="338"/>
      <c r="AG189" s="338"/>
      <c r="AH189" s="338"/>
      <c r="AI189" s="338"/>
      <c r="AJ189" s="338"/>
      <c r="AK189" s="42"/>
      <c r="AL189" s="42"/>
      <c r="AM189" s="42"/>
      <c r="AN189" s="42"/>
      <c r="AO189" s="42"/>
      <c r="AP189" s="42"/>
      <c r="AQ189" s="42"/>
      <c r="AR189" s="42"/>
      <c r="AS189" s="42"/>
    </row>
    <row r="190" spans="1:45" ht="15" customHeight="1" x14ac:dyDescent="0.3">
      <c r="A190" s="112"/>
      <c r="B190" s="112"/>
      <c r="C190" s="113"/>
      <c r="D190" s="42"/>
      <c r="E190" s="88" t="s">
        <v>448</v>
      </c>
      <c r="F190" s="72">
        <f xml:space="preserve"> IFERROR( IRR(S166:AS166), "n.a.")</f>
        <v>0.94318450544721766</v>
      </c>
      <c r="G190" s="88" t="s">
        <v>34</v>
      </c>
      <c r="H190" s="88"/>
      <c r="I190" s="88"/>
      <c r="J190" s="42"/>
      <c r="K190" s="338"/>
      <c r="L190" s="338"/>
      <c r="M190" s="338"/>
      <c r="N190" s="338"/>
      <c r="O190" s="338"/>
      <c r="P190" s="338"/>
      <c r="Q190" s="338"/>
      <c r="R190" s="338"/>
      <c r="S190" s="338"/>
      <c r="T190" s="338"/>
      <c r="U190" s="338"/>
      <c r="V190" s="338"/>
      <c r="W190" s="338"/>
      <c r="X190" s="338"/>
      <c r="Y190" s="338"/>
      <c r="Z190" s="338"/>
      <c r="AA190" s="338"/>
      <c r="AB190" s="338"/>
      <c r="AC190" s="338"/>
      <c r="AD190" s="338"/>
      <c r="AE190" s="338"/>
      <c r="AF190" s="338"/>
      <c r="AG190" s="338"/>
      <c r="AH190" s="338"/>
      <c r="AI190" s="338"/>
      <c r="AJ190" s="338"/>
      <c r="AK190" s="42"/>
      <c r="AL190" s="42"/>
      <c r="AM190" s="42"/>
      <c r="AN190" s="42"/>
      <c r="AO190" s="42"/>
      <c r="AP190" s="42"/>
      <c r="AQ190" s="42"/>
      <c r="AR190" s="42"/>
      <c r="AS190" s="42"/>
    </row>
    <row r="191" spans="1:45" ht="15" customHeight="1" x14ac:dyDescent="0.3">
      <c r="A191" s="112"/>
      <c r="B191" s="112"/>
      <c r="C191" s="113"/>
      <c r="D191" s="42"/>
      <c r="E191" s="88"/>
      <c r="F191" s="88"/>
      <c r="G191" s="88"/>
      <c r="H191" s="88"/>
      <c r="I191" s="88"/>
      <c r="J191" s="42"/>
      <c r="K191" s="338"/>
      <c r="L191" s="338"/>
      <c r="M191" s="338"/>
      <c r="N191" s="338"/>
      <c r="O191" s="338"/>
      <c r="P191" s="338"/>
      <c r="Q191" s="338"/>
      <c r="R191" s="338"/>
      <c r="S191" s="338"/>
      <c r="T191" s="338"/>
      <c r="U191" s="338"/>
      <c r="V191" s="338"/>
      <c r="W191" s="338"/>
      <c r="X191" s="338"/>
      <c r="Y191" s="338"/>
      <c r="Z191" s="338"/>
      <c r="AA191" s="338"/>
      <c r="AB191" s="338"/>
      <c r="AC191" s="338"/>
      <c r="AD191" s="338"/>
      <c r="AE191" s="338"/>
      <c r="AF191" s="338"/>
      <c r="AG191" s="338"/>
      <c r="AH191" s="338"/>
      <c r="AI191" s="338"/>
      <c r="AJ191" s="338"/>
      <c r="AK191" s="42"/>
      <c r="AL191" s="42"/>
      <c r="AM191" s="42"/>
      <c r="AN191" s="42"/>
      <c r="AO191" s="42"/>
      <c r="AP191" s="42"/>
      <c r="AQ191" s="42"/>
      <c r="AR191" s="42"/>
      <c r="AS191" s="42"/>
    </row>
    <row r="192" spans="1:45" ht="15" customHeight="1" x14ac:dyDescent="0.3">
      <c r="A192" s="283" t="s">
        <v>290</v>
      </c>
      <c r="B192" s="284"/>
      <c r="C192" s="285"/>
      <c r="D192" s="286"/>
      <c r="E192" s="284"/>
      <c r="F192" s="284"/>
      <c r="G192" s="284"/>
      <c r="H192" s="287"/>
      <c r="I192" s="287"/>
      <c r="J192" s="42"/>
      <c r="K192" s="287"/>
      <c r="L192" s="287"/>
      <c r="M192" s="287"/>
      <c r="N192" s="287"/>
      <c r="O192" s="287"/>
      <c r="P192" s="287"/>
      <c r="Q192" s="287"/>
      <c r="R192" s="287"/>
      <c r="S192" s="287"/>
      <c r="T192" s="287"/>
      <c r="U192" s="287"/>
      <c r="V192" s="287"/>
      <c r="W192" s="287"/>
      <c r="X192" s="287"/>
      <c r="Y192" s="287"/>
      <c r="Z192" s="287"/>
      <c r="AA192" s="287"/>
      <c r="AB192" s="287"/>
      <c r="AC192" s="287"/>
      <c r="AD192" s="287"/>
      <c r="AE192" s="287"/>
      <c r="AF192" s="287"/>
      <c r="AG192" s="287"/>
      <c r="AH192" s="287"/>
      <c r="AI192" s="287"/>
      <c r="AJ192" s="287"/>
      <c r="AK192" s="287"/>
      <c r="AL192" s="287"/>
      <c r="AM192" s="287"/>
      <c r="AN192" s="287"/>
      <c r="AO192" s="287"/>
      <c r="AP192" s="287"/>
      <c r="AQ192" s="287"/>
      <c r="AR192" s="287"/>
      <c r="AS192" s="287"/>
    </row>
    <row r="193" spans="1:45" ht="15" customHeight="1" x14ac:dyDescent="0.3">
      <c r="A193" s="332"/>
      <c r="B193" s="332"/>
      <c r="C193" s="333"/>
      <c r="D193" s="299"/>
      <c r="E193" s="294"/>
      <c r="F193" s="299"/>
      <c r="G193" s="294"/>
      <c r="H193" s="334"/>
      <c r="I193" s="334"/>
      <c r="J193" s="42"/>
      <c r="K193" s="299"/>
      <c r="L193" s="299"/>
      <c r="M193" s="299"/>
      <c r="N193" s="299"/>
      <c r="O193" s="299"/>
      <c r="P193" s="299"/>
      <c r="Q193" s="299"/>
      <c r="R193" s="299"/>
      <c r="S193" s="299"/>
      <c r="T193" s="299"/>
      <c r="U193" s="299"/>
      <c r="V193" s="299"/>
      <c r="W193" s="299"/>
      <c r="X193" s="299"/>
      <c r="Y193" s="299"/>
      <c r="Z193" s="299"/>
      <c r="AA193" s="299"/>
      <c r="AB193" s="299"/>
      <c r="AC193" s="299"/>
      <c r="AD193" s="299"/>
      <c r="AE193" s="299"/>
      <c r="AF193" s="299"/>
      <c r="AG193" s="299"/>
      <c r="AH193" s="299"/>
      <c r="AI193" s="299"/>
      <c r="AJ193" s="299"/>
      <c r="AK193" s="299"/>
      <c r="AL193" s="299"/>
      <c r="AM193" s="299"/>
      <c r="AN193" s="299"/>
      <c r="AO193" s="299"/>
      <c r="AP193" s="299"/>
      <c r="AQ193" s="299"/>
      <c r="AR193" s="299"/>
      <c r="AS193" s="299"/>
    </row>
    <row r="194" spans="1:45" ht="15" customHeight="1" x14ac:dyDescent="0.3">
      <c r="C194" s="289" t="s">
        <v>179</v>
      </c>
      <c r="I194" s="291"/>
      <c r="J194" s="42"/>
      <c r="AL194" s="290"/>
      <c r="AM194" s="290"/>
      <c r="AN194" s="290"/>
      <c r="AO194" s="290"/>
      <c r="AP194" s="290"/>
      <c r="AQ194" s="290"/>
      <c r="AR194" s="290"/>
      <c r="AS194" s="290"/>
    </row>
    <row r="195" spans="1:45" ht="15" customHeight="1" x14ac:dyDescent="0.3">
      <c r="E195" s="61" t="str">
        <f xml:space="preserve"> Inputs_Con!E$64</f>
        <v>Copper royalty pre-2018 Mining Code</v>
      </c>
      <c r="F195" s="231">
        <f xml:space="preserve"> Inputs_Con!F$64</f>
        <v>0.02</v>
      </c>
      <c r="G195" s="61" t="str">
        <f xml:space="preserve"> Inputs_Con!G$65</f>
        <v>Gross</v>
      </c>
      <c r="H195" s="104"/>
      <c r="I195" s="104"/>
      <c r="J195" s="42"/>
      <c r="AL195" s="290"/>
      <c r="AM195" s="290"/>
      <c r="AN195" s="290"/>
      <c r="AO195" s="290"/>
      <c r="AP195" s="290"/>
      <c r="AQ195" s="290"/>
      <c r="AR195" s="290"/>
      <c r="AS195" s="290"/>
    </row>
    <row r="196" spans="1:45" ht="15" customHeight="1" x14ac:dyDescent="0.3">
      <c r="E196" s="61" t="str">
        <f xml:space="preserve"> Inputs_Con!E$65</f>
        <v>Copper royalty post-2018 Mining Code</v>
      </c>
      <c r="F196" s="231">
        <f xml:space="preserve"> Inputs_Con!F$65</f>
        <v>3.5000000000000003E-2</v>
      </c>
      <c r="G196" s="61" t="str">
        <f xml:space="preserve"> Inputs_Con!G$65</f>
        <v>Gross</v>
      </c>
      <c r="H196" s="104"/>
      <c r="I196" s="104"/>
      <c r="J196" s="42"/>
      <c r="AL196" s="290"/>
      <c r="AM196" s="290"/>
      <c r="AN196" s="290"/>
      <c r="AO196" s="290"/>
      <c r="AP196" s="290"/>
      <c r="AQ196" s="290"/>
      <c r="AR196" s="290"/>
      <c r="AS196" s="290"/>
    </row>
    <row r="197" spans="1:45" ht="15" customHeight="1" x14ac:dyDescent="0.3">
      <c r="E197" s="61" t="str">
        <f xml:space="preserve"> Inputs_Con!E$66</f>
        <v>Copper royalty 2018 average rate</v>
      </c>
      <c r="F197" s="231">
        <f xml:space="preserve"> Inputs_Con!F$66</f>
        <v>2.7500000000000004E-2</v>
      </c>
      <c r="G197" s="61" t="str">
        <f xml:space="preserve"> Inputs_Con!G$66</f>
        <v>%</v>
      </c>
      <c r="H197" s="104"/>
      <c r="I197" s="104"/>
      <c r="J197" s="42"/>
      <c r="AL197" s="290"/>
      <c r="AM197" s="290"/>
      <c r="AN197" s="290"/>
      <c r="AO197" s="290"/>
      <c r="AP197" s="290"/>
      <c r="AQ197" s="290"/>
      <c r="AR197" s="290"/>
      <c r="AS197" s="290"/>
    </row>
    <row r="198" spans="1:45" ht="15" customHeight="1" x14ac:dyDescent="0.3">
      <c r="E198" s="61" t="str">
        <f xml:space="preserve"> Inputs_Con!E$68</f>
        <v>Cobalt royalty rate</v>
      </c>
      <c r="F198" s="231">
        <f xml:space="preserve"> Inputs_Con!F$68</f>
        <v>0.1</v>
      </c>
      <c r="G198" s="61" t="str">
        <f xml:space="preserve"> Inputs_Con!G$64</f>
        <v>Net</v>
      </c>
      <c r="H198" s="104"/>
      <c r="I198" s="104"/>
      <c r="J198" s="42"/>
      <c r="AL198" s="290"/>
      <c r="AM198" s="290"/>
      <c r="AN198" s="290"/>
      <c r="AO198" s="290"/>
      <c r="AP198" s="290"/>
      <c r="AQ198" s="290"/>
      <c r="AR198" s="290"/>
      <c r="AS198" s="290"/>
    </row>
    <row r="199" spans="1:45" ht="15" customHeight="1" x14ac:dyDescent="0.3">
      <c r="I199" s="291"/>
      <c r="J199" s="42"/>
      <c r="AL199" s="290"/>
      <c r="AM199" s="290"/>
      <c r="AN199" s="290"/>
      <c r="AO199" s="290"/>
      <c r="AP199" s="290"/>
      <c r="AQ199" s="290"/>
      <c r="AR199" s="290"/>
      <c r="AS199" s="290"/>
    </row>
    <row r="200" spans="1:45" ht="15" customHeight="1" x14ac:dyDescent="0.3">
      <c r="A200"/>
      <c r="B200"/>
      <c r="C200"/>
      <c r="D200"/>
      <c r="E200" s="290" t="s">
        <v>186</v>
      </c>
      <c r="G200" s="290" t="s">
        <v>160</v>
      </c>
      <c r="I200" s="291"/>
      <c r="J200" s="42"/>
      <c r="K200" s="290">
        <f t="shared" ref="K200:AS200" si="210">(K2 &lt; 2018) * 1</f>
        <v>1</v>
      </c>
      <c r="L200" s="290">
        <f t="shared" si="210"/>
        <v>1</v>
      </c>
      <c r="M200" s="290">
        <f t="shared" si="210"/>
        <v>1</v>
      </c>
      <c r="N200" s="290">
        <f t="shared" si="210"/>
        <v>1</v>
      </c>
      <c r="O200" s="290">
        <f t="shared" si="210"/>
        <v>1</v>
      </c>
      <c r="P200" s="290">
        <f t="shared" si="210"/>
        <v>1</v>
      </c>
      <c r="Q200" s="290">
        <f t="shared" si="210"/>
        <v>1</v>
      </c>
      <c r="R200" s="290">
        <f t="shared" si="210"/>
        <v>1</v>
      </c>
      <c r="S200" s="290">
        <f t="shared" si="210"/>
        <v>1</v>
      </c>
      <c r="T200" s="290">
        <f t="shared" si="210"/>
        <v>1</v>
      </c>
      <c r="U200" s="290">
        <f t="shared" si="210"/>
        <v>1</v>
      </c>
      <c r="V200" s="290">
        <f t="shared" si="210"/>
        <v>1</v>
      </c>
      <c r="W200" s="290">
        <f t="shared" si="210"/>
        <v>0</v>
      </c>
      <c r="X200" s="290">
        <f t="shared" si="210"/>
        <v>0</v>
      </c>
      <c r="Y200" s="290">
        <f t="shared" si="210"/>
        <v>0</v>
      </c>
      <c r="Z200" s="290">
        <f t="shared" si="210"/>
        <v>0</v>
      </c>
      <c r="AA200" s="290">
        <f t="shared" si="210"/>
        <v>0</v>
      </c>
      <c r="AB200" s="290">
        <f t="shared" si="210"/>
        <v>0</v>
      </c>
      <c r="AC200" s="290">
        <f t="shared" si="210"/>
        <v>0</v>
      </c>
      <c r="AD200" s="290">
        <f t="shared" si="210"/>
        <v>0</v>
      </c>
      <c r="AE200" s="290">
        <f t="shared" si="210"/>
        <v>0</v>
      </c>
      <c r="AF200" s="290">
        <f t="shared" si="210"/>
        <v>0</v>
      </c>
      <c r="AG200" s="290">
        <f t="shared" si="210"/>
        <v>0</v>
      </c>
      <c r="AH200" s="290">
        <f t="shared" si="210"/>
        <v>0</v>
      </c>
      <c r="AI200" s="290">
        <f t="shared" si="210"/>
        <v>0</v>
      </c>
      <c r="AJ200" s="290">
        <f t="shared" si="210"/>
        <v>0</v>
      </c>
      <c r="AK200" s="290">
        <f t="shared" si="210"/>
        <v>0</v>
      </c>
      <c r="AL200" s="290">
        <f t="shared" si="210"/>
        <v>0</v>
      </c>
      <c r="AM200" s="290">
        <f t="shared" si="210"/>
        <v>0</v>
      </c>
      <c r="AN200" s="290">
        <f t="shared" si="210"/>
        <v>0</v>
      </c>
      <c r="AO200" s="290">
        <f t="shared" si="210"/>
        <v>0</v>
      </c>
      <c r="AP200" s="290">
        <f t="shared" si="210"/>
        <v>0</v>
      </c>
      <c r="AQ200" s="290">
        <f t="shared" si="210"/>
        <v>0</v>
      </c>
      <c r="AR200" s="290">
        <f t="shared" si="210"/>
        <v>0</v>
      </c>
      <c r="AS200" s="290">
        <f t="shared" si="210"/>
        <v>0</v>
      </c>
    </row>
    <row r="201" spans="1:45" ht="15" customHeight="1" x14ac:dyDescent="0.3">
      <c r="A201"/>
      <c r="B201"/>
      <c r="C201"/>
      <c r="D201"/>
      <c r="E201" s="290" t="s">
        <v>184</v>
      </c>
      <c r="G201" s="290" t="s">
        <v>34</v>
      </c>
      <c r="I201" s="291"/>
      <c r="J201" s="42"/>
      <c r="K201" s="343">
        <f t="shared" ref="K201:AS201" si="211">K200 * $F195</f>
        <v>0.02</v>
      </c>
      <c r="L201" s="343">
        <f t="shared" si="211"/>
        <v>0.02</v>
      </c>
      <c r="M201" s="343">
        <f t="shared" si="211"/>
        <v>0.02</v>
      </c>
      <c r="N201" s="343">
        <f t="shared" si="211"/>
        <v>0.02</v>
      </c>
      <c r="O201" s="343">
        <f t="shared" si="211"/>
        <v>0.02</v>
      </c>
      <c r="P201" s="343">
        <f t="shared" si="211"/>
        <v>0.02</v>
      </c>
      <c r="Q201" s="343">
        <f t="shared" si="211"/>
        <v>0.02</v>
      </c>
      <c r="R201" s="343">
        <f t="shared" si="211"/>
        <v>0.02</v>
      </c>
      <c r="S201" s="343">
        <f t="shared" si="211"/>
        <v>0.02</v>
      </c>
      <c r="T201" s="343">
        <f t="shared" si="211"/>
        <v>0.02</v>
      </c>
      <c r="U201" s="343">
        <f t="shared" si="211"/>
        <v>0.02</v>
      </c>
      <c r="V201" s="343">
        <f t="shared" si="211"/>
        <v>0.02</v>
      </c>
      <c r="W201" s="343">
        <f t="shared" si="211"/>
        <v>0</v>
      </c>
      <c r="X201" s="343">
        <f t="shared" si="211"/>
        <v>0</v>
      </c>
      <c r="Y201" s="343">
        <f t="shared" si="211"/>
        <v>0</v>
      </c>
      <c r="Z201" s="343">
        <f t="shared" si="211"/>
        <v>0</v>
      </c>
      <c r="AA201" s="343">
        <f t="shared" si="211"/>
        <v>0</v>
      </c>
      <c r="AB201" s="343">
        <f t="shared" si="211"/>
        <v>0</v>
      </c>
      <c r="AC201" s="343">
        <f t="shared" si="211"/>
        <v>0</v>
      </c>
      <c r="AD201" s="343">
        <f t="shared" si="211"/>
        <v>0</v>
      </c>
      <c r="AE201" s="343">
        <f t="shared" si="211"/>
        <v>0</v>
      </c>
      <c r="AF201" s="343">
        <f t="shared" si="211"/>
        <v>0</v>
      </c>
      <c r="AG201" s="343">
        <f t="shared" si="211"/>
        <v>0</v>
      </c>
      <c r="AH201" s="343">
        <f t="shared" si="211"/>
        <v>0</v>
      </c>
      <c r="AI201" s="343">
        <f t="shared" si="211"/>
        <v>0</v>
      </c>
      <c r="AJ201" s="343">
        <f t="shared" si="211"/>
        <v>0</v>
      </c>
      <c r="AK201" s="343">
        <f t="shared" si="211"/>
        <v>0</v>
      </c>
      <c r="AL201" s="343">
        <f t="shared" si="211"/>
        <v>0</v>
      </c>
      <c r="AM201" s="343">
        <f t="shared" si="211"/>
        <v>0</v>
      </c>
      <c r="AN201" s="343">
        <f t="shared" si="211"/>
        <v>0</v>
      </c>
      <c r="AO201" s="343">
        <f t="shared" si="211"/>
        <v>0</v>
      </c>
      <c r="AP201" s="343">
        <f t="shared" si="211"/>
        <v>0</v>
      </c>
      <c r="AQ201" s="343">
        <f t="shared" si="211"/>
        <v>0</v>
      </c>
      <c r="AR201" s="343">
        <f t="shared" si="211"/>
        <v>0</v>
      </c>
      <c r="AS201" s="343">
        <f t="shared" si="211"/>
        <v>0</v>
      </c>
    </row>
    <row r="202" spans="1:45" ht="15" customHeight="1" x14ac:dyDescent="0.3">
      <c r="A202"/>
      <c r="B202"/>
      <c r="C202"/>
      <c r="D202"/>
      <c r="I202" s="291"/>
      <c r="J202" s="42"/>
      <c r="AL202" s="290"/>
      <c r="AM202" s="290"/>
      <c r="AN202" s="290"/>
      <c r="AO202" s="290"/>
      <c r="AP202" s="290"/>
      <c r="AQ202" s="290"/>
      <c r="AR202" s="290"/>
      <c r="AS202" s="290"/>
    </row>
    <row r="203" spans="1:45" ht="15" customHeight="1" x14ac:dyDescent="0.3">
      <c r="A203"/>
      <c r="B203"/>
      <c r="C203"/>
      <c r="D203"/>
      <c r="E203" s="290" t="s">
        <v>182</v>
      </c>
      <c r="G203" s="290" t="s">
        <v>160</v>
      </c>
      <c r="I203" s="291"/>
      <c r="J203" s="42"/>
      <c r="K203" s="290">
        <f t="shared" ref="K203:AS203" si="212">(K2 = 2018) * 1</f>
        <v>0</v>
      </c>
      <c r="L203" s="290">
        <f t="shared" si="212"/>
        <v>0</v>
      </c>
      <c r="M203" s="290">
        <f t="shared" si="212"/>
        <v>0</v>
      </c>
      <c r="N203" s="290">
        <f t="shared" si="212"/>
        <v>0</v>
      </c>
      <c r="O203" s="290">
        <f t="shared" si="212"/>
        <v>0</v>
      </c>
      <c r="P203" s="290">
        <f t="shared" si="212"/>
        <v>0</v>
      </c>
      <c r="Q203" s="290">
        <f t="shared" si="212"/>
        <v>0</v>
      </c>
      <c r="R203" s="290">
        <f t="shared" si="212"/>
        <v>0</v>
      </c>
      <c r="S203" s="290">
        <f t="shared" si="212"/>
        <v>0</v>
      </c>
      <c r="T203" s="290">
        <f t="shared" si="212"/>
        <v>0</v>
      </c>
      <c r="U203" s="290">
        <f t="shared" si="212"/>
        <v>0</v>
      </c>
      <c r="V203" s="290">
        <f t="shared" si="212"/>
        <v>0</v>
      </c>
      <c r="W203" s="290">
        <f t="shared" si="212"/>
        <v>1</v>
      </c>
      <c r="X203" s="290">
        <f t="shared" si="212"/>
        <v>0</v>
      </c>
      <c r="Y203" s="290">
        <f t="shared" si="212"/>
        <v>0</v>
      </c>
      <c r="Z203" s="290">
        <f t="shared" si="212"/>
        <v>0</v>
      </c>
      <c r="AA203" s="290">
        <f t="shared" si="212"/>
        <v>0</v>
      </c>
      <c r="AB203" s="290">
        <f t="shared" si="212"/>
        <v>0</v>
      </c>
      <c r="AC203" s="290">
        <f t="shared" si="212"/>
        <v>0</v>
      </c>
      <c r="AD203" s="290">
        <f t="shared" si="212"/>
        <v>0</v>
      </c>
      <c r="AE203" s="290">
        <f t="shared" si="212"/>
        <v>0</v>
      </c>
      <c r="AF203" s="290">
        <f t="shared" si="212"/>
        <v>0</v>
      </c>
      <c r="AG203" s="290">
        <f t="shared" si="212"/>
        <v>0</v>
      </c>
      <c r="AH203" s="290">
        <f t="shared" si="212"/>
        <v>0</v>
      </c>
      <c r="AI203" s="290">
        <f t="shared" si="212"/>
        <v>0</v>
      </c>
      <c r="AJ203" s="290">
        <f t="shared" si="212"/>
        <v>0</v>
      </c>
      <c r="AK203" s="290">
        <f t="shared" si="212"/>
        <v>0</v>
      </c>
      <c r="AL203" s="290">
        <f t="shared" si="212"/>
        <v>0</v>
      </c>
      <c r="AM203" s="290">
        <f t="shared" si="212"/>
        <v>0</v>
      </c>
      <c r="AN203" s="290">
        <f t="shared" si="212"/>
        <v>0</v>
      </c>
      <c r="AO203" s="290">
        <f t="shared" si="212"/>
        <v>0</v>
      </c>
      <c r="AP203" s="290">
        <f t="shared" si="212"/>
        <v>0</v>
      </c>
      <c r="AQ203" s="290">
        <f t="shared" si="212"/>
        <v>0</v>
      </c>
      <c r="AR203" s="290">
        <f t="shared" si="212"/>
        <v>0</v>
      </c>
      <c r="AS203" s="290">
        <f t="shared" si="212"/>
        <v>0</v>
      </c>
    </row>
    <row r="204" spans="1:45" ht="15" customHeight="1" x14ac:dyDescent="0.3">
      <c r="A204"/>
      <c r="B204"/>
      <c r="C204"/>
      <c r="D204"/>
      <c r="E204" s="290" t="s">
        <v>183</v>
      </c>
      <c r="G204" s="290" t="s">
        <v>34</v>
      </c>
      <c r="I204" s="291"/>
      <c r="J204" s="42"/>
      <c r="K204" s="343">
        <f t="shared" ref="K204:AS204" si="213">K203 * $F197</f>
        <v>0</v>
      </c>
      <c r="L204" s="343">
        <f t="shared" si="213"/>
        <v>0</v>
      </c>
      <c r="M204" s="343">
        <f t="shared" si="213"/>
        <v>0</v>
      </c>
      <c r="N204" s="343">
        <f t="shared" si="213"/>
        <v>0</v>
      </c>
      <c r="O204" s="343">
        <f t="shared" si="213"/>
        <v>0</v>
      </c>
      <c r="P204" s="343">
        <f t="shared" si="213"/>
        <v>0</v>
      </c>
      <c r="Q204" s="343">
        <f t="shared" si="213"/>
        <v>0</v>
      </c>
      <c r="R204" s="343">
        <f t="shared" si="213"/>
        <v>0</v>
      </c>
      <c r="S204" s="343">
        <f t="shared" si="213"/>
        <v>0</v>
      </c>
      <c r="T204" s="343">
        <f t="shared" si="213"/>
        <v>0</v>
      </c>
      <c r="U204" s="343">
        <f t="shared" si="213"/>
        <v>0</v>
      </c>
      <c r="V204" s="343">
        <f t="shared" si="213"/>
        <v>0</v>
      </c>
      <c r="W204" s="343">
        <f t="shared" si="213"/>
        <v>2.7500000000000004E-2</v>
      </c>
      <c r="X204" s="343">
        <f t="shared" si="213"/>
        <v>0</v>
      </c>
      <c r="Y204" s="343">
        <f t="shared" si="213"/>
        <v>0</v>
      </c>
      <c r="Z204" s="343">
        <f t="shared" si="213"/>
        <v>0</v>
      </c>
      <c r="AA204" s="343">
        <f t="shared" si="213"/>
        <v>0</v>
      </c>
      <c r="AB204" s="343">
        <f t="shared" si="213"/>
        <v>0</v>
      </c>
      <c r="AC204" s="343">
        <f t="shared" si="213"/>
        <v>0</v>
      </c>
      <c r="AD204" s="343">
        <f t="shared" si="213"/>
        <v>0</v>
      </c>
      <c r="AE204" s="343">
        <f t="shared" si="213"/>
        <v>0</v>
      </c>
      <c r="AF204" s="343">
        <f t="shared" si="213"/>
        <v>0</v>
      </c>
      <c r="AG204" s="343">
        <f t="shared" si="213"/>
        <v>0</v>
      </c>
      <c r="AH204" s="343">
        <f t="shared" si="213"/>
        <v>0</v>
      </c>
      <c r="AI204" s="343">
        <f t="shared" si="213"/>
        <v>0</v>
      </c>
      <c r="AJ204" s="343">
        <f t="shared" si="213"/>
        <v>0</v>
      </c>
      <c r="AK204" s="343">
        <f t="shared" si="213"/>
        <v>0</v>
      </c>
      <c r="AL204" s="343">
        <f t="shared" si="213"/>
        <v>0</v>
      </c>
      <c r="AM204" s="343">
        <f t="shared" si="213"/>
        <v>0</v>
      </c>
      <c r="AN204" s="343">
        <f t="shared" si="213"/>
        <v>0</v>
      </c>
      <c r="AO204" s="343">
        <f t="shared" si="213"/>
        <v>0</v>
      </c>
      <c r="AP204" s="343">
        <f t="shared" si="213"/>
        <v>0</v>
      </c>
      <c r="AQ204" s="343">
        <f t="shared" si="213"/>
        <v>0</v>
      </c>
      <c r="AR204" s="343">
        <f t="shared" si="213"/>
        <v>0</v>
      </c>
      <c r="AS204" s="343">
        <f t="shared" si="213"/>
        <v>0</v>
      </c>
    </row>
    <row r="205" spans="1:45" ht="15" customHeight="1" x14ac:dyDescent="0.3">
      <c r="A205"/>
      <c r="B205"/>
      <c r="C205"/>
      <c r="D205"/>
      <c r="I205" s="291"/>
      <c r="J205" s="42"/>
      <c r="AL205" s="290"/>
      <c r="AM205" s="290"/>
      <c r="AN205" s="290"/>
      <c r="AO205" s="290"/>
      <c r="AP205" s="290"/>
      <c r="AQ205" s="290"/>
      <c r="AR205" s="290"/>
      <c r="AS205" s="290"/>
    </row>
    <row r="206" spans="1:45" ht="15" customHeight="1" x14ac:dyDescent="0.3">
      <c r="A206"/>
      <c r="B206"/>
      <c r="C206"/>
      <c r="D206"/>
      <c r="E206" s="290" t="s">
        <v>187</v>
      </c>
      <c r="G206" s="290" t="s">
        <v>160</v>
      </c>
      <c r="I206" s="291"/>
      <c r="J206" s="42"/>
      <c r="K206" s="290">
        <f t="shared" ref="K206:AS206" si="214">(K2 &gt; 2018) * 1</f>
        <v>0</v>
      </c>
      <c r="L206" s="290">
        <f t="shared" si="214"/>
        <v>0</v>
      </c>
      <c r="M206" s="290">
        <f t="shared" si="214"/>
        <v>0</v>
      </c>
      <c r="N206" s="290">
        <f t="shared" si="214"/>
        <v>0</v>
      </c>
      <c r="O206" s="290">
        <f t="shared" si="214"/>
        <v>0</v>
      </c>
      <c r="P206" s="290">
        <f t="shared" si="214"/>
        <v>0</v>
      </c>
      <c r="Q206" s="290">
        <f t="shared" si="214"/>
        <v>0</v>
      </c>
      <c r="R206" s="290">
        <f t="shared" si="214"/>
        <v>0</v>
      </c>
      <c r="S206" s="290">
        <f t="shared" si="214"/>
        <v>0</v>
      </c>
      <c r="T206" s="290">
        <f t="shared" si="214"/>
        <v>0</v>
      </c>
      <c r="U206" s="290">
        <f t="shared" si="214"/>
        <v>0</v>
      </c>
      <c r="V206" s="290">
        <f t="shared" si="214"/>
        <v>0</v>
      </c>
      <c r="W206" s="290">
        <f t="shared" si="214"/>
        <v>0</v>
      </c>
      <c r="X206" s="290">
        <f t="shared" si="214"/>
        <v>1</v>
      </c>
      <c r="Y206" s="290">
        <f t="shared" si="214"/>
        <v>1</v>
      </c>
      <c r="Z206" s="290">
        <f t="shared" si="214"/>
        <v>1</v>
      </c>
      <c r="AA206" s="290">
        <f t="shared" si="214"/>
        <v>1</v>
      </c>
      <c r="AB206" s="290">
        <f t="shared" si="214"/>
        <v>1</v>
      </c>
      <c r="AC206" s="290">
        <f t="shared" si="214"/>
        <v>1</v>
      </c>
      <c r="AD206" s="290">
        <f t="shared" si="214"/>
        <v>1</v>
      </c>
      <c r="AE206" s="290">
        <f t="shared" si="214"/>
        <v>1</v>
      </c>
      <c r="AF206" s="290">
        <f t="shared" si="214"/>
        <v>1</v>
      </c>
      <c r="AG206" s="290">
        <f t="shared" si="214"/>
        <v>1</v>
      </c>
      <c r="AH206" s="290">
        <f t="shared" si="214"/>
        <v>1</v>
      </c>
      <c r="AI206" s="290">
        <f t="shared" si="214"/>
        <v>1</v>
      </c>
      <c r="AJ206" s="290">
        <f t="shared" si="214"/>
        <v>1</v>
      </c>
      <c r="AK206" s="290">
        <f t="shared" si="214"/>
        <v>1</v>
      </c>
      <c r="AL206" s="290">
        <f t="shared" si="214"/>
        <v>1</v>
      </c>
      <c r="AM206" s="290">
        <f t="shared" si="214"/>
        <v>1</v>
      </c>
      <c r="AN206" s="290">
        <f t="shared" si="214"/>
        <v>1</v>
      </c>
      <c r="AO206" s="290">
        <f t="shared" si="214"/>
        <v>1</v>
      </c>
      <c r="AP206" s="290">
        <f t="shared" si="214"/>
        <v>1</v>
      </c>
      <c r="AQ206" s="290">
        <f t="shared" si="214"/>
        <v>1</v>
      </c>
      <c r="AR206" s="290">
        <f t="shared" si="214"/>
        <v>1</v>
      </c>
      <c r="AS206" s="290">
        <f t="shared" si="214"/>
        <v>1</v>
      </c>
    </row>
    <row r="207" spans="1:45" ht="15" customHeight="1" x14ac:dyDescent="0.3">
      <c r="A207"/>
      <c r="B207"/>
      <c r="C207"/>
      <c r="D207"/>
      <c r="E207" s="290" t="s">
        <v>185</v>
      </c>
      <c r="G207" s="290" t="s">
        <v>34</v>
      </c>
      <c r="I207" s="291"/>
      <c r="J207" s="42"/>
      <c r="K207" s="343">
        <f t="shared" ref="K207:AS207" si="215">K206 * $F196</f>
        <v>0</v>
      </c>
      <c r="L207" s="343">
        <f t="shared" si="215"/>
        <v>0</v>
      </c>
      <c r="M207" s="343">
        <f t="shared" si="215"/>
        <v>0</v>
      </c>
      <c r="N207" s="343">
        <f t="shared" si="215"/>
        <v>0</v>
      </c>
      <c r="O207" s="343">
        <f t="shared" si="215"/>
        <v>0</v>
      </c>
      <c r="P207" s="343">
        <f t="shared" si="215"/>
        <v>0</v>
      </c>
      <c r="Q207" s="343">
        <f t="shared" si="215"/>
        <v>0</v>
      </c>
      <c r="R207" s="343">
        <f t="shared" si="215"/>
        <v>0</v>
      </c>
      <c r="S207" s="343">
        <f t="shared" si="215"/>
        <v>0</v>
      </c>
      <c r="T207" s="343">
        <f t="shared" si="215"/>
        <v>0</v>
      </c>
      <c r="U207" s="343">
        <f t="shared" si="215"/>
        <v>0</v>
      </c>
      <c r="V207" s="343">
        <f t="shared" si="215"/>
        <v>0</v>
      </c>
      <c r="W207" s="343">
        <f t="shared" si="215"/>
        <v>0</v>
      </c>
      <c r="X207" s="343">
        <f t="shared" si="215"/>
        <v>3.5000000000000003E-2</v>
      </c>
      <c r="Y207" s="343">
        <f t="shared" si="215"/>
        <v>3.5000000000000003E-2</v>
      </c>
      <c r="Z207" s="343">
        <f t="shared" si="215"/>
        <v>3.5000000000000003E-2</v>
      </c>
      <c r="AA207" s="343">
        <f t="shared" si="215"/>
        <v>3.5000000000000003E-2</v>
      </c>
      <c r="AB207" s="343">
        <f t="shared" si="215"/>
        <v>3.5000000000000003E-2</v>
      </c>
      <c r="AC207" s="343">
        <f t="shared" si="215"/>
        <v>3.5000000000000003E-2</v>
      </c>
      <c r="AD207" s="343">
        <f t="shared" si="215"/>
        <v>3.5000000000000003E-2</v>
      </c>
      <c r="AE207" s="343">
        <f t="shared" si="215"/>
        <v>3.5000000000000003E-2</v>
      </c>
      <c r="AF207" s="343">
        <f t="shared" si="215"/>
        <v>3.5000000000000003E-2</v>
      </c>
      <c r="AG207" s="343">
        <f t="shared" si="215"/>
        <v>3.5000000000000003E-2</v>
      </c>
      <c r="AH207" s="343">
        <f t="shared" si="215"/>
        <v>3.5000000000000003E-2</v>
      </c>
      <c r="AI207" s="343">
        <f t="shared" si="215"/>
        <v>3.5000000000000003E-2</v>
      </c>
      <c r="AJ207" s="343">
        <f t="shared" si="215"/>
        <v>3.5000000000000003E-2</v>
      </c>
      <c r="AK207" s="343">
        <f t="shared" si="215"/>
        <v>3.5000000000000003E-2</v>
      </c>
      <c r="AL207" s="343">
        <f t="shared" si="215"/>
        <v>3.5000000000000003E-2</v>
      </c>
      <c r="AM207" s="343">
        <f t="shared" si="215"/>
        <v>3.5000000000000003E-2</v>
      </c>
      <c r="AN207" s="343">
        <f t="shared" si="215"/>
        <v>3.5000000000000003E-2</v>
      </c>
      <c r="AO207" s="343">
        <f t="shared" si="215"/>
        <v>3.5000000000000003E-2</v>
      </c>
      <c r="AP207" s="343">
        <f t="shared" si="215"/>
        <v>3.5000000000000003E-2</v>
      </c>
      <c r="AQ207" s="343">
        <f t="shared" si="215"/>
        <v>3.5000000000000003E-2</v>
      </c>
      <c r="AR207" s="343">
        <f t="shared" si="215"/>
        <v>3.5000000000000003E-2</v>
      </c>
      <c r="AS207" s="343">
        <f t="shared" si="215"/>
        <v>3.5000000000000003E-2</v>
      </c>
    </row>
    <row r="208" spans="1:45" ht="15" customHeight="1" x14ac:dyDescent="0.3">
      <c r="A208"/>
      <c r="B208"/>
      <c r="C208"/>
      <c r="D208"/>
      <c r="I208" s="291"/>
      <c r="J208" s="42"/>
      <c r="AL208" s="290"/>
      <c r="AM208" s="290"/>
      <c r="AN208" s="290"/>
      <c r="AO208" s="290"/>
      <c r="AP208" s="290"/>
      <c r="AQ208" s="290"/>
      <c r="AR208" s="290"/>
      <c r="AS208" s="290"/>
    </row>
    <row r="209" spans="1:45" ht="15" customHeight="1" x14ac:dyDescent="0.3">
      <c r="A209"/>
      <c r="B209"/>
      <c r="C209"/>
      <c r="D209"/>
      <c r="E209" s="290" t="str">
        <f>E201</f>
        <v>Pre 2018 royalty rate</v>
      </c>
      <c r="G209" s="290" t="str">
        <f>G201</f>
        <v>%</v>
      </c>
      <c r="H209" s="290"/>
      <c r="J209" s="42"/>
      <c r="K209" s="72">
        <f>K201</f>
        <v>0.02</v>
      </c>
      <c r="L209" s="72">
        <f t="shared" ref="L209:O209" si="216">L201</f>
        <v>0.02</v>
      </c>
      <c r="M209" s="72">
        <f t="shared" si="216"/>
        <v>0.02</v>
      </c>
      <c r="N209" s="72">
        <f t="shared" si="216"/>
        <v>0.02</v>
      </c>
      <c r="O209" s="72">
        <f t="shared" si="216"/>
        <v>0.02</v>
      </c>
      <c r="P209" s="72">
        <f t="shared" ref="P209:R209" si="217">P201</f>
        <v>0.02</v>
      </c>
      <c r="Q209" s="72">
        <f t="shared" si="217"/>
        <v>0.02</v>
      </c>
      <c r="R209" s="72">
        <f t="shared" si="217"/>
        <v>0.02</v>
      </c>
      <c r="S209" s="72">
        <f t="shared" ref="S209:AP209" si="218">S201</f>
        <v>0.02</v>
      </c>
      <c r="T209" s="72">
        <f t="shared" si="218"/>
        <v>0.02</v>
      </c>
      <c r="U209" s="72">
        <f t="shared" si="218"/>
        <v>0.02</v>
      </c>
      <c r="V209" s="72">
        <f t="shared" si="218"/>
        <v>0.02</v>
      </c>
      <c r="W209" s="72">
        <f t="shared" si="218"/>
        <v>0</v>
      </c>
      <c r="X209" s="72">
        <f t="shared" si="218"/>
        <v>0</v>
      </c>
      <c r="Y209" s="72">
        <f t="shared" si="218"/>
        <v>0</v>
      </c>
      <c r="Z209" s="72">
        <f t="shared" si="218"/>
        <v>0</v>
      </c>
      <c r="AA209" s="72">
        <f t="shared" si="218"/>
        <v>0</v>
      </c>
      <c r="AB209" s="72">
        <f t="shared" si="218"/>
        <v>0</v>
      </c>
      <c r="AC209" s="72">
        <f t="shared" si="218"/>
        <v>0</v>
      </c>
      <c r="AD209" s="72">
        <f t="shared" si="218"/>
        <v>0</v>
      </c>
      <c r="AE209" s="72">
        <f t="shared" si="218"/>
        <v>0</v>
      </c>
      <c r="AF209" s="72">
        <f t="shared" si="218"/>
        <v>0</v>
      </c>
      <c r="AG209" s="72">
        <f t="shared" si="218"/>
        <v>0</v>
      </c>
      <c r="AH209" s="72">
        <f t="shared" si="218"/>
        <v>0</v>
      </c>
      <c r="AI209" s="72">
        <f t="shared" si="218"/>
        <v>0</v>
      </c>
      <c r="AJ209" s="72">
        <f t="shared" si="218"/>
        <v>0</v>
      </c>
      <c r="AK209" s="72">
        <f t="shared" si="218"/>
        <v>0</v>
      </c>
      <c r="AL209" s="72">
        <f t="shared" si="218"/>
        <v>0</v>
      </c>
      <c r="AM209" s="72">
        <f t="shared" si="218"/>
        <v>0</v>
      </c>
      <c r="AN209" s="72">
        <f t="shared" si="218"/>
        <v>0</v>
      </c>
      <c r="AO209" s="72">
        <f t="shared" si="218"/>
        <v>0</v>
      </c>
      <c r="AP209" s="72">
        <f t="shared" si="218"/>
        <v>0</v>
      </c>
      <c r="AQ209" s="72">
        <f t="shared" ref="AQ209:AS209" si="219">AQ201</f>
        <v>0</v>
      </c>
      <c r="AR209" s="72">
        <f t="shared" si="219"/>
        <v>0</v>
      </c>
      <c r="AS209" s="72">
        <f t="shared" si="219"/>
        <v>0</v>
      </c>
    </row>
    <row r="210" spans="1:45" ht="15" customHeight="1" x14ac:dyDescent="0.3">
      <c r="A210"/>
      <c r="B210"/>
      <c r="E210" s="290" t="str">
        <f>E204</f>
        <v>2018 royalty rate</v>
      </c>
      <c r="G210" s="290" t="str">
        <f>G204</f>
        <v>%</v>
      </c>
      <c r="H210" s="290"/>
      <c r="J210" s="42"/>
      <c r="K210" s="72">
        <f t="shared" ref="K210:O210" si="220">K204</f>
        <v>0</v>
      </c>
      <c r="L210" s="72">
        <f t="shared" si="220"/>
        <v>0</v>
      </c>
      <c r="M210" s="72">
        <f t="shared" si="220"/>
        <v>0</v>
      </c>
      <c r="N210" s="72">
        <f t="shared" si="220"/>
        <v>0</v>
      </c>
      <c r="O210" s="72">
        <f t="shared" si="220"/>
        <v>0</v>
      </c>
      <c r="P210" s="72">
        <f t="shared" ref="P210:R210" si="221">P204</f>
        <v>0</v>
      </c>
      <c r="Q210" s="72">
        <f t="shared" si="221"/>
        <v>0</v>
      </c>
      <c r="R210" s="72">
        <f t="shared" si="221"/>
        <v>0</v>
      </c>
      <c r="S210" s="72">
        <f t="shared" ref="S210:AP210" si="222">S204</f>
        <v>0</v>
      </c>
      <c r="T210" s="72">
        <f t="shared" si="222"/>
        <v>0</v>
      </c>
      <c r="U210" s="72">
        <f t="shared" si="222"/>
        <v>0</v>
      </c>
      <c r="V210" s="72">
        <f t="shared" si="222"/>
        <v>0</v>
      </c>
      <c r="W210" s="72">
        <f t="shared" si="222"/>
        <v>2.7500000000000004E-2</v>
      </c>
      <c r="X210" s="72">
        <f t="shared" si="222"/>
        <v>0</v>
      </c>
      <c r="Y210" s="72">
        <f t="shared" si="222"/>
        <v>0</v>
      </c>
      <c r="Z210" s="72">
        <f t="shared" si="222"/>
        <v>0</v>
      </c>
      <c r="AA210" s="72">
        <f t="shared" si="222"/>
        <v>0</v>
      </c>
      <c r="AB210" s="72">
        <f t="shared" si="222"/>
        <v>0</v>
      </c>
      <c r="AC210" s="72">
        <f t="shared" si="222"/>
        <v>0</v>
      </c>
      <c r="AD210" s="72">
        <f t="shared" si="222"/>
        <v>0</v>
      </c>
      <c r="AE210" s="72">
        <f t="shared" si="222"/>
        <v>0</v>
      </c>
      <c r="AF210" s="72">
        <f t="shared" si="222"/>
        <v>0</v>
      </c>
      <c r="AG210" s="72">
        <f t="shared" si="222"/>
        <v>0</v>
      </c>
      <c r="AH210" s="72">
        <f t="shared" si="222"/>
        <v>0</v>
      </c>
      <c r="AI210" s="72">
        <f t="shared" si="222"/>
        <v>0</v>
      </c>
      <c r="AJ210" s="72">
        <f t="shared" si="222"/>
        <v>0</v>
      </c>
      <c r="AK210" s="72">
        <f t="shared" si="222"/>
        <v>0</v>
      </c>
      <c r="AL210" s="72">
        <f t="shared" si="222"/>
        <v>0</v>
      </c>
      <c r="AM210" s="72">
        <f t="shared" si="222"/>
        <v>0</v>
      </c>
      <c r="AN210" s="72">
        <f t="shared" si="222"/>
        <v>0</v>
      </c>
      <c r="AO210" s="72">
        <f t="shared" si="222"/>
        <v>0</v>
      </c>
      <c r="AP210" s="72">
        <f t="shared" si="222"/>
        <v>0</v>
      </c>
      <c r="AQ210" s="72">
        <f t="shared" ref="AQ210:AS210" si="223">AQ204</f>
        <v>0</v>
      </c>
      <c r="AR210" s="72">
        <f t="shared" si="223"/>
        <v>0</v>
      </c>
      <c r="AS210" s="72">
        <f t="shared" si="223"/>
        <v>0</v>
      </c>
    </row>
    <row r="211" spans="1:45" ht="15" customHeight="1" x14ac:dyDescent="0.3">
      <c r="A211"/>
      <c r="B211"/>
      <c r="E211" s="290" t="str">
        <f>E207</f>
        <v>Post 2018 royalty rate</v>
      </c>
      <c r="G211" s="290" t="str">
        <f>G207</f>
        <v>%</v>
      </c>
      <c r="H211" s="290"/>
      <c r="J211" s="42"/>
      <c r="K211" s="72">
        <f t="shared" ref="K211:O211" si="224">K207</f>
        <v>0</v>
      </c>
      <c r="L211" s="72">
        <f t="shared" si="224"/>
        <v>0</v>
      </c>
      <c r="M211" s="72">
        <f t="shared" si="224"/>
        <v>0</v>
      </c>
      <c r="N211" s="72">
        <f t="shared" si="224"/>
        <v>0</v>
      </c>
      <c r="O211" s="72">
        <f t="shared" si="224"/>
        <v>0</v>
      </c>
      <c r="P211" s="72">
        <f t="shared" ref="P211:R211" si="225">P207</f>
        <v>0</v>
      </c>
      <c r="Q211" s="72">
        <f t="shared" si="225"/>
        <v>0</v>
      </c>
      <c r="R211" s="72">
        <f t="shared" si="225"/>
        <v>0</v>
      </c>
      <c r="S211" s="72">
        <f t="shared" ref="S211:AP211" si="226">S207</f>
        <v>0</v>
      </c>
      <c r="T211" s="72">
        <f t="shared" si="226"/>
        <v>0</v>
      </c>
      <c r="U211" s="72">
        <f t="shared" si="226"/>
        <v>0</v>
      </c>
      <c r="V211" s="72">
        <f t="shared" si="226"/>
        <v>0</v>
      </c>
      <c r="W211" s="72">
        <f t="shared" si="226"/>
        <v>0</v>
      </c>
      <c r="X211" s="72">
        <f t="shared" si="226"/>
        <v>3.5000000000000003E-2</v>
      </c>
      <c r="Y211" s="72">
        <f t="shared" si="226"/>
        <v>3.5000000000000003E-2</v>
      </c>
      <c r="Z211" s="72">
        <f t="shared" si="226"/>
        <v>3.5000000000000003E-2</v>
      </c>
      <c r="AA211" s="72">
        <f t="shared" si="226"/>
        <v>3.5000000000000003E-2</v>
      </c>
      <c r="AB211" s="72">
        <f t="shared" si="226"/>
        <v>3.5000000000000003E-2</v>
      </c>
      <c r="AC211" s="72">
        <f t="shared" si="226"/>
        <v>3.5000000000000003E-2</v>
      </c>
      <c r="AD211" s="72">
        <f t="shared" si="226"/>
        <v>3.5000000000000003E-2</v>
      </c>
      <c r="AE211" s="72">
        <f t="shared" si="226"/>
        <v>3.5000000000000003E-2</v>
      </c>
      <c r="AF211" s="72">
        <f t="shared" si="226"/>
        <v>3.5000000000000003E-2</v>
      </c>
      <c r="AG211" s="72">
        <f t="shared" si="226"/>
        <v>3.5000000000000003E-2</v>
      </c>
      <c r="AH211" s="72">
        <f t="shared" si="226"/>
        <v>3.5000000000000003E-2</v>
      </c>
      <c r="AI211" s="72">
        <f t="shared" si="226"/>
        <v>3.5000000000000003E-2</v>
      </c>
      <c r="AJ211" s="72">
        <f t="shared" si="226"/>
        <v>3.5000000000000003E-2</v>
      </c>
      <c r="AK211" s="72">
        <f t="shared" si="226"/>
        <v>3.5000000000000003E-2</v>
      </c>
      <c r="AL211" s="72">
        <f t="shared" si="226"/>
        <v>3.5000000000000003E-2</v>
      </c>
      <c r="AM211" s="72">
        <f t="shared" si="226"/>
        <v>3.5000000000000003E-2</v>
      </c>
      <c r="AN211" s="72">
        <f t="shared" si="226"/>
        <v>3.5000000000000003E-2</v>
      </c>
      <c r="AO211" s="72">
        <f t="shared" si="226"/>
        <v>3.5000000000000003E-2</v>
      </c>
      <c r="AP211" s="72">
        <f t="shared" si="226"/>
        <v>3.5000000000000003E-2</v>
      </c>
      <c r="AQ211" s="72">
        <f t="shared" ref="AQ211:AS211" si="227">AQ207</f>
        <v>3.5000000000000003E-2</v>
      </c>
      <c r="AR211" s="72">
        <f t="shared" si="227"/>
        <v>3.5000000000000003E-2</v>
      </c>
      <c r="AS211" s="72">
        <f t="shared" si="227"/>
        <v>3.5000000000000003E-2</v>
      </c>
    </row>
    <row r="212" spans="1:45" ht="15" customHeight="1" x14ac:dyDescent="0.3">
      <c r="A212"/>
      <c r="B212"/>
      <c r="C212" s="311"/>
      <c r="D212" s="312"/>
      <c r="E212" s="312" t="s">
        <v>188</v>
      </c>
      <c r="F212" s="312"/>
      <c r="G212" s="312" t="s">
        <v>34</v>
      </c>
      <c r="H212" s="314"/>
      <c r="I212" s="314"/>
      <c r="J212" s="42"/>
      <c r="K212" s="149">
        <f t="shared" ref="K212:O212" si="228">IF(K209 &gt; 0, K209, IF(K210 &gt; 0, K210, IF(K211 &gt; 0, K211, 0)))</f>
        <v>0.02</v>
      </c>
      <c r="L212" s="149">
        <f t="shared" si="228"/>
        <v>0.02</v>
      </c>
      <c r="M212" s="149">
        <f t="shared" si="228"/>
        <v>0.02</v>
      </c>
      <c r="N212" s="149">
        <f t="shared" si="228"/>
        <v>0.02</v>
      </c>
      <c r="O212" s="149">
        <f t="shared" si="228"/>
        <v>0.02</v>
      </c>
      <c r="P212" s="149">
        <f t="shared" ref="P212:R212" si="229">IF(P209 &gt; 0, P209, IF(P210 &gt; 0, P210, IF(P211 &gt; 0, P211, 0)))</f>
        <v>0.02</v>
      </c>
      <c r="Q212" s="149">
        <f t="shared" si="229"/>
        <v>0.02</v>
      </c>
      <c r="R212" s="149">
        <f t="shared" si="229"/>
        <v>0.02</v>
      </c>
      <c r="S212" s="149">
        <f t="shared" ref="S212:AP212" si="230">IF(S209 &gt; 0, S209, IF(S210 &gt; 0, S210, IF(S211 &gt; 0, S211, 0)))</f>
        <v>0.02</v>
      </c>
      <c r="T212" s="149">
        <f t="shared" si="230"/>
        <v>0.02</v>
      </c>
      <c r="U212" s="149">
        <f t="shared" si="230"/>
        <v>0.02</v>
      </c>
      <c r="V212" s="149">
        <f t="shared" si="230"/>
        <v>0.02</v>
      </c>
      <c r="W212" s="149">
        <f t="shared" si="230"/>
        <v>2.7500000000000004E-2</v>
      </c>
      <c r="X212" s="149">
        <f t="shared" si="230"/>
        <v>3.5000000000000003E-2</v>
      </c>
      <c r="Y212" s="149">
        <f t="shared" si="230"/>
        <v>3.5000000000000003E-2</v>
      </c>
      <c r="Z212" s="149">
        <f t="shared" si="230"/>
        <v>3.5000000000000003E-2</v>
      </c>
      <c r="AA212" s="149">
        <f t="shared" si="230"/>
        <v>3.5000000000000003E-2</v>
      </c>
      <c r="AB212" s="149">
        <f t="shared" si="230"/>
        <v>3.5000000000000003E-2</v>
      </c>
      <c r="AC212" s="149">
        <f t="shared" si="230"/>
        <v>3.5000000000000003E-2</v>
      </c>
      <c r="AD212" s="149">
        <f t="shared" si="230"/>
        <v>3.5000000000000003E-2</v>
      </c>
      <c r="AE212" s="149">
        <f t="shared" si="230"/>
        <v>3.5000000000000003E-2</v>
      </c>
      <c r="AF212" s="149">
        <f t="shared" si="230"/>
        <v>3.5000000000000003E-2</v>
      </c>
      <c r="AG212" s="149">
        <f t="shared" si="230"/>
        <v>3.5000000000000003E-2</v>
      </c>
      <c r="AH212" s="149">
        <f t="shared" si="230"/>
        <v>3.5000000000000003E-2</v>
      </c>
      <c r="AI212" s="149">
        <f t="shared" si="230"/>
        <v>3.5000000000000003E-2</v>
      </c>
      <c r="AJ212" s="149">
        <f t="shared" si="230"/>
        <v>3.5000000000000003E-2</v>
      </c>
      <c r="AK212" s="149">
        <f t="shared" si="230"/>
        <v>3.5000000000000003E-2</v>
      </c>
      <c r="AL212" s="149">
        <f t="shared" si="230"/>
        <v>3.5000000000000003E-2</v>
      </c>
      <c r="AM212" s="149">
        <f t="shared" si="230"/>
        <v>3.5000000000000003E-2</v>
      </c>
      <c r="AN212" s="149">
        <f t="shared" si="230"/>
        <v>3.5000000000000003E-2</v>
      </c>
      <c r="AO212" s="149">
        <f t="shared" si="230"/>
        <v>3.5000000000000003E-2</v>
      </c>
      <c r="AP212" s="149">
        <f t="shared" si="230"/>
        <v>3.5000000000000003E-2</v>
      </c>
      <c r="AQ212" s="149">
        <f t="shared" ref="AQ212:AS212" si="231">IF(AQ209 &gt; 0, AQ209, IF(AQ210 &gt; 0, AQ210, IF(AQ211 &gt; 0, AQ211, 0)))</f>
        <v>3.5000000000000003E-2</v>
      </c>
      <c r="AR212" s="149">
        <f t="shared" si="231"/>
        <v>3.5000000000000003E-2</v>
      </c>
      <c r="AS212" s="149">
        <f t="shared" si="231"/>
        <v>3.5000000000000003E-2</v>
      </c>
    </row>
    <row r="213" spans="1:45" ht="15" customHeight="1" x14ac:dyDescent="0.3">
      <c r="A213"/>
      <c r="B213"/>
      <c r="C213" s="311"/>
      <c r="D213" s="312"/>
      <c r="E213" s="312"/>
      <c r="F213" s="312"/>
      <c r="G213" s="312"/>
      <c r="H213" s="314"/>
      <c r="I213" s="314"/>
      <c r="J213" s="42"/>
      <c r="K213" s="149"/>
      <c r="L213" s="149"/>
      <c r="M213" s="149"/>
      <c r="N213" s="149"/>
      <c r="O213" s="149"/>
      <c r="P213" s="149"/>
      <c r="Q213" s="149"/>
      <c r="R213" s="149"/>
      <c r="S213" s="149"/>
      <c r="T213" s="149"/>
      <c r="U213" s="149"/>
      <c r="V213" s="149"/>
      <c r="W213" s="149"/>
      <c r="X213" s="149"/>
      <c r="Y213" s="149"/>
      <c r="Z213" s="149"/>
      <c r="AA213" s="149"/>
      <c r="AB213" s="149"/>
      <c r="AC213" s="149"/>
      <c r="AD213" s="149"/>
      <c r="AE213" s="149"/>
      <c r="AF213" s="149"/>
      <c r="AG213" s="149"/>
      <c r="AH213" s="149"/>
      <c r="AI213" s="149"/>
      <c r="AJ213" s="149"/>
      <c r="AK213" s="149"/>
      <c r="AL213" s="149"/>
      <c r="AM213" s="149"/>
      <c r="AN213" s="149"/>
      <c r="AO213" s="149"/>
      <c r="AP213" s="149"/>
      <c r="AQ213" s="149"/>
      <c r="AR213" s="149"/>
      <c r="AS213" s="149"/>
    </row>
    <row r="214" spans="1:45" ht="15" customHeight="1" x14ac:dyDescent="0.3">
      <c r="A214"/>
      <c r="B214"/>
      <c r="C214" s="311"/>
      <c r="D214" s="312"/>
      <c r="E214" s="312" t="s">
        <v>110</v>
      </c>
      <c r="F214" s="312"/>
      <c r="G214" s="312"/>
      <c r="H214" s="314"/>
      <c r="I214" s="314"/>
      <c r="J214" s="42"/>
      <c r="K214" s="149">
        <f t="shared" ref="K214:AS214" si="232">$F198</f>
        <v>0.1</v>
      </c>
      <c r="L214" s="149">
        <f t="shared" si="232"/>
        <v>0.1</v>
      </c>
      <c r="M214" s="149">
        <f t="shared" si="232"/>
        <v>0.1</v>
      </c>
      <c r="N214" s="149">
        <f t="shared" si="232"/>
        <v>0.1</v>
      </c>
      <c r="O214" s="149">
        <f t="shared" si="232"/>
        <v>0.1</v>
      </c>
      <c r="P214" s="149">
        <f t="shared" si="232"/>
        <v>0.1</v>
      </c>
      <c r="Q214" s="149">
        <f t="shared" si="232"/>
        <v>0.1</v>
      </c>
      <c r="R214" s="149">
        <f t="shared" si="232"/>
        <v>0.1</v>
      </c>
      <c r="S214" s="149">
        <f t="shared" si="232"/>
        <v>0.1</v>
      </c>
      <c r="T214" s="149">
        <f t="shared" si="232"/>
        <v>0.1</v>
      </c>
      <c r="U214" s="149">
        <f t="shared" si="232"/>
        <v>0.1</v>
      </c>
      <c r="V214" s="149">
        <f t="shared" si="232"/>
        <v>0.1</v>
      </c>
      <c r="W214" s="149">
        <f t="shared" si="232"/>
        <v>0.1</v>
      </c>
      <c r="X214" s="149">
        <f t="shared" si="232"/>
        <v>0.1</v>
      </c>
      <c r="Y214" s="149">
        <f t="shared" si="232"/>
        <v>0.1</v>
      </c>
      <c r="Z214" s="149">
        <f t="shared" si="232"/>
        <v>0.1</v>
      </c>
      <c r="AA214" s="149">
        <f t="shared" si="232"/>
        <v>0.1</v>
      </c>
      <c r="AB214" s="149">
        <f t="shared" si="232"/>
        <v>0.1</v>
      </c>
      <c r="AC214" s="149">
        <f t="shared" si="232"/>
        <v>0.1</v>
      </c>
      <c r="AD214" s="149">
        <f t="shared" si="232"/>
        <v>0.1</v>
      </c>
      <c r="AE214" s="149">
        <f t="shared" si="232"/>
        <v>0.1</v>
      </c>
      <c r="AF214" s="149">
        <f t="shared" si="232"/>
        <v>0.1</v>
      </c>
      <c r="AG214" s="149">
        <f t="shared" si="232"/>
        <v>0.1</v>
      </c>
      <c r="AH214" s="149">
        <f t="shared" si="232"/>
        <v>0.1</v>
      </c>
      <c r="AI214" s="149">
        <f t="shared" si="232"/>
        <v>0.1</v>
      </c>
      <c r="AJ214" s="149">
        <f t="shared" si="232"/>
        <v>0.1</v>
      </c>
      <c r="AK214" s="149">
        <f t="shared" si="232"/>
        <v>0.1</v>
      </c>
      <c r="AL214" s="149">
        <f t="shared" si="232"/>
        <v>0.1</v>
      </c>
      <c r="AM214" s="149">
        <f t="shared" si="232"/>
        <v>0.1</v>
      </c>
      <c r="AN214" s="149">
        <f t="shared" si="232"/>
        <v>0.1</v>
      </c>
      <c r="AO214" s="149">
        <f t="shared" si="232"/>
        <v>0.1</v>
      </c>
      <c r="AP214" s="149">
        <f t="shared" si="232"/>
        <v>0.1</v>
      </c>
      <c r="AQ214" s="149">
        <f t="shared" si="232"/>
        <v>0.1</v>
      </c>
      <c r="AR214" s="149">
        <f t="shared" si="232"/>
        <v>0.1</v>
      </c>
      <c r="AS214" s="149">
        <f t="shared" si="232"/>
        <v>0.1</v>
      </c>
    </row>
    <row r="215" spans="1:45" ht="15" customHeight="1" x14ac:dyDescent="0.3">
      <c r="I215" s="291"/>
      <c r="J215" s="42"/>
      <c r="AL215" s="290"/>
      <c r="AM215" s="290"/>
      <c r="AN215" s="290"/>
      <c r="AO215" s="290"/>
      <c r="AP215" s="290"/>
      <c r="AQ215" s="290"/>
      <c r="AR215" s="290"/>
      <c r="AS215" s="290"/>
    </row>
    <row r="216" spans="1:45" ht="15" customHeight="1" x14ac:dyDescent="0.3">
      <c r="C216" s="289" t="s">
        <v>278</v>
      </c>
      <c r="I216" s="291"/>
      <c r="J216" s="42"/>
      <c r="AL216" s="290"/>
      <c r="AM216" s="290"/>
      <c r="AN216" s="290"/>
      <c r="AO216" s="290"/>
      <c r="AP216" s="290"/>
      <c r="AQ216" s="290"/>
      <c r="AR216" s="290"/>
      <c r="AS216" s="290"/>
    </row>
    <row r="217" spans="1:45" ht="15" customHeight="1" x14ac:dyDescent="0.3">
      <c r="A217" s="282"/>
      <c r="B217" s="282"/>
      <c r="E217" s="169" t="str">
        <f xml:space="preserve"> E$103</f>
        <v>Total copper revenue</v>
      </c>
      <c r="F217" s="169">
        <f t="shared" ref="F217:I217" si="233" xml:space="preserve"> F$103</f>
        <v>0</v>
      </c>
      <c r="G217" s="169" t="str">
        <f t="shared" si="233"/>
        <v>$ mn</v>
      </c>
      <c r="H217" s="169">
        <f t="shared" si="233"/>
        <v>0</v>
      </c>
      <c r="I217" s="169">
        <f t="shared" si="233"/>
        <v>11253.945920999999</v>
      </c>
      <c r="J217" s="42"/>
      <c r="K217" s="299">
        <f t="shared" ref="K217:O217" si="234" xml:space="preserve"> K$103</f>
        <v>0</v>
      </c>
      <c r="L217" s="299">
        <f t="shared" si="234"/>
        <v>0</v>
      </c>
      <c r="M217" s="299">
        <f t="shared" si="234"/>
        <v>0</v>
      </c>
      <c r="N217" s="299">
        <f t="shared" si="234"/>
        <v>0</v>
      </c>
      <c r="O217" s="299">
        <f t="shared" si="234"/>
        <v>0</v>
      </c>
      <c r="P217" s="299">
        <f t="shared" ref="P217:AS217" si="235" xml:space="preserve"> P$103</f>
        <v>0</v>
      </c>
      <c r="Q217" s="299">
        <f t="shared" si="235"/>
        <v>0</v>
      </c>
      <c r="R217" s="299">
        <f t="shared" si="235"/>
        <v>0</v>
      </c>
      <c r="S217" s="299">
        <f t="shared" si="235"/>
        <v>0</v>
      </c>
      <c r="T217" s="299">
        <f t="shared" si="235"/>
        <v>0</v>
      </c>
      <c r="U217" s="299">
        <f t="shared" si="235"/>
        <v>0</v>
      </c>
      <c r="V217" s="299">
        <f t="shared" si="235"/>
        <v>104.68060499999999</v>
      </c>
      <c r="W217" s="299">
        <f t="shared" si="235"/>
        <v>275.12210800000003</v>
      </c>
      <c r="X217" s="299">
        <f t="shared" si="235"/>
        <v>416.84932400000002</v>
      </c>
      <c r="Y217" s="299">
        <f t="shared" si="235"/>
        <v>635.77241700000002</v>
      </c>
      <c r="Z217" s="299">
        <f t="shared" si="235"/>
        <v>1059.182198</v>
      </c>
      <c r="AA217" s="299">
        <f t="shared" si="235"/>
        <v>938.45274099999995</v>
      </c>
      <c r="AB217" s="299">
        <f t="shared" si="235"/>
        <v>855.15067199999999</v>
      </c>
      <c r="AC217" s="299">
        <f t="shared" si="235"/>
        <v>871.34161733333337</v>
      </c>
      <c r="AD217" s="299">
        <f t="shared" si="235"/>
        <v>871.34161733333337</v>
      </c>
      <c r="AE217" s="299">
        <f t="shared" si="235"/>
        <v>871.34161733333337</v>
      </c>
      <c r="AF217" s="299">
        <f t="shared" si="235"/>
        <v>871.34161733333337</v>
      </c>
      <c r="AG217" s="299">
        <f t="shared" si="235"/>
        <v>871.34161733333337</v>
      </c>
      <c r="AH217" s="299">
        <f t="shared" si="235"/>
        <v>871.34161733333337</v>
      </c>
      <c r="AI217" s="299">
        <f t="shared" si="235"/>
        <v>721.17631199999994</v>
      </c>
      <c r="AJ217" s="299">
        <f t="shared" si="235"/>
        <v>721.17631199999994</v>
      </c>
      <c r="AK217" s="299">
        <f t="shared" si="235"/>
        <v>298.333528</v>
      </c>
      <c r="AL217" s="299">
        <f t="shared" si="235"/>
        <v>0</v>
      </c>
      <c r="AM217" s="299">
        <f t="shared" si="235"/>
        <v>0</v>
      </c>
      <c r="AN217" s="299">
        <f t="shared" si="235"/>
        <v>0</v>
      </c>
      <c r="AO217" s="299">
        <f t="shared" si="235"/>
        <v>0</v>
      </c>
      <c r="AP217" s="299">
        <f t="shared" si="235"/>
        <v>0</v>
      </c>
      <c r="AQ217" s="299">
        <f t="shared" si="235"/>
        <v>0</v>
      </c>
      <c r="AR217" s="299">
        <f t="shared" si="235"/>
        <v>0</v>
      </c>
      <c r="AS217" s="299">
        <f t="shared" si="235"/>
        <v>0</v>
      </c>
    </row>
    <row r="218" spans="1:45" ht="15" customHeight="1" x14ac:dyDescent="0.3">
      <c r="E218" s="169" t="str">
        <f xml:space="preserve"> E$212</f>
        <v>Copper royalty rate</v>
      </c>
      <c r="F218" s="169">
        <f t="shared" ref="F218:I218" si="236" xml:space="preserve"> F$212</f>
        <v>0</v>
      </c>
      <c r="G218" s="169" t="str">
        <f t="shared" si="236"/>
        <v>%</v>
      </c>
      <c r="H218" s="169">
        <f t="shared" si="236"/>
        <v>0</v>
      </c>
      <c r="I218" s="169">
        <f t="shared" si="236"/>
        <v>0</v>
      </c>
      <c r="J218" s="42"/>
      <c r="K218" s="90">
        <f t="shared" ref="K218:O218" si="237" xml:space="preserve"> K$212</f>
        <v>0.02</v>
      </c>
      <c r="L218" s="90">
        <f t="shared" si="237"/>
        <v>0.02</v>
      </c>
      <c r="M218" s="90">
        <f t="shared" si="237"/>
        <v>0.02</v>
      </c>
      <c r="N218" s="90">
        <f t="shared" si="237"/>
        <v>0.02</v>
      </c>
      <c r="O218" s="90">
        <f t="shared" si="237"/>
        <v>0.02</v>
      </c>
      <c r="P218" s="90">
        <f t="shared" ref="P218:AS218" si="238" xml:space="preserve"> P$212</f>
        <v>0.02</v>
      </c>
      <c r="Q218" s="90">
        <f t="shared" si="238"/>
        <v>0.02</v>
      </c>
      <c r="R218" s="90">
        <f t="shared" si="238"/>
        <v>0.02</v>
      </c>
      <c r="S218" s="90">
        <f t="shared" si="238"/>
        <v>0.02</v>
      </c>
      <c r="T218" s="90">
        <f t="shared" si="238"/>
        <v>0.02</v>
      </c>
      <c r="U218" s="90">
        <f t="shared" si="238"/>
        <v>0.02</v>
      </c>
      <c r="V218" s="90">
        <f t="shared" si="238"/>
        <v>0.02</v>
      </c>
      <c r="W218" s="90">
        <f t="shared" si="238"/>
        <v>2.7500000000000004E-2</v>
      </c>
      <c r="X218" s="90">
        <f t="shared" si="238"/>
        <v>3.5000000000000003E-2</v>
      </c>
      <c r="Y218" s="90">
        <f t="shared" si="238"/>
        <v>3.5000000000000003E-2</v>
      </c>
      <c r="Z218" s="90">
        <f t="shared" si="238"/>
        <v>3.5000000000000003E-2</v>
      </c>
      <c r="AA218" s="90">
        <f t="shared" si="238"/>
        <v>3.5000000000000003E-2</v>
      </c>
      <c r="AB218" s="90">
        <f t="shared" si="238"/>
        <v>3.5000000000000003E-2</v>
      </c>
      <c r="AC218" s="90">
        <f t="shared" si="238"/>
        <v>3.5000000000000003E-2</v>
      </c>
      <c r="AD218" s="90">
        <f t="shared" si="238"/>
        <v>3.5000000000000003E-2</v>
      </c>
      <c r="AE218" s="90">
        <f t="shared" si="238"/>
        <v>3.5000000000000003E-2</v>
      </c>
      <c r="AF218" s="90">
        <f t="shared" si="238"/>
        <v>3.5000000000000003E-2</v>
      </c>
      <c r="AG218" s="90">
        <f t="shared" si="238"/>
        <v>3.5000000000000003E-2</v>
      </c>
      <c r="AH218" s="90">
        <f t="shared" si="238"/>
        <v>3.5000000000000003E-2</v>
      </c>
      <c r="AI218" s="90">
        <f t="shared" si="238"/>
        <v>3.5000000000000003E-2</v>
      </c>
      <c r="AJ218" s="90">
        <f t="shared" si="238"/>
        <v>3.5000000000000003E-2</v>
      </c>
      <c r="AK218" s="90">
        <f t="shared" si="238"/>
        <v>3.5000000000000003E-2</v>
      </c>
      <c r="AL218" s="90">
        <f t="shared" si="238"/>
        <v>3.5000000000000003E-2</v>
      </c>
      <c r="AM218" s="90">
        <f t="shared" si="238"/>
        <v>3.5000000000000003E-2</v>
      </c>
      <c r="AN218" s="90">
        <f t="shared" si="238"/>
        <v>3.5000000000000003E-2</v>
      </c>
      <c r="AO218" s="90">
        <f t="shared" si="238"/>
        <v>3.5000000000000003E-2</v>
      </c>
      <c r="AP218" s="90">
        <f t="shared" si="238"/>
        <v>3.5000000000000003E-2</v>
      </c>
      <c r="AQ218" s="90">
        <f t="shared" si="238"/>
        <v>3.5000000000000003E-2</v>
      </c>
      <c r="AR218" s="90">
        <f t="shared" si="238"/>
        <v>3.5000000000000003E-2</v>
      </c>
      <c r="AS218" s="90">
        <f t="shared" si="238"/>
        <v>3.5000000000000003E-2</v>
      </c>
    </row>
    <row r="219" spans="1:45" ht="15" customHeight="1" x14ac:dyDescent="0.3">
      <c r="A219"/>
      <c r="B219"/>
      <c r="C219" s="311"/>
      <c r="D219" s="312"/>
      <c r="E219" s="312" t="s">
        <v>190</v>
      </c>
      <c r="F219" s="312"/>
      <c r="G219" s="290" t="s">
        <v>346</v>
      </c>
      <c r="H219" s="314"/>
      <c r="I219" s="314">
        <f>SUM(K219:AS219)</f>
        <v>390.25448235000016</v>
      </c>
      <c r="J219" s="42"/>
      <c r="K219" s="312">
        <f t="shared" ref="K219:O219" si="239">K217 * K218</f>
        <v>0</v>
      </c>
      <c r="L219" s="312">
        <f t="shared" si="239"/>
        <v>0</v>
      </c>
      <c r="M219" s="312">
        <f t="shared" si="239"/>
        <v>0</v>
      </c>
      <c r="N219" s="312">
        <f t="shared" si="239"/>
        <v>0</v>
      </c>
      <c r="O219" s="312">
        <f t="shared" si="239"/>
        <v>0</v>
      </c>
      <c r="P219" s="312">
        <f t="shared" ref="P219:R219" si="240">P217 * P218</f>
        <v>0</v>
      </c>
      <c r="Q219" s="312">
        <f t="shared" si="240"/>
        <v>0</v>
      </c>
      <c r="R219" s="312">
        <f t="shared" si="240"/>
        <v>0</v>
      </c>
      <c r="S219" s="312">
        <f t="shared" ref="S219:AP219" si="241">S217 * S218</f>
        <v>0</v>
      </c>
      <c r="T219" s="312">
        <f t="shared" si="241"/>
        <v>0</v>
      </c>
      <c r="U219" s="312">
        <f t="shared" si="241"/>
        <v>0</v>
      </c>
      <c r="V219" s="312">
        <f>V217 * V218</f>
        <v>2.0936120999999996</v>
      </c>
      <c r="W219" s="312">
        <f t="shared" si="241"/>
        <v>7.5658579700000015</v>
      </c>
      <c r="X219" s="312">
        <f t="shared" si="241"/>
        <v>14.589726340000002</v>
      </c>
      <c r="Y219" s="312">
        <f t="shared" si="241"/>
        <v>22.252034595000001</v>
      </c>
      <c r="Z219" s="312">
        <f t="shared" si="241"/>
        <v>37.07137693</v>
      </c>
      <c r="AA219" s="312">
        <f t="shared" si="241"/>
        <v>32.845845935</v>
      </c>
      <c r="AB219" s="312">
        <f t="shared" si="241"/>
        <v>29.930273520000004</v>
      </c>
      <c r="AC219" s="312">
        <f t="shared" si="241"/>
        <v>30.496956606666672</v>
      </c>
      <c r="AD219" s="312">
        <f t="shared" si="241"/>
        <v>30.496956606666672</v>
      </c>
      <c r="AE219" s="312">
        <f t="shared" si="241"/>
        <v>30.496956606666672</v>
      </c>
      <c r="AF219" s="312">
        <f t="shared" si="241"/>
        <v>30.496956606666672</v>
      </c>
      <c r="AG219" s="312">
        <f t="shared" si="241"/>
        <v>30.496956606666672</v>
      </c>
      <c r="AH219" s="312">
        <f t="shared" si="241"/>
        <v>30.496956606666672</v>
      </c>
      <c r="AI219" s="312">
        <f t="shared" si="241"/>
        <v>25.241170920000002</v>
      </c>
      <c r="AJ219" s="312">
        <f t="shared" si="241"/>
        <v>25.241170920000002</v>
      </c>
      <c r="AK219" s="312">
        <f t="shared" si="241"/>
        <v>10.44167348</v>
      </c>
      <c r="AL219" s="312">
        <f t="shared" si="241"/>
        <v>0</v>
      </c>
      <c r="AM219" s="312">
        <f t="shared" si="241"/>
        <v>0</v>
      </c>
      <c r="AN219" s="312">
        <f t="shared" si="241"/>
        <v>0</v>
      </c>
      <c r="AO219" s="312">
        <f t="shared" si="241"/>
        <v>0</v>
      </c>
      <c r="AP219" s="312">
        <f t="shared" si="241"/>
        <v>0</v>
      </c>
      <c r="AQ219" s="312">
        <f t="shared" ref="AQ219:AS219" si="242">AQ217 * AQ218</f>
        <v>0</v>
      </c>
      <c r="AR219" s="312">
        <f t="shared" si="242"/>
        <v>0</v>
      </c>
      <c r="AS219" s="312">
        <f t="shared" si="242"/>
        <v>0</v>
      </c>
    </row>
    <row r="220" spans="1:45" ht="15" customHeight="1" x14ac:dyDescent="0.3">
      <c r="A220"/>
      <c r="B220"/>
      <c r="C220" s="311"/>
      <c r="D220" s="312"/>
      <c r="E220" s="312"/>
      <c r="F220" s="312"/>
      <c r="H220" s="314"/>
      <c r="I220" s="314"/>
      <c r="J220" s="42"/>
      <c r="K220" s="312"/>
      <c r="L220" s="312"/>
      <c r="M220" s="312"/>
      <c r="N220" s="312"/>
      <c r="O220" s="312"/>
      <c r="P220" s="312"/>
      <c r="Q220" s="312"/>
      <c r="R220" s="312"/>
      <c r="S220" s="312"/>
      <c r="T220" s="312"/>
      <c r="U220" s="312"/>
      <c r="V220" s="312"/>
      <c r="W220" s="312"/>
      <c r="X220" s="312"/>
      <c r="Y220" s="312"/>
      <c r="Z220" s="312"/>
      <c r="AA220" s="312"/>
      <c r="AB220" s="312"/>
      <c r="AC220" s="312"/>
      <c r="AD220" s="312"/>
      <c r="AE220" s="312"/>
      <c r="AF220" s="312"/>
      <c r="AG220" s="312"/>
      <c r="AH220" s="312"/>
      <c r="AI220" s="312"/>
      <c r="AJ220" s="312"/>
      <c r="AK220" s="312"/>
      <c r="AL220" s="312"/>
      <c r="AM220" s="312"/>
      <c r="AN220" s="312"/>
      <c r="AO220" s="312"/>
      <c r="AP220" s="312"/>
      <c r="AQ220" s="312"/>
      <c r="AR220" s="312"/>
      <c r="AS220" s="312"/>
    </row>
    <row r="221" spans="1:45" ht="15" customHeight="1" x14ac:dyDescent="0.3">
      <c r="A221" s="282"/>
      <c r="B221" s="282"/>
      <c r="E221" s="169" t="str">
        <f xml:space="preserve"> E$108</f>
        <v>Cobalt revenue</v>
      </c>
      <c r="F221" s="169">
        <f t="shared" ref="F221:I221" si="243" xml:space="preserve"> F$108</f>
        <v>0</v>
      </c>
      <c r="G221" s="169" t="str">
        <f t="shared" si="243"/>
        <v>$ mn</v>
      </c>
      <c r="H221" s="169">
        <f t="shared" si="243"/>
        <v>0</v>
      </c>
      <c r="I221" s="169">
        <f t="shared" si="243"/>
        <v>656.22923949660003</v>
      </c>
      <c r="J221" s="42"/>
      <c r="K221" s="299">
        <f t="shared" ref="K221:O221" si="244" xml:space="preserve"> K$108</f>
        <v>0</v>
      </c>
      <c r="L221" s="299">
        <f t="shared" si="244"/>
        <v>0</v>
      </c>
      <c r="M221" s="299">
        <f t="shared" si="244"/>
        <v>0</v>
      </c>
      <c r="N221" s="299">
        <f t="shared" si="244"/>
        <v>0</v>
      </c>
      <c r="O221" s="299">
        <f t="shared" si="244"/>
        <v>0</v>
      </c>
      <c r="P221" s="299">
        <f t="shared" ref="P221:AS221" si="245" xml:space="preserve"> P$108</f>
        <v>0</v>
      </c>
      <c r="Q221" s="299">
        <f t="shared" si="245"/>
        <v>0</v>
      </c>
      <c r="R221" s="299">
        <f t="shared" si="245"/>
        <v>0</v>
      </c>
      <c r="S221" s="299">
        <f t="shared" si="245"/>
        <v>0</v>
      </c>
      <c r="T221" s="299">
        <f t="shared" si="245"/>
        <v>0</v>
      </c>
      <c r="U221" s="299">
        <f t="shared" si="245"/>
        <v>0</v>
      </c>
      <c r="V221" s="299">
        <f t="shared" si="245"/>
        <v>0</v>
      </c>
      <c r="W221" s="299">
        <f t="shared" si="245"/>
        <v>0</v>
      </c>
      <c r="X221" s="299">
        <f t="shared" si="245"/>
        <v>17.482495504319996</v>
      </c>
      <c r="Y221" s="299">
        <f t="shared" si="245"/>
        <v>32.942181610799999</v>
      </c>
      <c r="Z221" s="299">
        <f t="shared" si="245"/>
        <v>59.516856278879985</v>
      </c>
      <c r="AA221" s="299">
        <f t="shared" si="245"/>
        <v>104.42579902523998</v>
      </c>
      <c r="AB221" s="299">
        <f t="shared" si="245"/>
        <v>46.637951255280001</v>
      </c>
      <c r="AC221" s="299">
        <f t="shared" si="245"/>
        <v>48.158451213839989</v>
      </c>
      <c r="AD221" s="299">
        <f t="shared" si="245"/>
        <v>48.158451213839989</v>
      </c>
      <c r="AE221" s="299">
        <f t="shared" si="245"/>
        <v>48.158451213839989</v>
      </c>
      <c r="AF221" s="299">
        <f t="shared" si="245"/>
        <v>48.158451213839989</v>
      </c>
      <c r="AG221" s="299">
        <f t="shared" si="245"/>
        <v>48.158451213839989</v>
      </c>
      <c r="AH221" s="299">
        <f t="shared" si="245"/>
        <v>48.158451213839989</v>
      </c>
      <c r="AI221" s="299">
        <f t="shared" si="245"/>
        <v>48.158451213839989</v>
      </c>
      <c r="AJ221" s="299">
        <f t="shared" si="245"/>
        <v>41.109253720920002</v>
      </c>
      <c r="AK221" s="299">
        <f t="shared" si="245"/>
        <v>17.00554360428</v>
      </c>
      <c r="AL221" s="299">
        <f t="shared" si="245"/>
        <v>0</v>
      </c>
      <c r="AM221" s="299">
        <f t="shared" si="245"/>
        <v>0</v>
      </c>
      <c r="AN221" s="299">
        <f t="shared" si="245"/>
        <v>0</v>
      </c>
      <c r="AO221" s="299">
        <f t="shared" si="245"/>
        <v>0</v>
      </c>
      <c r="AP221" s="299">
        <f t="shared" si="245"/>
        <v>0</v>
      </c>
      <c r="AQ221" s="299">
        <f t="shared" si="245"/>
        <v>0</v>
      </c>
      <c r="AR221" s="299">
        <f t="shared" si="245"/>
        <v>0</v>
      </c>
      <c r="AS221" s="299">
        <f t="shared" si="245"/>
        <v>0</v>
      </c>
    </row>
    <row r="222" spans="1:45" ht="15" customHeight="1" x14ac:dyDescent="0.3">
      <c r="E222" s="169" t="str">
        <f xml:space="preserve"> E$214</f>
        <v>Cobalt royalty rate</v>
      </c>
      <c r="F222" s="169">
        <f t="shared" ref="F222:I222" si="246" xml:space="preserve"> F$214</f>
        <v>0</v>
      </c>
      <c r="G222" s="169">
        <f t="shared" si="246"/>
        <v>0</v>
      </c>
      <c r="H222" s="169">
        <f t="shared" si="246"/>
        <v>0</v>
      </c>
      <c r="I222" s="169">
        <f t="shared" si="246"/>
        <v>0</v>
      </c>
      <c r="J222" s="42"/>
      <c r="K222" s="90">
        <f t="shared" ref="K222:O222" si="247" xml:space="preserve"> K$214</f>
        <v>0.1</v>
      </c>
      <c r="L222" s="90">
        <f t="shared" si="247"/>
        <v>0.1</v>
      </c>
      <c r="M222" s="90">
        <f t="shared" si="247"/>
        <v>0.1</v>
      </c>
      <c r="N222" s="90">
        <f t="shared" si="247"/>
        <v>0.1</v>
      </c>
      <c r="O222" s="90">
        <f t="shared" si="247"/>
        <v>0.1</v>
      </c>
      <c r="P222" s="90">
        <f t="shared" ref="P222:AS222" si="248" xml:space="preserve"> P$214</f>
        <v>0.1</v>
      </c>
      <c r="Q222" s="90">
        <f t="shared" si="248"/>
        <v>0.1</v>
      </c>
      <c r="R222" s="90">
        <f t="shared" si="248"/>
        <v>0.1</v>
      </c>
      <c r="S222" s="90">
        <f t="shared" si="248"/>
        <v>0.1</v>
      </c>
      <c r="T222" s="90">
        <f t="shared" si="248"/>
        <v>0.1</v>
      </c>
      <c r="U222" s="90">
        <f t="shared" si="248"/>
        <v>0.1</v>
      </c>
      <c r="V222" s="90">
        <f t="shared" si="248"/>
        <v>0.1</v>
      </c>
      <c r="W222" s="90">
        <f t="shared" si="248"/>
        <v>0.1</v>
      </c>
      <c r="X222" s="90">
        <f t="shared" si="248"/>
        <v>0.1</v>
      </c>
      <c r="Y222" s="90">
        <f t="shared" si="248"/>
        <v>0.1</v>
      </c>
      <c r="Z222" s="90">
        <f t="shared" si="248"/>
        <v>0.1</v>
      </c>
      <c r="AA222" s="90">
        <f t="shared" si="248"/>
        <v>0.1</v>
      </c>
      <c r="AB222" s="90">
        <f t="shared" si="248"/>
        <v>0.1</v>
      </c>
      <c r="AC222" s="90">
        <f t="shared" si="248"/>
        <v>0.1</v>
      </c>
      <c r="AD222" s="90">
        <f t="shared" si="248"/>
        <v>0.1</v>
      </c>
      <c r="AE222" s="90">
        <f t="shared" si="248"/>
        <v>0.1</v>
      </c>
      <c r="AF222" s="90">
        <f t="shared" si="248"/>
        <v>0.1</v>
      </c>
      <c r="AG222" s="90">
        <f t="shared" si="248"/>
        <v>0.1</v>
      </c>
      <c r="AH222" s="90">
        <f t="shared" si="248"/>
        <v>0.1</v>
      </c>
      <c r="AI222" s="90">
        <f t="shared" si="248"/>
        <v>0.1</v>
      </c>
      <c r="AJ222" s="90">
        <f t="shared" si="248"/>
        <v>0.1</v>
      </c>
      <c r="AK222" s="90">
        <f t="shared" si="248"/>
        <v>0.1</v>
      </c>
      <c r="AL222" s="90">
        <f t="shared" si="248"/>
        <v>0.1</v>
      </c>
      <c r="AM222" s="90">
        <f t="shared" si="248"/>
        <v>0.1</v>
      </c>
      <c r="AN222" s="90">
        <f t="shared" si="248"/>
        <v>0.1</v>
      </c>
      <c r="AO222" s="90">
        <f t="shared" si="248"/>
        <v>0.1</v>
      </c>
      <c r="AP222" s="90">
        <f t="shared" si="248"/>
        <v>0.1</v>
      </c>
      <c r="AQ222" s="90">
        <f t="shared" si="248"/>
        <v>0.1</v>
      </c>
      <c r="AR222" s="90">
        <f t="shared" si="248"/>
        <v>0.1</v>
      </c>
      <c r="AS222" s="90">
        <f t="shared" si="248"/>
        <v>0.1</v>
      </c>
    </row>
    <row r="223" spans="1:45" ht="15" customHeight="1" x14ac:dyDescent="0.3">
      <c r="A223"/>
      <c r="B223"/>
      <c r="E223" s="290" t="s">
        <v>191</v>
      </c>
      <c r="G223" s="290" t="s">
        <v>346</v>
      </c>
      <c r="I223" s="291">
        <f>SUM(K223:AS223)</f>
        <v>65.622923949659992</v>
      </c>
      <c r="J223" s="42"/>
      <c r="K223" s="312">
        <f t="shared" ref="K223:O223" si="249">K221 * K222</f>
        <v>0</v>
      </c>
      <c r="L223" s="312">
        <f t="shared" si="249"/>
        <v>0</v>
      </c>
      <c r="M223" s="312">
        <f t="shared" si="249"/>
        <v>0</v>
      </c>
      <c r="N223" s="312">
        <f t="shared" si="249"/>
        <v>0</v>
      </c>
      <c r="O223" s="312">
        <f t="shared" si="249"/>
        <v>0</v>
      </c>
      <c r="P223" s="312">
        <f t="shared" ref="P223:R223" si="250">P221 * P222</f>
        <v>0</v>
      </c>
      <c r="Q223" s="312">
        <f t="shared" si="250"/>
        <v>0</v>
      </c>
      <c r="R223" s="312">
        <f t="shared" si="250"/>
        <v>0</v>
      </c>
      <c r="S223" s="312">
        <f t="shared" ref="S223:AP223" si="251">S221 * S222</f>
        <v>0</v>
      </c>
      <c r="T223" s="312">
        <f t="shared" si="251"/>
        <v>0</v>
      </c>
      <c r="U223" s="312">
        <f t="shared" si="251"/>
        <v>0</v>
      </c>
      <c r="V223" s="312">
        <f t="shared" si="251"/>
        <v>0</v>
      </c>
      <c r="W223" s="312">
        <f t="shared" si="251"/>
        <v>0</v>
      </c>
      <c r="X223" s="312">
        <f t="shared" si="251"/>
        <v>1.7482495504319997</v>
      </c>
      <c r="Y223" s="312">
        <f t="shared" si="251"/>
        <v>3.2942181610799999</v>
      </c>
      <c r="Z223" s="312">
        <f t="shared" si="251"/>
        <v>5.9516856278879988</v>
      </c>
      <c r="AA223" s="312">
        <f t="shared" si="251"/>
        <v>10.442579902523999</v>
      </c>
      <c r="AB223" s="312">
        <f t="shared" si="251"/>
        <v>4.6637951255279999</v>
      </c>
      <c r="AC223" s="312">
        <f t="shared" si="251"/>
        <v>4.8158451213839992</v>
      </c>
      <c r="AD223" s="312">
        <f t="shared" si="251"/>
        <v>4.8158451213839992</v>
      </c>
      <c r="AE223" s="312">
        <f t="shared" si="251"/>
        <v>4.8158451213839992</v>
      </c>
      <c r="AF223" s="312">
        <f t="shared" si="251"/>
        <v>4.8158451213839992</v>
      </c>
      <c r="AG223" s="312">
        <f t="shared" si="251"/>
        <v>4.8158451213839992</v>
      </c>
      <c r="AH223" s="312">
        <f t="shared" si="251"/>
        <v>4.8158451213839992</v>
      </c>
      <c r="AI223" s="312">
        <f t="shared" si="251"/>
        <v>4.8158451213839992</v>
      </c>
      <c r="AJ223" s="312">
        <f t="shared" si="251"/>
        <v>4.1109253720920007</v>
      </c>
      <c r="AK223" s="312">
        <f t="shared" si="251"/>
        <v>1.700554360428</v>
      </c>
      <c r="AL223" s="312">
        <f t="shared" si="251"/>
        <v>0</v>
      </c>
      <c r="AM223" s="312">
        <f t="shared" si="251"/>
        <v>0</v>
      </c>
      <c r="AN223" s="312">
        <f t="shared" si="251"/>
        <v>0</v>
      </c>
      <c r="AO223" s="312">
        <f t="shared" si="251"/>
        <v>0</v>
      </c>
      <c r="AP223" s="312">
        <f t="shared" si="251"/>
        <v>0</v>
      </c>
      <c r="AQ223" s="312">
        <f t="shared" ref="AQ223:AS223" si="252">AQ221 * AQ222</f>
        <v>0</v>
      </c>
      <c r="AR223" s="312">
        <f t="shared" si="252"/>
        <v>0</v>
      </c>
      <c r="AS223" s="312">
        <f t="shared" si="252"/>
        <v>0</v>
      </c>
    </row>
    <row r="224" spans="1:45" ht="15" customHeight="1" x14ac:dyDescent="0.3">
      <c r="I224" s="291"/>
      <c r="J224" s="42"/>
      <c r="AL224" s="290"/>
      <c r="AM224" s="290"/>
      <c r="AN224" s="290"/>
      <c r="AO224" s="290"/>
      <c r="AP224" s="290"/>
      <c r="AQ224" s="290"/>
      <c r="AR224" s="290"/>
      <c r="AS224" s="290"/>
    </row>
    <row r="225" spans="1:45" ht="15" customHeight="1" x14ac:dyDescent="0.3">
      <c r="E225" s="169" t="str">
        <f xml:space="preserve"> E$219</f>
        <v>Copper calculated royalty</v>
      </c>
      <c r="F225" s="169">
        <f t="shared" ref="F225:I225" si="253" xml:space="preserve"> F$219</f>
        <v>0</v>
      </c>
      <c r="G225" s="169" t="str">
        <f t="shared" si="253"/>
        <v>$ mn</v>
      </c>
      <c r="H225" s="169">
        <f t="shared" si="253"/>
        <v>0</v>
      </c>
      <c r="I225" s="169">
        <f t="shared" si="253"/>
        <v>390.25448235000016</v>
      </c>
      <c r="J225" s="42"/>
      <c r="K225" s="169">
        <f t="shared" ref="K225:O225" si="254" xml:space="preserve"> K$219</f>
        <v>0</v>
      </c>
      <c r="L225" s="169">
        <f t="shared" si="254"/>
        <v>0</v>
      </c>
      <c r="M225" s="169">
        <f t="shared" si="254"/>
        <v>0</v>
      </c>
      <c r="N225" s="169">
        <f t="shared" si="254"/>
        <v>0</v>
      </c>
      <c r="O225" s="169">
        <f t="shared" si="254"/>
        <v>0</v>
      </c>
      <c r="P225" s="169">
        <f t="shared" ref="P225:AS225" si="255" xml:space="preserve"> P$219</f>
        <v>0</v>
      </c>
      <c r="Q225" s="169">
        <f t="shared" si="255"/>
        <v>0</v>
      </c>
      <c r="R225" s="169">
        <f t="shared" si="255"/>
        <v>0</v>
      </c>
      <c r="S225" s="169">
        <f t="shared" si="255"/>
        <v>0</v>
      </c>
      <c r="T225" s="169">
        <f t="shared" si="255"/>
        <v>0</v>
      </c>
      <c r="U225" s="169">
        <f t="shared" si="255"/>
        <v>0</v>
      </c>
      <c r="V225" s="169">
        <f t="shared" si="255"/>
        <v>2.0936120999999996</v>
      </c>
      <c r="W225" s="169">
        <f t="shared" si="255"/>
        <v>7.5658579700000015</v>
      </c>
      <c r="X225" s="169">
        <f t="shared" si="255"/>
        <v>14.589726340000002</v>
      </c>
      <c r="Y225" s="169">
        <f t="shared" si="255"/>
        <v>22.252034595000001</v>
      </c>
      <c r="Z225" s="169">
        <f t="shared" si="255"/>
        <v>37.07137693</v>
      </c>
      <c r="AA225" s="169">
        <f t="shared" si="255"/>
        <v>32.845845935</v>
      </c>
      <c r="AB225" s="169">
        <f t="shared" si="255"/>
        <v>29.930273520000004</v>
      </c>
      <c r="AC225" s="169">
        <f t="shared" si="255"/>
        <v>30.496956606666672</v>
      </c>
      <c r="AD225" s="169">
        <f t="shared" si="255"/>
        <v>30.496956606666672</v>
      </c>
      <c r="AE225" s="169">
        <f t="shared" si="255"/>
        <v>30.496956606666672</v>
      </c>
      <c r="AF225" s="169">
        <f t="shared" si="255"/>
        <v>30.496956606666672</v>
      </c>
      <c r="AG225" s="169">
        <f t="shared" si="255"/>
        <v>30.496956606666672</v>
      </c>
      <c r="AH225" s="169">
        <f t="shared" si="255"/>
        <v>30.496956606666672</v>
      </c>
      <c r="AI225" s="169">
        <f t="shared" si="255"/>
        <v>25.241170920000002</v>
      </c>
      <c r="AJ225" s="169">
        <f t="shared" si="255"/>
        <v>25.241170920000002</v>
      </c>
      <c r="AK225" s="169">
        <f t="shared" si="255"/>
        <v>10.44167348</v>
      </c>
      <c r="AL225" s="169">
        <f t="shared" si="255"/>
        <v>0</v>
      </c>
      <c r="AM225" s="169">
        <f t="shared" si="255"/>
        <v>0</v>
      </c>
      <c r="AN225" s="169">
        <f t="shared" si="255"/>
        <v>0</v>
      </c>
      <c r="AO225" s="169">
        <f t="shared" si="255"/>
        <v>0</v>
      </c>
      <c r="AP225" s="169">
        <f t="shared" si="255"/>
        <v>0</v>
      </c>
      <c r="AQ225" s="169">
        <f t="shared" si="255"/>
        <v>0</v>
      </c>
      <c r="AR225" s="169">
        <f t="shared" si="255"/>
        <v>0</v>
      </c>
      <c r="AS225" s="169">
        <f t="shared" si="255"/>
        <v>0</v>
      </c>
    </row>
    <row r="226" spans="1:45" ht="15" customHeight="1" x14ac:dyDescent="0.3">
      <c r="E226" s="169" t="str">
        <f xml:space="preserve"> E$223</f>
        <v>Cobalt calculated royalty</v>
      </c>
      <c r="F226" s="169">
        <f t="shared" ref="F226:I226" si="256" xml:space="preserve"> F$223</f>
        <v>0</v>
      </c>
      <c r="G226" s="169" t="str">
        <f t="shared" si="256"/>
        <v>$ mn</v>
      </c>
      <c r="H226" s="169">
        <f t="shared" si="256"/>
        <v>0</v>
      </c>
      <c r="I226" s="169">
        <f t="shared" si="256"/>
        <v>65.622923949659992</v>
      </c>
      <c r="J226" s="42"/>
      <c r="K226" s="169">
        <f t="shared" ref="K226:O226" si="257" xml:space="preserve"> K$223</f>
        <v>0</v>
      </c>
      <c r="L226" s="169">
        <f t="shared" si="257"/>
        <v>0</v>
      </c>
      <c r="M226" s="169">
        <f t="shared" si="257"/>
        <v>0</v>
      </c>
      <c r="N226" s="169">
        <f t="shared" si="257"/>
        <v>0</v>
      </c>
      <c r="O226" s="169">
        <f t="shared" si="257"/>
        <v>0</v>
      </c>
      <c r="P226" s="169">
        <f t="shared" ref="P226:AS226" si="258" xml:space="preserve"> P$223</f>
        <v>0</v>
      </c>
      <c r="Q226" s="169">
        <f t="shared" si="258"/>
        <v>0</v>
      </c>
      <c r="R226" s="169">
        <f t="shared" si="258"/>
        <v>0</v>
      </c>
      <c r="S226" s="169">
        <f t="shared" si="258"/>
        <v>0</v>
      </c>
      <c r="T226" s="169">
        <f t="shared" si="258"/>
        <v>0</v>
      </c>
      <c r="U226" s="169">
        <f t="shared" si="258"/>
        <v>0</v>
      </c>
      <c r="V226" s="169">
        <f t="shared" si="258"/>
        <v>0</v>
      </c>
      <c r="W226" s="169">
        <f t="shared" si="258"/>
        <v>0</v>
      </c>
      <c r="X226" s="169">
        <f t="shared" si="258"/>
        <v>1.7482495504319997</v>
      </c>
      <c r="Y226" s="169">
        <f t="shared" si="258"/>
        <v>3.2942181610799999</v>
      </c>
      <c r="Z226" s="169">
        <f t="shared" si="258"/>
        <v>5.9516856278879988</v>
      </c>
      <c r="AA226" s="169">
        <f t="shared" si="258"/>
        <v>10.442579902523999</v>
      </c>
      <c r="AB226" s="169">
        <f t="shared" si="258"/>
        <v>4.6637951255279999</v>
      </c>
      <c r="AC226" s="169">
        <f t="shared" si="258"/>
        <v>4.8158451213839992</v>
      </c>
      <c r="AD226" s="169">
        <f t="shared" si="258"/>
        <v>4.8158451213839992</v>
      </c>
      <c r="AE226" s="169">
        <f t="shared" si="258"/>
        <v>4.8158451213839992</v>
      </c>
      <c r="AF226" s="169">
        <f t="shared" si="258"/>
        <v>4.8158451213839992</v>
      </c>
      <c r="AG226" s="169">
        <f t="shared" si="258"/>
        <v>4.8158451213839992</v>
      </c>
      <c r="AH226" s="169">
        <f t="shared" si="258"/>
        <v>4.8158451213839992</v>
      </c>
      <c r="AI226" s="169">
        <f t="shared" si="258"/>
        <v>4.8158451213839992</v>
      </c>
      <c r="AJ226" s="169">
        <f t="shared" si="258"/>
        <v>4.1109253720920007</v>
      </c>
      <c r="AK226" s="169">
        <f t="shared" si="258"/>
        <v>1.700554360428</v>
      </c>
      <c r="AL226" s="169">
        <f t="shared" si="258"/>
        <v>0</v>
      </c>
      <c r="AM226" s="169">
        <f t="shared" si="258"/>
        <v>0</v>
      </c>
      <c r="AN226" s="169">
        <f t="shared" si="258"/>
        <v>0</v>
      </c>
      <c r="AO226" s="169">
        <f t="shared" si="258"/>
        <v>0</v>
      </c>
      <c r="AP226" s="169">
        <f t="shared" si="258"/>
        <v>0</v>
      </c>
      <c r="AQ226" s="169">
        <f t="shared" si="258"/>
        <v>0</v>
      </c>
      <c r="AR226" s="169">
        <f t="shared" si="258"/>
        <v>0</v>
      </c>
      <c r="AS226" s="169">
        <f t="shared" si="258"/>
        <v>0</v>
      </c>
    </row>
    <row r="227" spans="1:45" ht="15" customHeight="1" x14ac:dyDescent="0.3">
      <c r="A227" s="302"/>
      <c r="B227" s="302"/>
      <c r="C227" s="304"/>
      <c r="D227" s="305"/>
      <c r="E227" s="305" t="s">
        <v>192</v>
      </c>
      <c r="F227" s="305"/>
      <c r="G227" s="305" t="s">
        <v>346</v>
      </c>
      <c r="H227" s="307"/>
      <c r="I227" s="307">
        <f>SUM(K227:AS227)</f>
        <v>455.87740629965998</v>
      </c>
      <c r="J227" s="42"/>
      <c r="K227" s="305">
        <f t="shared" ref="K227:O227" si="259">K225 + K226</f>
        <v>0</v>
      </c>
      <c r="L227" s="305">
        <f t="shared" si="259"/>
        <v>0</v>
      </c>
      <c r="M227" s="305">
        <f t="shared" si="259"/>
        <v>0</v>
      </c>
      <c r="N227" s="305">
        <f t="shared" si="259"/>
        <v>0</v>
      </c>
      <c r="O227" s="305">
        <f t="shared" si="259"/>
        <v>0</v>
      </c>
      <c r="P227" s="305">
        <f t="shared" ref="P227:R227" si="260">P225 + P226</f>
        <v>0</v>
      </c>
      <c r="Q227" s="305">
        <f t="shared" si="260"/>
        <v>0</v>
      </c>
      <c r="R227" s="305">
        <f t="shared" si="260"/>
        <v>0</v>
      </c>
      <c r="S227" s="305">
        <f>S225 + S226</f>
        <v>0</v>
      </c>
      <c r="T227" s="305">
        <f t="shared" ref="T227:AP227" si="261">T225 + T226</f>
        <v>0</v>
      </c>
      <c r="U227" s="305">
        <f t="shared" si="261"/>
        <v>0</v>
      </c>
      <c r="V227" s="341">
        <f t="shared" si="261"/>
        <v>2.0936120999999996</v>
      </c>
      <c r="W227" s="305">
        <f t="shared" si="261"/>
        <v>7.5658579700000015</v>
      </c>
      <c r="X227" s="305">
        <f t="shared" si="261"/>
        <v>16.337975890432002</v>
      </c>
      <c r="Y227" s="341">
        <f t="shared" si="261"/>
        <v>25.546252756080001</v>
      </c>
      <c r="Z227" s="341">
        <f t="shared" si="261"/>
        <v>43.023062557887997</v>
      </c>
      <c r="AA227" s="341">
        <f t="shared" si="261"/>
        <v>43.288425837524002</v>
      </c>
      <c r="AB227" s="305">
        <f t="shared" si="261"/>
        <v>34.594068645528004</v>
      </c>
      <c r="AC227" s="305">
        <f t="shared" si="261"/>
        <v>35.312801728050673</v>
      </c>
      <c r="AD227" s="305">
        <f t="shared" si="261"/>
        <v>35.312801728050673</v>
      </c>
      <c r="AE227" s="305">
        <f t="shared" si="261"/>
        <v>35.312801728050673</v>
      </c>
      <c r="AF227" s="305">
        <f t="shared" si="261"/>
        <v>35.312801728050673</v>
      </c>
      <c r="AG227" s="305">
        <f t="shared" si="261"/>
        <v>35.312801728050673</v>
      </c>
      <c r="AH227" s="305">
        <f t="shared" si="261"/>
        <v>35.312801728050673</v>
      </c>
      <c r="AI227" s="305">
        <f t="shared" si="261"/>
        <v>30.057016041384003</v>
      </c>
      <c r="AJ227" s="305">
        <f t="shared" si="261"/>
        <v>29.352096292092003</v>
      </c>
      <c r="AK227" s="305">
        <f t="shared" si="261"/>
        <v>12.142227840428001</v>
      </c>
      <c r="AL227" s="305">
        <f t="shared" si="261"/>
        <v>0</v>
      </c>
      <c r="AM227" s="305">
        <f t="shared" si="261"/>
        <v>0</v>
      </c>
      <c r="AN227" s="305">
        <f t="shared" si="261"/>
        <v>0</v>
      </c>
      <c r="AO227" s="305">
        <f t="shared" si="261"/>
        <v>0</v>
      </c>
      <c r="AP227" s="305">
        <f t="shared" si="261"/>
        <v>0</v>
      </c>
      <c r="AQ227" s="305">
        <f t="shared" ref="AQ227:AS227" si="262">AQ225 + AQ226</f>
        <v>0</v>
      </c>
      <c r="AR227" s="305">
        <f t="shared" si="262"/>
        <v>0</v>
      </c>
      <c r="AS227" s="305">
        <f t="shared" si="262"/>
        <v>0</v>
      </c>
    </row>
    <row r="228" spans="1:45" ht="15" customHeight="1" x14ac:dyDescent="0.3">
      <c r="A228" s="309"/>
      <c r="B228" s="309"/>
      <c r="C228" s="311"/>
      <c r="D228" s="312"/>
      <c r="E228" s="312"/>
      <c r="F228" s="312"/>
      <c r="G228" s="312"/>
      <c r="H228" s="314"/>
      <c r="I228" s="314"/>
      <c r="J228" s="42"/>
      <c r="K228" s="312"/>
      <c r="L228" s="312"/>
      <c r="M228" s="312"/>
      <c r="N228" s="312"/>
      <c r="O228" s="312"/>
      <c r="P228" s="312"/>
      <c r="Q228" s="312"/>
      <c r="R228" s="312"/>
      <c r="S228" s="312"/>
      <c r="T228" s="312"/>
      <c r="U228" s="312"/>
      <c r="V228" s="312"/>
      <c r="W228" s="312"/>
      <c r="X228" s="312"/>
      <c r="Y228" s="312"/>
      <c r="Z228" s="312"/>
      <c r="AA228" s="312">
        <f>SUM(V227:Z227)</f>
        <v>94.566761274399994</v>
      </c>
      <c r="AB228" s="312"/>
      <c r="AC228" s="312"/>
      <c r="AD228" s="312"/>
      <c r="AE228" s="312"/>
      <c r="AF228" s="312"/>
      <c r="AG228" s="312"/>
      <c r="AH228" s="312"/>
      <c r="AI228" s="312"/>
      <c r="AJ228" s="312"/>
      <c r="AK228" s="312"/>
      <c r="AL228" s="312"/>
      <c r="AM228" s="312"/>
      <c r="AN228" s="312"/>
      <c r="AO228" s="312"/>
      <c r="AP228" s="312"/>
      <c r="AQ228" s="312"/>
      <c r="AR228" s="312"/>
      <c r="AS228" s="312"/>
    </row>
    <row r="229" spans="1:45" ht="15" customHeight="1" x14ac:dyDescent="0.3">
      <c r="A229" s="309"/>
      <c r="B229" s="309"/>
      <c r="C229" s="311"/>
      <c r="D229" s="312"/>
      <c r="E229" s="312" t="s">
        <v>449</v>
      </c>
      <c r="F229" s="312"/>
      <c r="G229" s="312"/>
      <c r="H229" s="104" t="str">
        <f xml:space="preserve"> Sources!I$39</f>
        <v>M</v>
      </c>
      <c r="I229" s="104"/>
      <c r="J229" s="42"/>
      <c r="K229" s="295"/>
      <c r="L229" s="295"/>
      <c r="M229" s="295"/>
      <c r="N229" s="295"/>
      <c r="O229" s="295"/>
      <c r="P229" s="295"/>
      <c r="Q229" s="295"/>
      <c r="R229" s="295"/>
      <c r="S229" s="295"/>
      <c r="T229" s="295"/>
      <c r="U229" s="295"/>
      <c r="V229" s="344">
        <v>3.6640000000000001</v>
      </c>
      <c r="W229" s="295">
        <v>9.6280000000000001</v>
      </c>
      <c r="X229" s="295">
        <v>16.346</v>
      </c>
      <c r="Y229" s="344">
        <v>25.614999999999998</v>
      </c>
      <c r="Z229" s="344">
        <v>42.991999999999997</v>
      </c>
      <c r="AA229" s="344">
        <v>43.287999999999997</v>
      </c>
      <c r="AB229" s="295"/>
      <c r="AC229" s="295"/>
      <c r="AD229" s="295"/>
      <c r="AE229" s="295"/>
      <c r="AF229" s="295"/>
      <c r="AG229" s="295"/>
      <c r="AH229" s="295"/>
      <c r="AI229" s="295"/>
      <c r="AJ229" s="295">
        <v>29.352</v>
      </c>
      <c r="AK229" s="295">
        <v>12.141999999999999</v>
      </c>
      <c r="AL229" s="295"/>
      <c r="AM229" s="295"/>
      <c r="AN229" s="295"/>
      <c r="AO229" s="295"/>
      <c r="AP229" s="295"/>
      <c r="AQ229" s="295"/>
      <c r="AR229" s="295"/>
      <c r="AS229" s="296"/>
    </row>
    <row r="230" spans="1:45" ht="15" customHeight="1" x14ac:dyDescent="0.3">
      <c r="I230" s="291"/>
      <c r="J230" s="42"/>
      <c r="AL230" s="290"/>
      <c r="AM230" s="290"/>
      <c r="AN230" s="290"/>
      <c r="AO230" s="290"/>
      <c r="AP230" s="290"/>
      <c r="AQ230" s="290"/>
      <c r="AR230" s="290"/>
      <c r="AS230" s="290"/>
    </row>
    <row r="231" spans="1:45" ht="15" customHeight="1" x14ac:dyDescent="0.3">
      <c r="I231" s="291"/>
      <c r="J231" s="42"/>
      <c r="AL231" s="290"/>
      <c r="AM231" s="290"/>
      <c r="AN231" s="290"/>
      <c r="AO231" s="290"/>
      <c r="AP231" s="290"/>
      <c r="AQ231" s="290"/>
      <c r="AR231" s="290"/>
      <c r="AS231" s="290"/>
    </row>
    <row r="232" spans="1:45" ht="15" customHeight="1" x14ac:dyDescent="0.3">
      <c r="B232" s="288" t="s">
        <v>755</v>
      </c>
      <c r="I232" s="291"/>
      <c r="J232" s="42"/>
      <c r="AL232" s="290"/>
      <c r="AM232" s="290"/>
      <c r="AN232" s="290"/>
      <c r="AO232" s="290"/>
      <c r="AP232" s="290"/>
      <c r="AQ232" s="290"/>
      <c r="AR232" s="290"/>
      <c r="AS232" s="290"/>
    </row>
    <row r="233" spans="1:45" ht="15" customHeight="1" x14ac:dyDescent="0.3">
      <c r="C233" s="289" t="s">
        <v>42</v>
      </c>
      <c r="I233" s="291"/>
      <c r="J233" s="42"/>
      <c r="AL233" s="290"/>
      <c r="AM233" s="290"/>
      <c r="AN233" s="290"/>
      <c r="AO233" s="290"/>
      <c r="AP233" s="290"/>
      <c r="AQ233" s="290"/>
      <c r="AR233" s="290"/>
      <c r="AS233" s="290"/>
    </row>
    <row r="234" spans="1:45" ht="15" customHeight="1" x14ac:dyDescent="0.3">
      <c r="E234" s="169" t="str">
        <f xml:space="preserve"> E$103</f>
        <v>Total copper revenue</v>
      </c>
      <c r="F234" s="169">
        <f t="shared" ref="F234:O234" si="263" xml:space="preserve"> F$103</f>
        <v>0</v>
      </c>
      <c r="G234" s="169" t="str">
        <f t="shared" si="263"/>
        <v>$ mn</v>
      </c>
      <c r="H234" s="169">
        <f t="shared" si="263"/>
        <v>0</v>
      </c>
      <c r="I234" s="169">
        <f t="shared" si="263"/>
        <v>11253.945920999999</v>
      </c>
      <c r="J234" s="169">
        <f t="shared" si="263"/>
        <v>0</v>
      </c>
      <c r="K234" s="169">
        <f t="shared" si="263"/>
        <v>0</v>
      </c>
      <c r="L234" s="169">
        <f t="shared" si="263"/>
        <v>0</v>
      </c>
      <c r="M234" s="169">
        <f t="shared" si="263"/>
        <v>0</v>
      </c>
      <c r="N234" s="169">
        <f t="shared" si="263"/>
        <v>0</v>
      </c>
      <c r="O234" s="169">
        <f t="shared" si="263"/>
        <v>0</v>
      </c>
      <c r="P234" s="169">
        <f t="shared" ref="P234:AS234" si="264" xml:space="preserve"> P$103</f>
        <v>0</v>
      </c>
      <c r="Q234" s="169">
        <f t="shared" si="264"/>
        <v>0</v>
      </c>
      <c r="R234" s="169">
        <f t="shared" si="264"/>
        <v>0</v>
      </c>
      <c r="S234" s="169">
        <f t="shared" si="264"/>
        <v>0</v>
      </c>
      <c r="T234" s="169">
        <f t="shared" si="264"/>
        <v>0</v>
      </c>
      <c r="U234" s="169">
        <f t="shared" si="264"/>
        <v>0</v>
      </c>
      <c r="V234" s="169">
        <f t="shared" si="264"/>
        <v>104.68060499999999</v>
      </c>
      <c r="W234" s="169">
        <f t="shared" si="264"/>
        <v>275.12210800000003</v>
      </c>
      <c r="X234" s="169">
        <f t="shared" si="264"/>
        <v>416.84932400000002</v>
      </c>
      <c r="Y234" s="169">
        <f t="shared" si="264"/>
        <v>635.77241700000002</v>
      </c>
      <c r="Z234" s="169">
        <f t="shared" si="264"/>
        <v>1059.182198</v>
      </c>
      <c r="AA234" s="169">
        <f t="shared" si="264"/>
        <v>938.45274099999995</v>
      </c>
      <c r="AB234" s="169">
        <f t="shared" si="264"/>
        <v>855.15067199999999</v>
      </c>
      <c r="AC234" s="169">
        <f t="shared" si="264"/>
        <v>871.34161733333337</v>
      </c>
      <c r="AD234" s="169">
        <f t="shared" si="264"/>
        <v>871.34161733333337</v>
      </c>
      <c r="AE234" s="169">
        <f t="shared" si="264"/>
        <v>871.34161733333337</v>
      </c>
      <c r="AF234" s="169">
        <f t="shared" si="264"/>
        <v>871.34161733333337</v>
      </c>
      <c r="AG234" s="169">
        <f t="shared" si="264"/>
        <v>871.34161733333337</v>
      </c>
      <c r="AH234" s="169">
        <f t="shared" si="264"/>
        <v>871.34161733333337</v>
      </c>
      <c r="AI234" s="169">
        <f t="shared" si="264"/>
        <v>721.17631199999994</v>
      </c>
      <c r="AJ234" s="169">
        <f t="shared" si="264"/>
        <v>721.17631199999994</v>
      </c>
      <c r="AK234" s="169">
        <f t="shared" si="264"/>
        <v>298.333528</v>
      </c>
      <c r="AL234" s="169">
        <f t="shared" si="264"/>
        <v>0</v>
      </c>
      <c r="AM234" s="169">
        <f t="shared" si="264"/>
        <v>0</v>
      </c>
      <c r="AN234" s="169">
        <f t="shared" si="264"/>
        <v>0</v>
      </c>
      <c r="AO234" s="169">
        <f t="shared" si="264"/>
        <v>0</v>
      </c>
      <c r="AP234" s="169">
        <f t="shared" si="264"/>
        <v>0</v>
      </c>
      <c r="AQ234" s="169">
        <f t="shared" si="264"/>
        <v>0</v>
      </c>
      <c r="AR234" s="169">
        <f t="shared" si="264"/>
        <v>0</v>
      </c>
      <c r="AS234" s="169">
        <f t="shared" si="264"/>
        <v>0</v>
      </c>
    </row>
    <row r="235" spans="1:45" ht="15" customHeight="1" x14ac:dyDescent="0.3">
      <c r="E235" s="169" t="str">
        <f t="shared" ref="E235:AS235" si="265" xml:space="preserve"> E$219</f>
        <v>Copper calculated royalty</v>
      </c>
      <c r="F235" s="169">
        <f t="shared" si="265"/>
        <v>0</v>
      </c>
      <c r="G235" s="169" t="str">
        <f t="shared" si="265"/>
        <v>$ mn</v>
      </c>
      <c r="H235" s="169">
        <f t="shared" si="265"/>
        <v>0</v>
      </c>
      <c r="I235" s="169">
        <f t="shared" si="265"/>
        <v>390.25448235000016</v>
      </c>
      <c r="J235" s="169">
        <f t="shared" si="265"/>
        <v>0</v>
      </c>
      <c r="K235" s="169">
        <f t="shared" si="265"/>
        <v>0</v>
      </c>
      <c r="L235" s="169">
        <f t="shared" si="265"/>
        <v>0</v>
      </c>
      <c r="M235" s="169">
        <f t="shared" si="265"/>
        <v>0</v>
      </c>
      <c r="N235" s="169">
        <f t="shared" si="265"/>
        <v>0</v>
      </c>
      <c r="O235" s="169">
        <f t="shared" si="265"/>
        <v>0</v>
      </c>
      <c r="P235" s="169">
        <f t="shared" si="265"/>
        <v>0</v>
      </c>
      <c r="Q235" s="169">
        <f t="shared" si="265"/>
        <v>0</v>
      </c>
      <c r="R235" s="169">
        <f t="shared" si="265"/>
        <v>0</v>
      </c>
      <c r="S235" s="169">
        <f t="shared" si="265"/>
        <v>0</v>
      </c>
      <c r="T235" s="169">
        <f t="shared" si="265"/>
        <v>0</v>
      </c>
      <c r="U235" s="169">
        <f t="shared" si="265"/>
        <v>0</v>
      </c>
      <c r="V235" s="169">
        <f t="shared" si="265"/>
        <v>2.0936120999999996</v>
      </c>
      <c r="W235" s="169">
        <f t="shared" si="265"/>
        <v>7.5658579700000015</v>
      </c>
      <c r="X235" s="169">
        <f t="shared" si="265"/>
        <v>14.589726340000002</v>
      </c>
      <c r="Y235" s="169">
        <f t="shared" si="265"/>
        <v>22.252034595000001</v>
      </c>
      <c r="Z235" s="169">
        <f t="shared" si="265"/>
        <v>37.07137693</v>
      </c>
      <c r="AA235" s="169">
        <f t="shared" si="265"/>
        <v>32.845845935</v>
      </c>
      <c r="AB235" s="169">
        <f t="shared" si="265"/>
        <v>29.930273520000004</v>
      </c>
      <c r="AC235" s="169">
        <f t="shared" si="265"/>
        <v>30.496956606666672</v>
      </c>
      <c r="AD235" s="169">
        <f t="shared" si="265"/>
        <v>30.496956606666672</v>
      </c>
      <c r="AE235" s="169">
        <f t="shared" si="265"/>
        <v>30.496956606666672</v>
      </c>
      <c r="AF235" s="169">
        <f t="shared" si="265"/>
        <v>30.496956606666672</v>
      </c>
      <c r="AG235" s="169">
        <f t="shared" si="265"/>
        <v>30.496956606666672</v>
      </c>
      <c r="AH235" s="169">
        <f t="shared" si="265"/>
        <v>30.496956606666672</v>
      </c>
      <c r="AI235" s="169">
        <f t="shared" si="265"/>
        <v>25.241170920000002</v>
      </c>
      <c r="AJ235" s="169">
        <f t="shared" si="265"/>
        <v>25.241170920000002</v>
      </c>
      <c r="AK235" s="169">
        <f t="shared" si="265"/>
        <v>10.44167348</v>
      </c>
      <c r="AL235" s="169">
        <f t="shared" si="265"/>
        <v>0</v>
      </c>
      <c r="AM235" s="169">
        <f t="shared" si="265"/>
        <v>0</v>
      </c>
      <c r="AN235" s="169">
        <f t="shared" si="265"/>
        <v>0</v>
      </c>
      <c r="AO235" s="169">
        <f t="shared" si="265"/>
        <v>0</v>
      </c>
      <c r="AP235" s="169">
        <f t="shared" si="265"/>
        <v>0</v>
      </c>
      <c r="AQ235" s="169">
        <f t="shared" si="265"/>
        <v>0</v>
      </c>
      <c r="AR235" s="169">
        <f t="shared" si="265"/>
        <v>0</v>
      </c>
      <c r="AS235" s="169">
        <f t="shared" si="265"/>
        <v>0</v>
      </c>
    </row>
    <row r="236" spans="1:45" ht="15" customHeight="1" x14ac:dyDescent="0.3">
      <c r="A236" s="303"/>
      <c r="B236" s="303"/>
      <c r="C236" s="304"/>
      <c r="D236" s="305"/>
      <c r="E236" s="317" t="s">
        <v>756</v>
      </c>
      <c r="F236" s="317"/>
      <c r="G236" s="317" t="s">
        <v>346</v>
      </c>
      <c r="H236" s="317"/>
      <c r="I236" s="317">
        <f>SUM(K236:AS236)</f>
        <v>10863.691438649999</v>
      </c>
      <c r="J236" s="317"/>
      <c r="K236" s="317">
        <f t="shared" ref="K236:O236" si="266">K234 - K235</f>
        <v>0</v>
      </c>
      <c r="L236" s="317">
        <f t="shared" si="266"/>
        <v>0</v>
      </c>
      <c r="M236" s="317">
        <f t="shared" si="266"/>
        <v>0</v>
      </c>
      <c r="N236" s="317">
        <f t="shared" si="266"/>
        <v>0</v>
      </c>
      <c r="O236" s="317">
        <f t="shared" si="266"/>
        <v>0</v>
      </c>
      <c r="P236" s="317">
        <f>P234 - P235</f>
        <v>0</v>
      </c>
      <c r="Q236" s="317">
        <f t="shared" ref="Q236:AS236" si="267">Q234 - Q235</f>
        <v>0</v>
      </c>
      <c r="R236" s="317">
        <f t="shared" si="267"/>
        <v>0</v>
      </c>
      <c r="S236" s="317">
        <f t="shared" si="267"/>
        <v>0</v>
      </c>
      <c r="T236" s="317">
        <f t="shared" si="267"/>
        <v>0</v>
      </c>
      <c r="U236" s="317">
        <f t="shared" si="267"/>
        <v>0</v>
      </c>
      <c r="V236" s="317">
        <f t="shared" si="267"/>
        <v>102.58699289999998</v>
      </c>
      <c r="W236" s="317">
        <f t="shared" si="267"/>
        <v>267.55625003</v>
      </c>
      <c r="X236" s="317">
        <f t="shared" si="267"/>
        <v>402.25959766</v>
      </c>
      <c r="Y236" s="317">
        <f t="shared" si="267"/>
        <v>613.52038240499996</v>
      </c>
      <c r="Z236" s="317">
        <f t="shared" si="267"/>
        <v>1022.1108210699999</v>
      </c>
      <c r="AA236" s="317">
        <f t="shared" si="267"/>
        <v>905.60689506499989</v>
      </c>
      <c r="AB236" s="317">
        <f t="shared" si="267"/>
        <v>825.22039847999997</v>
      </c>
      <c r="AC236" s="317">
        <f t="shared" si="267"/>
        <v>840.84466072666669</v>
      </c>
      <c r="AD236" s="317">
        <f t="shared" si="267"/>
        <v>840.84466072666669</v>
      </c>
      <c r="AE236" s="317">
        <f t="shared" si="267"/>
        <v>840.84466072666669</v>
      </c>
      <c r="AF236" s="317">
        <f t="shared" si="267"/>
        <v>840.84466072666669</v>
      </c>
      <c r="AG236" s="317">
        <f t="shared" si="267"/>
        <v>840.84466072666669</v>
      </c>
      <c r="AH236" s="317">
        <f t="shared" si="267"/>
        <v>840.84466072666669</v>
      </c>
      <c r="AI236" s="317">
        <f t="shared" si="267"/>
        <v>695.93514107999999</v>
      </c>
      <c r="AJ236" s="317">
        <f t="shared" si="267"/>
        <v>695.93514107999999</v>
      </c>
      <c r="AK236" s="317">
        <f t="shared" si="267"/>
        <v>287.89185451999998</v>
      </c>
      <c r="AL236" s="317">
        <f t="shared" si="267"/>
        <v>0</v>
      </c>
      <c r="AM236" s="317">
        <f t="shared" si="267"/>
        <v>0</v>
      </c>
      <c r="AN236" s="317">
        <f t="shared" si="267"/>
        <v>0</v>
      </c>
      <c r="AO236" s="317">
        <f t="shared" si="267"/>
        <v>0</v>
      </c>
      <c r="AP236" s="317">
        <f t="shared" si="267"/>
        <v>0</v>
      </c>
      <c r="AQ236" s="317">
        <f t="shared" si="267"/>
        <v>0</v>
      </c>
      <c r="AR236" s="317">
        <f t="shared" si="267"/>
        <v>0</v>
      </c>
      <c r="AS236" s="317">
        <f t="shared" si="267"/>
        <v>0</v>
      </c>
    </row>
    <row r="237" spans="1:45" ht="15" customHeight="1" x14ac:dyDescent="0.3">
      <c r="E237" s="169"/>
      <c r="F237" s="169"/>
      <c r="G237" s="169"/>
      <c r="H237" s="169"/>
      <c r="I237" s="169"/>
      <c r="J237" s="169"/>
      <c r="K237" s="169"/>
      <c r="L237" s="169"/>
      <c r="M237" s="169"/>
      <c r="N237" s="169"/>
      <c r="O237" s="169"/>
      <c r="P237" s="169"/>
      <c r="Q237" s="169"/>
      <c r="R237" s="169"/>
      <c r="S237" s="169"/>
      <c r="T237" s="169"/>
      <c r="U237" s="169"/>
      <c r="V237" s="169"/>
      <c r="W237" s="169"/>
      <c r="X237" s="169"/>
      <c r="Y237" s="169"/>
      <c r="Z237" s="169"/>
      <c r="AA237" s="169"/>
      <c r="AB237" s="169"/>
      <c r="AC237" s="169"/>
      <c r="AD237" s="169"/>
      <c r="AE237" s="169"/>
      <c r="AF237" s="169"/>
      <c r="AG237" s="169"/>
      <c r="AH237" s="169"/>
      <c r="AI237" s="169"/>
      <c r="AJ237" s="169"/>
      <c r="AK237" s="169"/>
      <c r="AL237" s="169"/>
      <c r="AM237" s="169"/>
      <c r="AN237" s="169"/>
      <c r="AO237" s="169"/>
      <c r="AP237" s="169"/>
      <c r="AQ237" s="169"/>
      <c r="AR237" s="169"/>
      <c r="AS237" s="169"/>
    </row>
    <row r="238" spans="1:45" ht="15" customHeight="1" x14ac:dyDescent="0.3">
      <c r="C238" s="289" t="s">
        <v>43</v>
      </c>
      <c r="E238" s="169"/>
      <c r="F238" s="169"/>
      <c r="G238" s="169"/>
      <c r="H238" s="169"/>
      <c r="I238" s="169"/>
      <c r="J238" s="169"/>
      <c r="K238" s="169"/>
      <c r="L238" s="169"/>
      <c r="M238" s="169"/>
      <c r="N238" s="169"/>
      <c r="O238" s="169"/>
      <c r="P238" s="169"/>
      <c r="Q238" s="169"/>
      <c r="R238" s="169"/>
      <c r="S238" s="169"/>
      <c r="T238" s="169"/>
      <c r="U238" s="169"/>
      <c r="V238" s="169"/>
      <c r="W238" s="169"/>
      <c r="X238" s="169"/>
      <c r="Y238" s="169"/>
      <c r="Z238" s="169"/>
      <c r="AA238" s="169"/>
      <c r="AB238" s="169"/>
      <c r="AC238" s="169"/>
      <c r="AD238" s="169"/>
      <c r="AE238" s="169"/>
      <c r="AF238" s="169"/>
      <c r="AG238" s="169"/>
      <c r="AH238" s="169"/>
      <c r="AI238" s="169"/>
      <c r="AJ238" s="169"/>
      <c r="AK238" s="169"/>
      <c r="AL238" s="169"/>
      <c r="AM238" s="169"/>
      <c r="AN238" s="169"/>
      <c r="AO238" s="169"/>
      <c r="AP238" s="169"/>
      <c r="AQ238" s="169"/>
      <c r="AR238" s="169"/>
      <c r="AS238" s="169"/>
    </row>
    <row r="239" spans="1:45" ht="15" customHeight="1" x14ac:dyDescent="0.3">
      <c r="E239" s="169" t="str">
        <f xml:space="preserve"> E$108</f>
        <v>Cobalt revenue</v>
      </c>
      <c r="F239" s="169">
        <f t="shared" ref="F239:O239" si="268" xml:space="preserve"> F$108</f>
        <v>0</v>
      </c>
      <c r="G239" s="169" t="str">
        <f t="shared" si="268"/>
        <v>$ mn</v>
      </c>
      <c r="H239" s="169">
        <f t="shared" si="268"/>
        <v>0</v>
      </c>
      <c r="I239" s="169">
        <f t="shared" si="268"/>
        <v>656.22923949660003</v>
      </c>
      <c r="J239" s="169">
        <f t="shared" si="268"/>
        <v>0</v>
      </c>
      <c r="K239" s="169">
        <f t="shared" si="268"/>
        <v>0</v>
      </c>
      <c r="L239" s="169">
        <f t="shared" si="268"/>
        <v>0</v>
      </c>
      <c r="M239" s="169">
        <f t="shared" si="268"/>
        <v>0</v>
      </c>
      <c r="N239" s="169">
        <f t="shared" si="268"/>
        <v>0</v>
      </c>
      <c r="O239" s="169">
        <f t="shared" si="268"/>
        <v>0</v>
      </c>
      <c r="P239" s="169">
        <f t="shared" ref="P239:AS239" si="269" xml:space="preserve"> P$108</f>
        <v>0</v>
      </c>
      <c r="Q239" s="169">
        <f t="shared" si="269"/>
        <v>0</v>
      </c>
      <c r="R239" s="169">
        <f t="shared" si="269"/>
        <v>0</v>
      </c>
      <c r="S239" s="169">
        <f t="shared" si="269"/>
        <v>0</v>
      </c>
      <c r="T239" s="169">
        <f t="shared" si="269"/>
        <v>0</v>
      </c>
      <c r="U239" s="169">
        <f t="shared" si="269"/>
        <v>0</v>
      </c>
      <c r="V239" s="169">
        <f t="shared" si="269"/>
        <v>0</v>
      </c>
      <c r="W239" s="169">
        <f t="shared" si="269"/>
        <v>0</v>
      </c>
      <c r="X239" s="169">
        <f t="shared" si="269"/>
        <v>17.482495504319996</v>
      </c>
      <c r="Y239" s="169">
        <f t="shared" si="269"/>
        <v>32.942181610799999</v>
      </c>
      <c r="Z239" s="169">
        <f t="shared" si="269"/>
        <v>59.516856278879985</v>
      </c>
      <c r="AA239" s="169">
        <f t="shared" si="269"/>
        <v>104.42579902523998</v>
      </c>
      <c r="AB239" s="169">
        <f t="shared" si="269"/>
        <v>46.637951255280001</v>
      </c>
      <c r="AC239" s="169">
        <f t="shared" si="269"/>
        <v>48.158451213839989</v>
      </c>
      <c r="AD239" s="169">
        <f t="shared" si="269"/>
        <v>48.158451213839989</v>
      </c>
      <c r="AE239" s="169">
        <f t="shared" si="269"/>
        <v>48.158451213839989</v>
      </c>
      <c r="AF239" s="169">
        <f t="shared" si="269"/>
        <v>48.158451213839989</v>
      </c>
      <c r="AG239" s="169">
        <f t="shared" si="269"/>
        <v>48.158451213839989</v>
      </c>
      <c r="AH239" s="169">
        <f t="shared" si="269"/>
        <v>48.158451213839989</v>
      </c>
      <c r="AI239" s="169">
        <f t="shared" si="269"/>
        <v>48.158451213839989</v>
      </c>
      <c r="AJ239" s="169">
        <f t="shared" si="269"/>
        <v>41.109253720920002</v>
      </c>
      <c r="AK239" s="169">
        <f t="shared" si="269"/>
        <v>17.00554360428</v>
      </c>
      <c r="AL239" s="169">
        <f t="shared" si="269"/>
        <v>0</v>
      </c>
      <c r="AM239" s="169">
        <f t="shared" si="269"/>
        <v>0</v>
      </c>
      <c r="AN239" s="169">
        <f t="shared" si="269"/>
        <v>0</v>
      </c>
      <c r="AO239" s="169">
        <f t="shared" si="269"/>
        <v>0</v>
      </c>
      <c r="AP239" s="169">
        <f t="shared" si="269"/>
        <v>0</v>
      </c>
      <c r="AQ239" s="169">
        <f t="shared" si="269"/>
        <v>0</v>
      </c>
      <c r="AR239" s="169">
        <f t="shared" si="269"/>
        <v>0</v>
      </c>
      <c r="AS239" s="169">
        <f t="shared" si="269"/>
        <v>0</v>
      </c>
    </row>
    <row r="240" spans="1:45" ht="15" customHeight="1" x14ac:dyDescent="0.3">
      <c r="E240" s="169" t="str">
        <f t="shared" ref="E240:AS240" si="270" xml:space="preserve"> E$223</f>
        <v>Cobalt calculated royalty</v>
      </c>
      <c r="F240" s="169">
        <f t="shared" si="270"/>
        <v>0</v>
      </c>
      <c r="G240" s="169" t="str">
        <f t="shared" si="270"/>
        <v>$ mn</v>
      </c>
      <c r="H240" s="169">
        <f t="shared" si="270"/>
        <v>0</v>
      </c>
      <c r="I240" s="169">
        <f t="shared" si="270"/>
        <v>65.622923949659992</v>
      </c>
      <c r="J240" s="169">
        <f t="shared" si="270"/>
        <v>0</v>
      </c>
      <c r="K240" s="169">
        <f t="shared" si="270"/>
        <v>0</v>
      </c>
      <c r="L240" s="169">
        <f t="shared" si="270"/>
        <v>0</v>
      </c>
      <c r="M240" s="169">
        <f t="shared" si="270"/>
        <v>0</v>
      </c>
      <c r="N240" s="169">
        <f t="shared" si="270"/>
        <v>0</v>
      </c>
      <c r="O240" s="169">
        <f t="shared" si="270"/>
        <v>0</v>
      </c>
      <c r="P240" s="169">
        <f t="shared" si="270"/>
        <v>0</v>
      </c>
      <c r="Q240" s="169">
        <f t="shared" si="270"/>
        <v>0</v>
      </c>
      <c r="R240" s="169">
        <f t="shared" si="270"/>
        <v>0</v>
      </c>
      <c r="S240" s="169">
        <f t="shared" si="270"/>
        <v>0</v>
      </c>
      <c r="T240" s="169">
        <f t="shared" si="270"/>
        <v>0</v>
      </c>
      <c r="U240" s="169">
        <f t="shared" si="270"/>
        <v>0</v>
      </c>
      <c r="V240" s="169">
        <f t="shared" si="270"/>
        <v>0</v>
      </c>
      <c r="W240" s="169">
        <f t="shared" si="270"/>
        <v>0</v>
      </c>
      <c r="X240" s="169">
        <f t="shared" si="270"/>
        <v>1.7482495504319997</v>
      </c>
      <c r="Y240" s="169">
        <f t="shared" si="270"/>
        <v>3.2942181610799999</v>
      </c>
      <c r="Z240" s="169">
        <f t="shared" si="270"/>
        <v>5.9516856278879988</v>
      </c>
      <c r="AA240" s="169">
        <f t="shared" si="270"/>
        <v>10.442579902523999</v>
      </c>
      <c r="AB240" s="169">
        <f t="shared" si="270"/>
        <v>4.6637951255279999</v>
      </c>
      <c r="AC240" s="169">
        <f t="shared" si="270"/>
        <v>4.8158451213839992</v>
      </c>
      <c r="AD240" s="169">
        <f t="shared" si="270"/>
        <v>4.8158451213839992</v>
      </c>
      <c r="AE240" s="169">
        <f t="shared" si="270"/>
        <v>4.8158451213839992</v>
      </c>
      <c r="AF240" s="169">
        <f t="shared" si="270"/>
        <v>4.8158451213839992</v>
      </c>
      <c r="AG240" s="169">
        <f t="shared" si="270"/>
        <v>4.8158451213839992</v>
      </c>
      <c r="AH240" s="169">
        <f t="shared" si="270"/>
        <v>4.8158451213839992</v>
      </c>
      <c r="AI240" s="169">
        <f t="shared" si="270"/>
        <v>4.8158451213839992</v>
      </c>
      <c r="AJ240" s="169">
        <f t="shared" si="270"/>
        <v>4.1109253720920007</v>
      </c>
      <c r="AK240" s="169">
        <f t="shared" si="270"/>
        <v>1.700554360428</v>
      </c>
      <c r="AL240" s="169">
        <f t="shared" si="270"/>
        <v>0</v>
      </c>
      <c r="AM240" s="169">
        <f t="shared" si="270"/>
        <v>0</v>
      </c>
      <c r="AN240" s="169">
        <f t="shared" si="270"/>
        <v>0</v>
      </c>
      <c r="AO240" s="169">
        <f t="shared" si="270"/>
        <v>0</v>
      </c>
      <c r="AP240" s="169">
        <f t="shared" si="270"/>
        <v>0</v>
      </c>
      <c r="AQ240" s="169">
        <f t="shared" si="270"/>
        <v>0</v>
      </c>
      <c r="AR240" s="169">
        <f t="shared" si="270"/>
        <v>0</v>
      </c>
      <c r="AS240" s="169">
        <f t="shared" si="270"/>
        <v>0</v>
      </c>
    </row>
    <row r="241" spans="1:45" ht="15" customHeight="1" x14ac:dyDescent="0.3">
      <c r="A241" s="303"/>
      <c r="B241" s="303"/>
      <c r="C241" s="304"/>
      <c r="D241" s="305"/>
      <c r="E241" s="317" t="s">
        <v>757</v>
      </c>
      <c r="F241" s="317"/>
      <c r="G241" s="317" t="s">
        <v>346</v>
      </c>
      <c r="H241" s="317"/>
      <c r="I241" s="317">
        <f>SUM(K241:AS241)</f>
        <v>590.60631554693987</v>
      </c>
      <c r="J241" s="317"/>
      <c r="K241" s="317">
        <f t="shared" ref="K241:O241" si="271">K239 - K240</f>
        <v>0</v>
      </c>
      <c r="L241" s="317">
        <f t="shared" si="271"/>
        <v>0</v>
      </c>
      <c r="M241" s="317">
        <f t="shared" si="271"/>
        <v>0</v>
      </c>
      <c r="N241" s="317">
        <f t="shared" si="271"/>
        <v>0</v>
      </c>
      <c r="O241" s="317">
        <f t="shared" si="271"/>
        <v>0</v>
      </c>
      <c r="P241" s="317">
        <f>P239 - P240</f>
        <v>0</v>
      </c>
      <c r="Q241" s="317">
        <f t="shared" ref="Q241" si="272">Q239 - Q240</f>
        <v>0</v>
      </c>
      <c r="R241" s="317">
        <f t="shared" ref="R241" si="273">R239 - R240</f>
        <v>0</v>
      </c>
      <c r="S241" s="317">
        <f t="shared" ref="S241" si="274">S239 - S240</f>
        <v>0</v>
      </c>
      <c r="T241" s="317">
        <f t="shared" ref="T241" si="275">T239 - T240</f>
        <v>0</v>
      </c>
      <c r="U241" s="317">
        <f t="shared" ref="U241" si="276">U239 - U240</f>
        <v>0</v>
      </c>
      <c r="V241" s="317">
        <f t="shared" ref="V241" si="277">V239 - V240</f>
        <v>0</v>
      </c>
      <c r="W241" s="317">
        <f t="shared" ref="W241" si="278">W239 - W240</f>
        <v>0</v>
      </c>
      <c r="X241" s="317">
        <f t="shared" ref="X241" si="279">X239 - X240</f>
        <v>15.734245953887996</v>
      </c>
      <c r="Y241" s="317">
        <f t="shared" ref="Y241" si="280">Y239 - Y240</f>
        <v>29.647963449719999</v>
      </c>
      <c r="Z241" s="317">
        <f t="shared" ref="Z241" si="281">Z239 - Z240</f>
        <v>53.565170650991988</v>
      </c>
      <c r="AA241" s="317">
        <f t="shared" ref="AA241" si="282">AA239 - AA240</f>
        <v>93.98321912271598</v>
      </c>
      <c r="AB241" s="317">
        <f t="shared" ref="AB241" si="283">AB239 - AB240</f>
        <v>41.974156129752004</v>
      </c>
      <c r="AC241" s="317">
        <f t="shared" ref="AC241" si="284">AC239 - AC240</f>
        <v>43.342606092455988</v>
      </c>
      <c r="AD241" s="317">
        <f t="shared" ref="AD241" si="285">AD239 - AD240</f>
        <v>43.342606092455988</v>
      </c>
      <c r="AE241" s="317">
        <f t="shared" ref="AE241" si="286">AE239 - AE240</f>
        <v>43.342606092455988</v>
      </c>
      <c r="AF241" s="317">
        <f t="shared" ref="AF241" si="287">AF239 - AF240</f>
        <v>43.342606092455988</v>
      </c>
      <c r="AG241" s="317">
        <f t="shared" ref="AG241" si="288">AG239 - AG240</f>
        <v>43.342606092455988</v>
      </c>
      <c r="AH241" s="317">
        <f t="shared" ref="AH241" si="289">AH239 - AH240</f>
        <v>43.342606092455988</v>
      </c>
      <c r="AI241" s="317">
        <f t="shared" ref="AI241" si="290">AI239 - AI240</f>
        <v>43.342606092455988</v>
      </c>
      <c r="AJ241" s="317">
        <f t="shared" ref="AJ241" si="291">AJ239 - AJ240</f>
        <v>36.998328348828004</v>
      </c>
      <c r="AK241" s="317">
        <f t="shared" ref="AK241" si="292">AK239 - AK240</f>
        <v>15.304989243851999</v>
      </c>
      <c r="AL241" s="317">
        <f t="shared" ref="AL241" si="293">AL239 - AL240</f>
        <v>0</v>
      </c>
      <c r="AM241" s="317">
        <f t="shared" ref="AM241" si="294">AM239 - AM240</f>
        <v>0</v>
      </c>
      <c r="AN241" s="317">
        <f t="shared" ref="AN241" si="295">AN239 - AN240</f>
        <v>0</v>
      </c>
      <c r="AO241" s="317">
        <f t="shared" ref="AO241" si="296">AO239 - AO240</f>
        <v>0</v>
      </c>
      <c r="AP241" s="317">
        <f t="shared" ref="AP241" si="297">AP239 - AP240</f>
        <v>0</v>
      </c>
      <c r="AQ241" s="317">
        <f t="shared" ref="AQ241" si="298">AQ239 - AQ240</f>
        <v>0</v>
      </c>
      <c r="AR241" s="317">
        <f t="shared" ref="AR241" si="299">AR239 - AR240</f>
        <v>0</v>
      </c>
      <c r="AS241" s="317">
        <f>AS239 - AS240</f>
        <v>0</v>
      </c>
    </row>
    <row r="242" spans="1:45" ht="15" customHeight="1" x14ac:dyDescent="0.3">
      <c r="A242" s="310"/>
      <c r="B242" s="310"/>
      <c r="C242" s="311"/>
      <c r="D242" s="312"/>
      <c r="E242" s="701"/>
      <c r="F242" s="701"/>
      <c r="G242" s="701"/>
      <c r="H242" s="701"/>
      <c r="I242" s="701"/>
      <c r="J242" s="701"/>
      <c r="K242" s="701"/>
      <c r="L242" s="701"/>
      <c r="M242" s="701"/>
      <c r="N242" s="701"/>
      <c r="O242" s="701"/>
      <c r="P242" s="701"/>
      <c r="Q242" s="701"/>
      <c r="R242" s="701"/>
      <c r="S242" s="701"/>
      <c r="T242" s="701"/>
      <c r="U242" s="701"/>
      <c r="V242" s="701"/>
      <c r="W242" s="701"/>
      <c r="X242" s="701"/>
      <c r="Y242" s="701"/>
      <c r="Z242" s="701"/>
      <c r="AA242" s="701"/>
      <c r="AB242" s="701"/>
      <c r="AC242" s="701"/>
      <c r="AD242" s="701"/>
      <c r="AE242" s="701"/>
      <c r="AF242" s="701"/>
      <c r="AG242" s="701"/>
      <c r="AH242" s="701"/>
      <c r="AI242" s="701"/>
      <c r="AJ242" s="701"/>
      <c r="AK242" s="701"/>
      <c r="AL242" s="701"/>
      <c r="AM242" s="701"/>
      <c r="AN242" s="701"/>
      <c r="AO242" s="701"/>
      <c r="AP242" s="701"/>
      <c r="AQ242" s="701"/>
      <c r="AR242" s="701"/>
      <c r="AS242" s="701"/>
    </row>
    <row r="243" spans="1:45" ht="15" customHeight="1" x14ac:dyDescent="0.3">
      <c r="A243" s="310"/>
      <c r="B243" s="310"/>
      <c r="C243" s="311"/>
      <c r="D243" s="312"/>
      <c r="E243" s="701" t="str">
        <f t="shared" ref="E243:AS243" si="300" xml:space="preserve"> E$236</f>
        <v>Copper revenue after royalty</v>
      </c>
      <c r="F243" s="701">
        <f t="shared" si="300"/>
        <v>0</v>
      </c>
      <c r="G243" s="701" t="str">
        <f t="shared" si="300"/>
        <v>$ mn</v>
      </c>
      <c r="H243" s="701">
        <f t="shared" si="300"/>
        <v>0</v>
      </c>
      <c r="I243" s="701">
        <f t="shared" si="300"/>
        <v>10863.691438649999</v>
      </c>
      <c r="J243" s="701">
        <f t="shared" si="300"/>
        <v>0</v>
      </c>
      <c r="K243" s="701">
        <f t="shared" si="300"/>
        <v>0</v>
      </c>
      <c r="L243" s="701">
        <f t="shared" si="300"/>
        <v>0</v>
      </c>
      <c r="M243" s="701">
        <f t="shared" si="300"/>
        <v>0</v>
      </c>
      <c r="N243" s="701">
        <f t="shared" si="300"/>
        <v>0</v>
      </c>
      <c r="O243" s="701">
        <f t="shared" si="300"/>
        <v>0</v>
      </c>
      <c r="P243" s="701">
        <f t="shared" si="300"/>
        <v>0</v>
      </c>
      <c r="Q243" s="701">
        <f t="shared" si="300"/>
        <v>0</v>
      </c>
      <c r="R243" s="701">
        <f t="shared" si="300"/>
        <v>0</v>
      </c>
      <c r="S243" s="701">
        <f t="shared" si="300"/>
        <v>0</v>
      </c>
      <c r="T243" s="701">
        <f t="shared" si="300"/>
        <v>0</v>
      </c>
      <c r="U243" s="701">
        <f t="shared" si="300"/>
        <v>0</v>
      </c>
      <c r="V243" s="701">
        <f t="shared" si="300"/>
        <v>102.58699289999998</v>
      </c>
      <c r="W243" s="701">
        <f t="shared" si="300"/>
        <v>267.55625003</v>
      </c>
      <c r="X243" s="701">
        <f t="shared" si="300"/>
        <v>402.25959766</v>
      </c>
      <c r="Y243" s="701">
        <f t="shared" si="300"/>
        <v>613.52038240499996</v>
      </c>
      <c r="Z243" s="701">
        <f t="shared" si="300"/>
        <v>1022.1108210699999</v>
      </c>
      <c r="AA243" s="701">
        <f t="shared" si="300"/>
        <v>905.60689506499989</v>
      </c>
      <c r="AB243" s="701">
        <f t="shared" si="300"/>
        <v>825.22039847999997</v>
      </c>
      <c r="AC243" s="701">
        <f t="shared" si="300"/>
        <v>840.84466072666669</v>
      </c>
      <c r="AD243" s="701">
        <f t="shared" si="300"/>
        <v>840.84466072666669</v>
      </c>
      <c r="AE243" s="701">
        <f t="shared" si="300"/>
        <v>840.84466072666669</v>
      </c>
      <c r="AF243" s="701">
        <f t="shared" si="300"/>
        <v>840.84466072666669</v>
      </c>
      <c r="AG243" s="701">
        <f t="shared" si="300"/>
        <v>840.84466072666669</v>
      </c>
      <c r="AH243" s="701">
        <f t="shared" si="300"/>
        <v>840.84466072666669</v>
      </c>
      <c r="AI243" s="701">
        <f t="shared" si="300"/>
        <v>695.93514107999999</v>
      </c>
      <c r="AJ243" s="701">
        <f t="shared" si="300"/>
        <v>695.93514107999999</v>
      </c>
      <c r="AK243" s="701">
        <f t="shared" si="300"/>
        <v>287.89185451999998</v>
      </c>
      <c r="AL243" s="701">
        <f t="shared" si="300"/>
        <v>0</v>
      </c>
      <c r="AM243" s="701">
        <f t="shared" si="300"/>
        <v>0</v>
      </c>
      <c r="AN243" s="701">
        <f t="shared" si="300"/>
        <v>0</v>
      </c>
      <c r="AO243" s="701">
        <f t="shared" si="300"/>
        <v>0</v>
      </c>
      <c r="AP243" s="701">
        <f t="shared" si="300"/>
        <v>0</v>
      </c>
      <c r="AQ243" s="701">
        <f t="shared" si="300"/>
        <v>0</v>
      </c>
      <c r="AR243" s="701">
        <f t="shared" si="300"/>
        <v>0</v>
      </c>
      <c r="AS243" s="701">
        <f t="shared" si="300"/>
        <v>0</v>
      </c>
    </row>
    <row r="244" spans="1:45" ht="15" customHeight="1" x14ac:dyDescent="0.3">
      <c r="A244" s="310"/>
      <c r="B244" s="310"/>
      <c r="C244" s="311"/>
      <c r="D244" s="312"/>
      <c r="E244" s="701" t="str">
        <f t="shared" ref="E244:AS244" si="301" xml:space="preserve"> E$241</f>
        <v>Cobalt revenue after royalty</v>
      </c>
      <c r="F244" s="701">
        <f t="shared" si="301"/>
        <v>0</v>
      </c>
      <c r="G244" s="701" t="str">
        <f t="shared" si="301"/>
        <v>$ mn</v>
      </c>
      <c r="H244" s="701">
        <f t="shared" si="301"/>
        <v>0</v>
      </c>
      <c r="I244" s="701">
        <f t="shared" si="301"/>
        <v>590.60631554693987</v>
      </c>
      <c r="J244" s="701">
        <f t="shared" si="301"/>
        <v>0</v>
      </c>
      <c r="K244" s="701">
        <f t="shared" si="301"/>
        <v>0</v>
      </c>
      <c r="L244" s="701">
        <f t="shared" si="301"/>
        <v>0</v>
      </c>
      <c r="M244" s="701">
        <f t="shared" si="301"/>
        <v>0</v>
      </c>
      <c r="N244" s="701">
        <f t="shared" si="301"/>
        <v>0</v>
      </c>
      <c r="O244" s="701">
        <f t="shared" si="301"/>
        <v>0</v>
      </c>
      <c r="P244" s="701">
        <f t="shared" si="301"/>
        <v>0</v>
      </c>
      <c r="Q244" s="701">
        <f t="shared" si="301"/>
        <v>0</v>
      </c>
      <c r="R244" s="701">
        <f t="shared" si="301"/>
        <v>0</v>
      </c>
      <c r="S244" s="701">
        <f t="shared" si="301"/>
        <v>0</v>
      </c>
      <c r="T244" s="701">
        <f t="shared" si="301"/>
        <v>0</v>
      </c>
      <c r="U244" s="701">
        <f t="shared" si="301"/>
        <v>0</v>
      </c>
      <c r="V244" s="701">
        <f t="shared" si="301"/>
        <v>0</v>
      </c>
      <c r="W244" s="701">
        <f t="shared" si="301"/>
        <v>0</v>
      </c>
      <c r="X244" s="701">
        <f t="shared" si="301"/>
        <v>15.734245953887996</v>
      </c>
      <c r="Y244" s="701">
        <f t="shared" si="301"/>
        <v>29.647963449719999</v>
      </c>
      <c r="Z244" s="701">
        <f t="shared" si="301"/>
        <v>53.565170650991988</v>
      </c>
      <c r="AA244" s="701">
        <f t="shared" si="301"/>
        <v>93.98321912271598</v>
      </c>
      <c r="AB244" s="701">
        <f t="shared" si="301"/>
        <v>41.974156129752004</v>
      </c>
      <c r="AC244" s="701">
        <f t="shared" si="301"/>
        <v>43.342606092455988</v>
      </c>
      <c r="AD244" s="701">
        <f t="shared" si="301"/>
        <v>43.342606092455988</v>
      </c>
      <c r="AE244" s="701">
        <f t="shared" si="301"/>
        <v>43.342606092455988</v>
      </c>
      <c r="AF244" s="701">
        <f t="shared" si="301"/>
        <v>43.342606092455988</v>
      </c>
      <c r="AG244" s="701">
        <f t="shared" si="301"/>
        <v>43.342606092455988</v>
      </c>
      <c r="AH244" s="701">
        <f t="shared" si="301"/>
        <v>43.342606092455988</v>
      </c>
      <c r="AI244" s="701">
        <f t="shared" si="301"/>
        <v>43.342606092455988</v>
      </c>
      <c r="AJ244" s="701">
        <f t="shared" si="301"/>
        <v>36.998328348828004</v>
      </c>
      <c r="AK244" s="701">
        <f t="shared" si="301"/>
        <v>15.304989243851999</v>
      </c>
      <c r="AL244" s="701">
        <f t="shared" si="301"/>
        <v>0</v>
      </c>
      <c r="AM244" s="701">
        <f t="shared" si="301"/>
        <v>0</v>
      </c>
      <c r="AN244" s="701">
        <f t="shared" si="301"/>
        <v>0</v>
      </c>
      <c r="AO244" s="701">
        <f t="shared" si="301"/>
        <v>0</v>
      </c>
      <c r="AP244" s="701">
        <f t="shared" si="301"/>
        <v>0</v>
      </c>
      <c r="AQ244" s="701">
        <f t="shared" si="301"/>
        <v>0</v>
      </c>
      <c r="AR244" s="701">
        <f t="shared" si="301"/>
        <v>0</v>
      </c>
      <c r="AS244" s="701">
        <f t="shared" si="301"/>
        <v>0</v>
      </c>
    </row>
    <row r="245" spans="1:45" ht="15" customHeight="1" x14ac:dyDescent="0.3">
      <c r="A245" s="303"/>
      <c r="B245" s="303"/>
      <c r="C245" s="304"/>
      <c r="D245" s="305"/>
      <c r="E245" s="317" t="s">
        <v>758</v>
      </c>
      <c r="F245" s="317"/>
      <c r="G245" s="317" t="s">
        <v>346</v>
      </c>
      <c r="H245" s="317"/>
      <c r="I245" s="317">
        <f>SUM(K245:AS245)</f>
        <v>11454.297754196941</v>
      </c>
      <c r="J245" s="317"/>
      <c r="K245" s="317">
        <f t="shared" ref="K245:O245" si="302">K243 + K244</f>
        <v>0</v>
      </c>
      <c r="L245" s="317">
        <f t="shared" si="302"/>
        <v>0</v>
      </c>
      <c r="M245" s="317">
        <f t="shared" si="302"/>
        <v>0</v>
      </c>
      <c r="N245" s="317">
        <f t="shared" si="302"/>
        <v>0</v>
      </c>
      <c r="O245" s="317">
        <f t="shared" si="302"/>
        <v>0</v>
      </c>
      <c r="P245" s="317">
        <f>P243 + P244</f>
        <v>0</v>
      </c>
      <c r="Q245" s="317">
        <f t="shared" ref="Q245:AS245" si="303">Q243 + Q244</f>
        <v>0</v>
      </c>
      <c r="R245" s="317">
        <f t="shared" si="303"/>
        <v>0</v>
      </c>
      <c r="S245" s="317">
        <f t="shared" si="303"/>
        <v>0</v>
      </c>
      <c r="T245" s="317">
        <f t="shared" si="303"/>
        <v>0</v>
      </c>
      <c r="U245" s="317">
        <f t="shared" si="303"/>
        <v>0</v>
      </c>
      <c r="V245" s="317">
        <f t="shared" si="303"/>
        <v>102.58699289999998</v>
      </c>
      <c r="W245" s="317">
        <f t="shared" si="303"/>
        <v>267.55625003</v>
      </c>
      <c r="X245" s="317">
        <f t="shared" si="303"/>
        <v>417.99384361388798</v>
      </c>
      <c r="Y245" s="317">
        <f t="shared" si="303"/>
        <v>643.16834585471997</v>
      </c>
      <c r="Z245" s="317">
        <f t="shared" si="303"/>
        <v>1075.675991720992</v>
      </c>
      <c r="AA245" s="317">
        <f t="shared" si="303"/>
        <v>999.59011418771593</v>
      </c>
      <c r="AB245" s="317">
        <f t="shared" si="303"/>
        <v>867.194554609752</v>
      </c>
      <c r="AC245" s="317">
        <f t="shared" si="303"/>
        <v>884.18726681912267</v>
      </c>
      <c r="AD245" s="317">
        <f t="shared" si="303"/>
        <v>884.18726681912267</v>
      </c>
      <c r="AE245" s="317">
        <f t="shared" si="303"/>
        <v>884.18726681912267</v>
      </c>
      <c r="AF245" s="317">
        <f t="shared" si="303"/>
        <v>884.18726681912267</v>
      </c>
      <c r="AG245" s="317">
        <f t="shared" si="303"/>
        <v>884.18726681912267</v>
      </c>
      <c r="AH245" s="317">
        <f t="shared" si="303"/>
        <v>884.18726681912267</v>
      </c>
      <c r="AI245" s="317">
        <f t="shared" si="303"/>
        <v>739.27774717245597</v>
      </c>
      <c r="AJ245" s="317">
        <f t="shared" si="303"/>
        <v>732.93346942882795</v>
      </c>
      <c r="AK245" s="317">
        <f t="shared" si="303"/>
        <v>303.19684376385197</v>
      </c>
      <c r="AL245" s="317">
        <f t="shared" si="303"/>
        <v>0</v>
      </c>
      <c r="AM245" s="317">
        <f t="shared" si="303"/>
        <v>0</v>
      </c>
      <c r="AN245" s="317">
        <f t="shared" si="303"/>
        <v>0</v>
      </c>
      <c r="AO245" s="317">
        <f t="shared" si="303"/>
        <v>0</v>
      </c>
      <c r="AP245" s="317">
        <f t="shared" si="303"/>
        <v>0</v>
      </c>
      <c r="AQ245" s="317">
        <f t="shared" si="303"/>
        <v>0</v>
      </c>
      <c r="AR245" s="317">
        <f t="shared" si="303"/>
        <v>0</v>
      </c>
      <c r="AS245" s="317">
        <f t="shared" si="303"/>
        <v>0</v>
      </c>
    </row>
    <row r="246" spans="1:45" ht="15" customHeight="1" x14ac:dyDescent="0.3">
      <c r="A246" s="310"/>
      <c r="B246" s="310"/>
      <c r="C246" s="311"/>
      <c r="D246" s="312"/>
      <c r="E246" s="701"/>
      <c r="F246" s="701"/>
      <c r="G246" s="701"/>
      <c r="H246" s="701"/>
      <c r="I246" s="701"/>
      <c r="J246" s="701"/>
      <c r="K246" s="701"/>
      <c r="L246" s="701"/>
      <c r="M246" s="701"/>
      <c r="N246" s="701"/>
      <c r="O246" s="701"/>
      <c r="P246" s="701"/>
      <c r="Q246" s="701"/>
      <c r="R246" s="701"/>
      <c r="S246" s="701"/>
      <c r="T246" s="701"/>
      <c r="U246" s="701"/>
      <c r="V246" s="701"/>
      <c r="W246" s="701"/>
      <c r="X246" s="701"/>
      <c r="Y246" s="701"/>
      <c r="Z246" s="701"/>
      <c r="AA246" s="701"/>
      <c r="AB246" s="701"/>
      <c r="AC246" s="701"/>
      <c r="AD246" s="701"/>
      <c r="AE246" s="701"/>
      <c r="AF246" s="701"/>
      <c r="AG246" s="701"/>
      <c r="AH246" s="701"/>
      <c r="AI246" s="701"/>
      <c r="AJ246" s="701"/>
      <c r="AK246" s="701"/>
      <c r="AL246" s="701"/>
      <c r="AM246" s="701"/>
      <c r="AN246" s="701"/>
      <c r="AO246" s="701"/>
      <c r="AP246" s="701"/>
      <c r="AQ246" s="701"/>
      <c r="AR246" s="701"/>
      <c r="AS246" s="701"/>
    </row>
    <row r="247" spans="1:45" ht="15" customHeight="1" x14ac:dyDescent="0.3">
      <c r="A247" s="804"/>
      <c r="B247" s="804"/>
      <c r="C247" s="805"/>
      <c r="D247" s="544"/>
      <c r="E247" s="544" t="s">
        <v>759</v>
      </c>
      <c r="F247" s="806"/>
      <c r="G247" s="544" t="s">
        <v>34</v>
      </c>
      <c r="H247" s="544"/>
      <c r="I247" s="544"/>
      <c r="J247" s="544"/>
      <c r="K247" s="544">
        <f t="shared" ref="K247:O247" si="304">IFERROR(K236/K245, 0)</f>
        <v>0</v>
      </c>
      <c r="L247" s="544">
        <f t="shared" si="304"/>
        <v>0</v>
      </c>
      <c r="M247" s="544">
        <f t="shared" si="304"/>
        <v>0</v>
      </c>
      <c r="N247" s="544">
        <f t="shared" si="304"/>
        <v>0</v>
      </c>
      <c r="O247" s="544">
        <f t="shared" si="304"/>
        <v>0</v>
      </c>
      <c r="P247" s="544">
        <f>IFERROR(P236/P245, 0)</f>
        <v>0</v>
      </c>
      <c r="Q247" s="806">
        <f t="shared" ref="Q247:AS247" si="305">IFERROR(Q236/Q245, 0)</f>
        <v>0</v>
      </c>
      <c r="R247" s="806">
        <f t="shared" si="305"/>
        <v>0</v>
      </c>
      <c r="S247" s="806">
        <f t="shared" si="305"/>
        <v>0</v>
      </c>
      <c r="T247" s="806">
        <f t="shared" si="305"/>
        <v>0</v>
      </c>
      <c r="U247" s="806">
        <f t="shared" si="305"/>
        <v>0</v>
      </c>
      <c r="V247" s="806">
        <f t="shared" si="305"/>
        <v>1</v>
      </c>
      <c r="W247" s="806">
        <f t="shared" si="305"/>
        <v>1</v>
      </c>
      <c r="X247" s="806">
        <f t="shared" si="305"/>
        <v>0.96235770886515226</v>
      </c>
      <c r="Y247" s="806">
        <f t="shared" si="305"/>
        <v>0.95390326087904687</v>
      </c>
      <c r="Z247" s="806">
        <f t="shared" si="305"/>
        <v>0.95020324794523647</v>
      </c>
      <c r="AA247" s="806">
        <f t="shared" si="305"/>
        <v>0.90597824269291782</v>
      </c>
      <c r="AB247" s="806">
        <f t="shared" si="305"/>
        <v>0.95159776326243084</v>
      </c>
      <c r="AC247" s="806">
        <f t="shared" si="305"/>
        <v>0.95098028696072312</v>
      </c>
      <c r="AD247" s="806">
        <f t="shared" si="305"/>
        <v>0.95098028696072312</v>
      </c>
      <c r="AE247" s="806">
        <f t="shared" si="305"/>
        <v>0.95098028696072312</v>
      </c>
      <c r="AF247" s="806">
        <f t="shared" si="305"/>
        <v>0.95098028696072312</v>
      </c>
      <c r="AG247" s="806">
        <f t="shared" si="305"/>
        <v>0.95098028696072312</v>
      </c>
      <c r="AH247" s="806">
        <f t="shared" si="305"/>
        <v>0.95098028696072312</v>
      </c>
      <c r="AI247" s="806">
        <f t="shared" si="305"/>
        <v>0.94137168843749175</v>
      </c>
      <c r="AJ247" s="806">
        <f t="shared" si="305"/>
        <v>0.94952020900660927</v>
      </c>
      <c r="AK247" s="806">
        <f t="shared" si="305"/>
        <v>0.94952127781457896</v>
      </c>
      <c r="AL247" s="806">
        <f t="shared" si="305"/>
        <v>0</v>
      </c>
      <c r="AM247" s="806">
        <f t="shared" si="305"/>
        <v>0</v>
      </c>
      <c r="AN247" s="806">
        <f t="shared" si="305"/>
        <v>0</v>
      </c>
      <c r="AO247" s="806">
        <f t="shared" si="305"/>
        <v>0</v>
      </c>
      <c r="AP247" s="806">
        <f t="shared" si="305"/>
        <v>0</v>
      </c>
      <c r="AQ247" s="806">
        <f t="shared" si="305"/>
        <v>0</v>
      </c>
      <c r="AR247" s="806">
        <f t="shared" si="305"/>
        <v>0</v>
      </c>
      <c r="AS247" s="806">
        <f t="shared" si="305"/>
        <v>0</v>
      </c>
    </row>
    <row r="248" spans="1:45" ht="15" customHeight="1" x14ac:dyDescent="0.3">
      <c r="A248" s="804"/>
      <c r="B248" s="804"/>
      <c r="C248" s="805"/>
      <c r="D248" s="544"/>
      <c r="E248" s="544" t="s">
        <v>760</v>
      </c>
      <c r="F248" s="806"/>
      <c r="G248" s="544" t="s">
        <v>34</v>
      </c>
      <c r="H248" s="544"/>
      <c r="I248" s="544"/>
      <c r="J248" s="544"/>
      <c r="K248" s="544">
        <f t="shared" ref="K248:O248" si="306">IFERROR(K241/K245, 0)</f>
        <v>0</v>
      </c>
      <c r="L248" s="544">
        <f t="shared" si="306"/>
        <v>0</v>
      </c>
      <c r="M248" s="544">
        <f t="shared" si="306"/>
        <v>0</v>
      </c>
      <c r="N248" s="544">
        <f t="shared" si="306"/>
        <v>0</v>
      </c>
      <c r="O248" s="544">
        <f t="shared" si="306"/>
        <v>0</v>
      </c>
      <c r="P248" s="544">
        <f>IFERROR(P241/P245, 0)</f>
        <v>0</v>
      </c>
      <c r="Q248" s="806">
        <f t="shared" ref="Q248:AS248" si="307">IFERROR(Q241/Q245, 0)</f>
        <v>0</v>
      </c>
      <c r="R248" s="806">
        <f t="shared" si="307"/>
        <v>0</v>
      </c>
      <c r="S248" s="806">
        <f t="shared" si="307"/>
        <v>0</v>
      </c>
      <c r="T248" s="806">
        <f t="shared" si="307"/>
        <v>0</v>
      </c>
      <c r="U248" s="806">
        <f t="shared" si="307"/>
        <v>0</v>
      </c>
      <c r="V248" s="806">
        <f t="shared" si="307"/>
        <v>0</v>
      </c>
      <c r="W248" s="806">
        <f t="shared" si="307"/>
        <v>0</v>
      </c>
      <c r="X248" s="806">
        <f t="shared" si="307"/>
        <v>3.7642291134847759E-2</v>
      </c>
      <c r="Y248" s="806">
        <f t="shared" si="307"/>
        <v>4.6096739120953155E-2</v>
      </c>
      <c r="Z248" s="806">
        <f t="shared" si="307"/>
        <v>4.9796752054763423E-2</v>
      </c>
      <c r="AA248" s="806">
        <f t="shared" si="307"/>
        <v>9.4021757307082163E-2</v>
      </c>
      <c r="AB248" s="806">
        <f t="shared" si="307"/>
        <v>4.840223673756909E-2</v>
      </c>
      <c r="AC248" s="806">
        <f t="shared" si="307"/>
        <v>4.9019713039276942E-2</v>
      </c>
      <c r="AD248" s="806">
        <f t="shared" si="307"/>
        <v>4.9019713039276942E-2</v>
      </c>
      <c r="AE248" s="806">
        <f t="shared" si="307"/>
        <v>4.9019713039276942E-2</v>
      </c>
      <c r="AF248" s="806">
        <f t="shared" si="307"/>
        <v>4.9019713039276942E-2</v>
      </c>
      <c r="AG248" s="806">
        <f t="shared" si="307"/>
        <v>4.9019713039276942E-2</v>
      </c>
      <c r="AH248" s="806">
        <f t="shared" si="307"/>
        <v>4.9019713039276942E-2</v>
      </c>
      <c r="AI248" s="806">
        <f t="shared" si="307"/>
        <v>5.8628311562508299E-2</v>
      </c>
      <c r="AJ248" s="806">
        <f t="shared" si="307"/>
        <v>5.0479790993390776E-2</v>
      </c>
      <c r="AK248" s="806">
        <f t="shared" si="307"/>
        <v>5.0478722185421064E-2</v>
      </c>
      <c r="AL248" s="806">
        <f t="shared" si="307"/>
        <v>0</v>
      </c>
      <c r="AM248" s="806">
        <f t="shared" si="307"/>
        <v>0</v>
      </c>
      <c r="AN248" s="806">
        <f t="shared" si="307"/>
        <v>0</v>
      </c>
      <c r="AO248" s="806">
        <f t="shared" si="307"/>
        <v>0</v>
      </c>
      <c r="AP248" s="806">
        <f t="shared" si="307"/>
        <v>0</v>
      </c>
      <c r="AQ248" s="806">
        <f t="shared" si="307"/>
        <v>0</v>
      </c>
      <c r="AR248" s="806">
        <f t="shared" si="307"/>
        <v>0</v>
      </c>
      <c r="AS248" s="806">
        <f t="shared" si="307"/>
        <v>0</v>
      </c>
    </row>
    <row r="249" spans="1:45" ht="15" customHeight="1" x14ac:dyDescent="0.3">
      <c r="A249" s="310"/>
      <c r="B249" s="310"/>
      <c r="C249" s="311"/>
      <c r="D249" s="312"/>
      <c r="E249" s="701"/>
      <c r="F249" s="701"/>
      <c r="G249" s="701"/>
      <c r="H249" s="701"/>
      <c r="I249" s="701"/>
      <c r="J249" s="701"/>
      <c r="K249" s="701"/>
      <c r="L249" s="701"/>
      <c r="M249" s="701"/>
      <c r="N249" s="701"/>
      <c r="O249" s="701"/>
      <c r="P249" s="701"/>
      <c r="Q249" s="701"/>
      <c r="R249" s="701"/>
      <c r="S249" s="701"/>
      <c r="T249" s="701"/>
      <c r="U249" s="701"/>
      <c r="V249" s="701"/>
      <c r="W249" s="701"/>
      <c r="X249" s="701"/>
      <c r="Y249" s="701"/>
      <c r="Z249" s="701"/>
      <c r="AA249" s="701"/>
      <c r="AB249" s="701"/>
      <c r="AC249" s="701"/>
      <c r="AD249" s="701"/>
      <c r="AE249" s="701"/>
      <c r="AF249" s="701"/>
      <c r="AG249" s="701"/>
      <c r="AH249" s="701"/>
      <c r="AI249" s="701"/>
      <c r="AJ249" s="701"/>
      <c r="AK249" s="701"/>
      <c r="AL249" s="701"/>
      <c r="AM249" s="701"/>
      <c r="AN249" s="701"/>
      <c r="AO249" s="701"/>
      <c r="AP249" s="701"/>
      <c r="AQ249" s="701"/>
      <c r="AR249" s="701"/>
      <c r="AS249" s="701"/>
    </row>
    <row r="250" spans="1:45" ht="15" customHeight="1" x14ac:dyDescent="0.3">
      <c r="I250" s="291"/>
      <c r="J250" s="42"/>
      <c r="AL250" s="290"/>
      <c r="AM250" s="290"/>
      <c r="AN250" s="290"/>
      <c r="AO250" s="290"/>
      <c r="AP250" s="290"/>
      <c r="AQ250" s="290"/>
      <c r="AR250" s="290"/>
      <c r="AS250" s="290"/>
    </row>
    <row r="251" spans="1:45" ht="15" customHeight="1" collapsed="1" x14ac:dyDescent="0.3">
      <c r="A251" s="283" t="s">
        <v>292</v>
      </c>
      <c r="B251" s="284"/>
      <c r="C251" s="285"/>
      <c r="D251" s="286"/>
      <c r="E251" s="284"/>
      <c r="F251" s="284"/>
      <c r="G251" s="284"/>
      <c r="H251" s="284"/>
      <c r="I251" s="284"/>
      <c r="J251" s="42"/>
      <c r="K251" s="284"/>
      <c r="L251" s="284"/>
      <c r="M251" s="284"/>
      <c r="N251" s="284"/>
      <c r="O251" s="284"/>
      <c r="P251" s="284"/>
      <c r="Q251" s="284"/>
      <c r="R251" s="284"/>
      <c r="S251" s="284"/>
      <c r="T251" s="284"/>
      <c r="U251" s="284"/>
      <c r="V251" s="284"/>
      <c r="W251" s="284"/>
      <c r="X251" s="284"/>
      <c r="Y251" s="284"/>
      <c r="Z251" s="284"/>
      <c r="AA251" s="284"/>
      <c r="AB251" s="284"/>
      <c r="AC251" s="284"/>
      <c r="AD251" s="284"/>
      <c r="AE251" s="284"/>
      <c r="AF251" s="284"/>
      <c r="AG251" s="284"/>
      <c r="AH251" s="284"/>
      <c r="AI251" s="284"/>
      <c r="AJ251" s="284"/>
      <c r="AK251" s="284"/>
      <c r="AL251" s="284"/>
      <c r="AM251" s="284"/>
      <c r="AN251" s="284"/>
      <c r="AO251" s="284"/>
      <c r="AP251" s="284"/>
      <c r="AQ251" s="284"/>
      <c r="AR251" s="284"/>
      <c r="AS251" s="284"/>
    </row>
    <row r="252" spans="1:45" ht="15" customHeight="1" x14ac:dyDescent="0.3">
      <c r="I252" s="291"/>
      <c r="J252" s="42"/>
      <c r="AL252" s="290"/>
      <c r="AM252" s="290"/>
      <c r="AN252" s="290"/>
      <c r="AO252" s="290"/>
      <c r="AP252" s="290"/>
      <c r="AQ252" s="290"/>
      <c r="AR252" s="290"/>
      <c r="AS252" s="290"/>
    </row>
    <row r="253" spans="1:45" ht="15" customHeight="1" x14ac:dyDescent="0.3">
      <c r="E253" s="169" t="str">
        <f xml:space="preserve"> E$160</f>
        <v>Capital costs: FS</v>
      </c>
      <c r="F253" s="169" t="str">
        <f t="shared" ref="F253:I253" si="308" xml:space="preserve"> F$160</f>
        <v>FS</v>
      </c>
      <c r="G253" s="169" t="str">
        <f t="shared" si="308"/>
        <v>$ mn</v>
      </c>
      <c r="H253" s="169">
        <f t="shared" si="308"/>
        <v>0</v>
      </c>
      <c r="I253" s="169">
        <f t="shared" si="308"/>
        <v>824.72191894000002</v>
      </c>
      <c r="J253" s="42"/>
      <c r="K253" s="169">
        <f t="shared" ref="K253:O253" si="309" xml:space="preserve"> K$160</f>
        <v>0</v>
      </c>
      <c r="L253" s="169">
        <f t="shared" si="309"/>
        <v>0</v>
      </c>
      <c r="M253" s="169">
        <f t="shared" si="309"/>
        <v>0</v>
      </c>
      <c r="N253" s="169">
        <f t="shared" si="309"/>
        <v>0</v>
      </c>
      <c r="O253" s="169">
        <f t="shared" si="309"/>
        <v>0</v>
      </c>
      <c r="P253" s="169">
        <f t="shared" ref="P253:AS253" si="310" xml:space="preserve"> P$160</f>
        <v>0</v>
      </c>
      <c r="Q253" s="169">
        <f t="shared" si="310"/>
        <v>0</v>
      </c>
      <c r="R253" s="169">
        <f t="shared" si="310"/>
        <v>0</v>
      </c>
      <c r="S253" s="169">
        <f t="shared" si="310"/>
        <v>0</v>
      </c>
      <c r="T253" s="169">
        <f t="shared" si="310"/>
        <v>0</v>
      </c>
      <c r="U253" s="169">
        <f t="shared" si="310"/>
        <v>0</v>
      </c>
      <c r="V253" s="169">
        <f t="shared" si="310"/>
        <v>245.02819335000001</v>
      </c>
      <c r="W253" s="169">
        <f t="shared" si="310"/>
        <v>111.33372773000001</v>
      </c>
      <c r="X253" s="169">
        <f t="shared" si="310"/>
        <v>148.28970892000001</v>
      </c>
      <c r="Y253" s="169">
        <f t="shared" si="310"/>
        <v>4.7877627</v>
      </c>
      <c r="Z253" s="169">
        <f t="shared" si="310"/>
        <v>81.812290399999995</v>
      </c>
      <c r="AA253" s="169">
        <f t="shared" si="310"/>
        <v>100.30613584</v>
      </c>
      <c r="AB253" s="169">
        <f t="shared" si="310"/>
        <v>99.765600000000006</v>
      </c>
      <c r="AC253" s="169">
        <f t="shared" si="310"/>
        <v>33.398499999999999</v>
      </c>
      <c r="AD253" s="169">
        <f t="shared" si="310"/>
        <v>0</v>
      </c>
      <c r="AE253" s="169">
        <f t="shared" si="310"/>
        <v>0</v>
      </c>
      <c r="AF253" s="169">
        <f t="shared" si="310"/>
        <v>0</v>
      </c>
      <c r="AG253" s="169">
        <f t="shared" si="310"/>
        <v>0</v>
      </c>
      <c r="AH253" s="169">
        <f t="shared" si="310"/>
        <v>0</v>
      </c>
      <c r="AI253" s="169">
        <f t="shared" si="310"/>
        <v>0</v>
      </c>
      <c r="AJ253" s="169">
        <f t="shared" si="310"/>
        <v>0</v>
      </c>
      <c r="AK253" s="169">
        <f t="shared" si="310"/>
        <v>0</v>
      </c>
      <c r="AL253" s="169">
        <f t="shared" si="310"/>
        <v>0</v>
      </c>
      <c r="AM253" s="169">
        <f t="shared" si="310"/>
        <v>0</v>
      </c>
      <c r="AN253" s="169">
        <f t="shared" si="310"/>
        <v>0</v>
      </c>
      <c r="AO253" s="169">
        <f t="shared" si="310"/>
        <v>0</v>
      </c>
      <c r="AP253" s="169">
        <f t="shared" si="310"/>
        <v>0</v>
      </c>
      <c r="AQ253" s="169">
        <f t="shared" si="310"/>
        <v>0</v>
      </c>
      <c r="AR253" s="169">
        <f t="shared" si="310"/>
        <v>0</v>
      </c>
      <c r="AS253" s="169">
        <f t="shared" si="310"/>
        <v>0</v>
      </c>
    </row>
    <row r="254" spans="1:45" ht="15" customHeight="1" x14ac:dyDescent="0.3">
      <c r="I254" s="291"/>
      <c r="J254" s="42"/>
      <c r="AL254" s="290"/>
      <c r="AM254" s="290"/>
      <c r="AN254" s="290"/>
      <c r="AO254" s="290"/>
      <c r="AP254" s="290"/>
      <c r="AQ254" s="290"/>
      <c r="AR254" s="290"/>
      <c r="AS254" s="290"/>
    </row>
    <row r="255" spans="1:45" ht="15" customHeight="1" x14ac:dyDescent="0.3">
      <c r="B255" s="288" t="s">
        <v>273</v>
      </c>
      <c r="I255" s="291"/>
      <c r="J255" s="42"/>
      <c r="AL255" s="290"/>
      <c r="AM255" s="290"/>
      <c r="AN255" s="290"/>
      <c r="AO255" s="290"/>
      <c r="AP255" s="290"/>
      <c r="AQ255" s="290"/>
      <c r="AR255" s="290"/>
      <c r="AS255" s="290"/>
    </row>
    <row r="256" spans="1:45" ht="15" customHeight="1" x14ac:dyDescent="0.3">
      <c r="I256" s="291"/>
      <c r="J256" s="42"/>
      <c r="AL256" s="290"/>
      <c r="AM256" s="290"/>
      <c r="AN256" s="290"/>
      <c r="AO256" s="290"/>
      <c r="AP256" s="290"/>
      <c r="AQ256" s="290"/>
      <c r="AR256" s="290"/>
      <c r="AS256" s="290"/>
    </row>
    <row r="257" spans="3:45" ht="15" customHeight="1" x14ac:dyDescent="0.3">
      <c r="C257" s="289" t="s">
        <v>203</v>
      </c>
      <c r="I257" s="291"/>
      <c r="J257" s="42"/>
      <c r="AL257" s="290"/>
      <c r="AM257" s="290"/>
      <c r="AN257" s="290"/>
      <c r="AO257" s="290"/>
      <c r="AP257" s="290"/>
      <c r="AQ257" s="290"/>
      <c r="AR257" s="290"/>
      <c r="AS257" s="290"/>
    </row>
    <row r="258" spans="3:45" ht="15" customHeight="1" x14ac:dyDescent="0.3">
      <c r="E258" s="169" t="str">
        <f xml:space="preserve"> E$55</f>
        <v>Total copper production</v>
      </c>
      <c r="F258" s="169">
        <f t="shared" ref="F258:I258" si="311" xml:space="preserve"> F$55</f>
        <v>0</v>
      </c>
      <c r="G258" s="169" t="str">
        <f t="shared" si="311"/>
        <v>tonnes</v>
      </c>
      <c r="H258" s="169">
        <f t="shared" si="311"/>
        <v>0</v>
      </c>
      <c r="I258" s="169">
        <f t="shared" si="311"/>
        <v>1768779</v>
      </c>
      <c r="J258" s="42"/>
      <c r="K258" s="169">
        <f t="shared" ref="K258:O258" si="312" xml:space="preserve"> K$55</f>
        <v>0</v>
      </c>
      <c r="L258" s="169">
        <f t="shared" si="312"/>
        <v>0</v>
      </c>
      <c r="M258" s="169">
        <f t="shared" si="312"/>
        <v>0</v>
      </c>
      <c r="N258" s="169">
        <f t="shared" si="312"/>
        <v>0</v>
      </c>
      <c r="O258" s="169">
        <f t="shared" si="312"/>
        <v>0</v>
      </c>
      <c r="P258" s="169">
        <f t="shared" ref="P258:AS258" si="313" xml:space="preserve"> P$55</f>
        <v>0</v>
      </c>
      <c r="Q258" s="169">
        <f t="shared" si="313"/>
        <v>0</v>
      </c>
      <c r="R258" s="169">
        <f t="shared" si="313"/>
        <v>0</v>
      </c>
      <c r="S258" s="169">
        <f t="shared" si="313"/>
        <v>0</v>
      </c>
      <c r="T258" s="169">
        <f t="shared" si="313"/>
        <v>0</v>
      </c>
      <c r="U258" s="169">
        <f t="shared" si="313"/>
        <v>0</v>
      </c>
      <c r="V258" s="169">
        <f t="shared" si="313"/>
        <v>39692</v>
      </c>
      <c r="W258" s="169">
        <f t="shared" si="313"/>
        <v>111964</v>
      </c>
      <c r="X258" s="169">
        <f t="shared" si="313"/>
        <v>131252</v>
      </c>
      <c r="Y258" s="169">
        <f t="shared" si="313"/>
        <v>131248</v>
      </c>
      <c r="Z258" s="169">
        <f t="shared" si="313"/>
        <v>215795</v>
      </c>
      <c r="AA258" s="169">
        <f t="shared" si="313"/>
        <v>147094</v>
      </c>
      <c r="AB258" s="169">
        <f t="shared" si="313"/>
        <v>111453</v>
      </c>
      <c r="AC258" s="169">
        <f t="shared" si="313"/>
        <v>110250.49999999999</v>
      </c>
      <c r="AD258" s="169">
        <f t="shared" si="313"/>
        <v>110250.49999999999</v>
      </c>
      <c r="AE258" s="169">
        <f t="shared" si="313"/>
        <v>110250.49999999999</v>
      </c>
      <c r="AF258" s="169">
        <f t="shared" si="313"/>
        <v>110250.49999999999</v>
      </c>
      <c r="AG258" s="169">
        <f t="shared" si="313"/>
        <v>110250.49999999999</v>
      </c>
      <c r="AH258" s="169">
        <f t="shared" si="313"/>
        <v>110250.49999999999</v>
      </c>
      <c r="AI258" s="169">
        <f t="shared" si="313"/>
        <v>90641</v>
      </c>
      <c r="AJ258" s="169">
        <f t="shared" si="313"/>
        <v>90641</v>
      </c>
      <c r="AK258" s="169">
        <f t="shared" si="313"/>
        <v>37496</v>
      </c>
      <c r="AL258" s="169">
        <f t="shared" si="313"/>
        <v>0</v>
      </c>
      <c r="AM258" s="169">
        <f t="shared" si="313"/>
        <v>0</v>
      </c>
      <c r="AN258" s="169">
        <f t="shared" si="313"/>
        <v>0</v>
      </c>
      <c r="AO258" s="169">
        <f t="shared" si="313"/>
        <v>0</v>
      </c>
      <c r="AP258" s="169">
        <f t="shared" si="313"/>
        <v>0</v>
      </c>
      <c r="AQ258" s="169">
        <f t="shared" si="313"/>
        <v>0</v>
      </c>
      <c r="AR258" s="169">
        <f t="shared" si="313"/>
        <v>0</v>
      </c>
      <c r="AS258" s="169">
        <f t="shared" si="313"/>
        <v>0</v>
      </c>
    </row>
    <row r="259" spans="3:45" ht="15" customHeight="1" x14ac:dyDescent="0.3">
      <c r="E259" s="169" t="str">
        <f xml:space="preserve"> E$57</f>
        <v>Production year</v>
      </c>
      <c r="F259" s="169">
        <f t="shared" ref="F259:I259" si="314" xml:space="preserve"> F$57</f>
        <v>0</v>
      </c>
      <c r="G259" s="169" t="str">
        <f t="shared" si="314"/>
        <v>flag</v>
      </c>
      <c r="H259" s="169">
        <f t="shared" si="314"/>
        <v>0</v>
      </c>
      <c r="I259" s="169">
        <f t="shared" si="314"/>
        <v>0</v>
      </c>
      <c r="J259" s="42"/>
      <c r="K259" s="169">
        <f t="shared" ref="K259:O259" si="315" xml:space="preserve"> K$57</f>
        <v>0</v>
      </c>
      <c r="L259" s="169">
        <f t="shared" si="315"/>
        <v>0</v>
      </c>
      <c r="M259" s="169">
        <f t="shared" si="315"/>
        <v>0</v>
      </c>
      <c r="N259" s="169">
        <f t="shared" si="315"/>
        <v>0</v>
      </c>
      <c r="O259" s="169">
        <f t="shared" si="315"/>
        <v>0</v>
      </c>
      <c r="P259" s="169">
        <f t="shared" ref="P259:AS259" si="316" xml:space="preserve"> P$57</f>
        <v>0</v>
      </c>
      <c r="Q259" s="169">
        <f t="shared" si="316"/>
        <v>0</v>
      </c>
      <c r="R259" s="169">
        <f t="shared" si="316"/>
        <v>0</v>
      </c>
      <c r="S259" s="169">
        <f t="shared" si="316"/>
        <v>0</v>
      </c>
      <c r="T259" s="169">
        <f t="shared" si="316"/>
        <v>0</v>
      </c>
      <c r="U259" s="169">
        <f t="shared" si="316"/>
        <v>0</v>
      </c>
      <c r="V259" s="169">
        <f t="shared" si="316"/>
        <v>1</v>
      </c>
      <c r="W259" s="169">
        <f t="shared" si="316"/>
        <v>1</v>
      </c>
      <c r="X259" s="169">
        <f t="shared" si="316"/>
        <v>1</v>
      </c>
      <c r="Y259" s="169">
        <f t="shared" si="316"/>
        <v>1</v>
      </c>
      <c r="Z259" s="169">
        <f t="shared" si="316"/>
        <v>1</v>
      </c>
      <c r="AA259" s="169">
        <f t="shared" si="316"/>
        <v>1</v>
      </c>
      <c r="AB259" s="169">
        <f t="shared" si="316"/>
        <v>1</v>
      </c>
      <c r="AC259" s="169">
        <f t="shared" si="316"/>
        <v>1</v>
      </c>
      <c r="AD259" s="169">
        <f t="shared" si="316"/>
        <v>1</v>
      </c>
      <c r="AE259" s="169">
        <f t="shared" si="316"/>
        <v>1</v>
      </c>
      <c r="AF259" s="169">
        <f t="shared" si="316"/>
        <v>1</v>
      </c>
      <c r="AG259" s="169">
        <f t="shared" si="316"/>
        <v>1</v>
      </c>
      <c r="AH259" s="169">
        <f t="shared" si="316"/>
        <v>1</v>
      </c>
      <c r="AI259" s="169">
        <f t="shared" si="316"/>
        <v>1</v>
      </c>
      <c r="AJ259" s="169">
        <f t="shared" si="316"/>
        <v>1</v>
      </c>
      <c r="AK259" s="169">
        <f t="shared" si="316"/>
        <v>1</v>
      </c>
      <c r="AL259" s="169">
        <f t="shared" si="316"/>
        <v>0</v>
      </c>
      <c r="AM259" s="169">
        <f t="shared" si="316"/>
        <v>0</v>
      </c>
      <c r="AN259" s="169">
        <f t="shared" si="316"/>
        <v>0</v>
      </c>
      <c r="AO259" s="169">
        <f t="shared" si="316"/>
        <v>0</v>
      </c>
      <c r="AP259" s="169">
        <f t="shared" si="316"/>
        <v>0</v>
      </c>
      <c r="AQ259" s="169">
        <f t="shared" si="316"/>
        <v>0</v>
      </c>
      <c r="AR259" s="169">
        <f t="shared" si="316"/>
        <v>0</v>
      </c>
      <c r="AS259" s="169">
        <f t="shared" si="316"/>
        <v>0</v>
      </c>
    </row>
    <row r="260" spans="3:45" ht="15" customHeight="1" x14ac:dyDescent="0.3">
      <c r="E260" s="169" t="str">
        <f xml:space="preserve"> E$58</f>
        <v>Production year cumulative</v>
      </c>
      <c r="F260" s="169">
        <f t="shared" ref="F260:I260" si="317" xml:space="preserve"> F$58</f>
        <v>0</v>
      </c>
      <c r="G260" s="169" t="str">
        <f t="shared" si="317"/>
        <v>years</v>
      </c>
      <c r="H260" s="169">
        <f t="shared" si="317"/>
        <v>0</v>
      </c>
      <c r="I260" s="169">
        <f t="shared" si="317"/>
        <v>0</v>
      </c>
      <c r="J260" s="42"/>
      <c r="K260" s="169">
        <f t="shared" ref="K260:O260" si="318" xml:space="preserve"> K$58</f>
        <v>0</v>
      </c>
      <c r="L260" s="169">
        <f t="shared" si="318"/>
        <v>0</v>
      </c>
      <c r="M260" s="169">
        <f t="shared" si="318"/>
        <v>0</v>
      </c>
      <c r="N260" s="169">
        <f t="shared" si="318"/>
        <v>0</v>
      </c>
      <c r="O260" s="169">
        <f t="shared" si="318"/>
        <v>0</v>
      </c>
      <c r="P260" s="169">
        <f t="shared" ref="P260:AS260" si="319" xml:space="preserve"> P$58</f>
        <v>0</v>
      </c>
      <c r="Q260" s="169">
        <f t="shared" si="319"/>
        <v>0</v>
      </c>
      <c r="R260" s="169">
        <f t="shared" si="319"/>
        <v>0</v>
      </c>
      <c r="S260" s="169">
        <f t="shared" si="319"/>
        <v>0</v>
      </c>
      <c r="T260" s="169">
        <f t="shared" si="319"/>
        <v>0</v>
      </c>
      <c r="U260" s="169">
        <f t="shared" si="319"/>
        <v>0</v>
      </c>
      <c r="V260" s="169">
        <f t="shared" si="319"/>
        <v>1</v>
      </c>
      <c r="W260" s="169">
        <f t="shared" si="319"/>
        <v>2</v>
      </c>
      <c r="X260" s="169">
        <f t="shared" si="319"/>
        <v>3</v>
      </c>
      <c r="Y260" s="169">
        <f t="shared" si="319"/>
        <v>4</v>
      </c>
      <c r="Z260" s="169">
        <f t="shared" si="319"/>
        <v>5</v>
      </c>
      <c r="AA260" s="169">
        <f t="shared" si="319"/>
        <v>6</v>
      </c>
      <c r="AB260" s="169">
        <f t="shared" si="319"/>
        <v>7</v>
      </c>
      <c r="AC260" s="169">
        <f t="shared" si="319"/>
        <v>8</v>
      </c>
      <c r="AD260" s="169">
        <f t="shared" si="319"/>
        <v>9</v>
      </c>
      <c r="AE260" s="169">
        <f t="shared" si="319"/>
        <v>10</v>
      </c>
      <c r="AF260" s="169">
        <f t="shared" si="319"/>
        <v>11</v>
      </c>
      <c r="AG260" s="169">
        <f t="shared" si="319"/>
        <v>12</v>
      </c>
      <c r="AH260" s="169">
        <f t="shared" si="319"/>
        <v>13</v>
      </c>
      <c r="AI260" s="169">
        <f t="shared" si="319"/>
        <v>14</v>
      </c>
      <c r="AJ260" s="169">
        <f t="shared" si="319"/>
        <v>15</v>
      </c>
      <c r="AK260" s="169">
        <f t="shared" si="319"/>
        <v>16</v>
      </c>
      <c r="AL260" s="169">
        <f t="shared" si="319"/>
        <v>16</v>
      </c>
      <c r="AM260" s="169">
        <f t="shared" si="319"/>
        <v>16</v>
      </c>
      <c r="AN260" s="169">
        <f t="shared" si="319"/>
        <v>16</v>
      </c>
      <c r="AO260" s="169">
        <f t="shared" si="319"/>
        <v>16</v>
      </c>
      <c r="AP260" s="169">
        <f t="shared" si="319"/>
        <v>16</v>
      </c>
      <c r="AQ260" s="169">
        <f t="shared" si="319"/>
        <v>16</v>
      </c>
      <c r="AR260" s="169">
        <f t="shared" si="319"/>
        <v>16</v>
      </c>
      <c r="AS260" s="169">
        <f t="shared" si="319"/>
        <v>16</v>
      </c>
    </row>
    <row r="261" spans="3:45" ht="15" customHeight="1" x14ac:dyDescent="0.3">
      <c r="I261" s="291"/>
      <c r="J261" s="42"/>
      <c r="AL261" s="290"/>
      <c r="AM261" s="290"/>
      <c r="AN261" s="290"/>
      <c r="AO261" s="290"/>
      <c r="AP261" s="290"/>
      <c r="AQ261" s="290"/>
      <c r="AR261" s="290"/>
      <c r="AS261" s="290"/>
    </row>
    <row r="262" spans="3:45" ht="15" customHeight="1" x14ac:dyDescent="0.3">
      <c r="C262" s="289" t="s">
        <v>450</v>
      </c>
      <c r="I262" s="291"/>
      <c r="J262" s="42"/>
      <c r="AL262" s="290"/>
      <c r="AM262" s="290"/>
      <c r="AN262" s="290"/>
      <c r="AO262" s="290"/>
      <c r="AP262" s="290"/>
      <c r="AQ262" s="290"/>
      <c r="AR262" s="290"/>
      <c r="AS262" s="290"/>
    </row>
    <row r="263" spans="3:45" ht="15" customHeight="1" x14ac:dyDescent="0.3">
      <c r="E263" s="290" t="s">
        <v>186</v>
      </c>
      <c r="G263" s="290" t="s">
        <v>160</v>
      </c>
      <c r="I263" s="291"/>
      <c r="J263" s="42"/>
      <c r="K263" s="290">
        <f t="shared" ref="K263:AS263" si="320">(K2 &lt; 2018) * 1</f>
        <v>1</v>
      </c>
      <c r="L263" s="290">
        <f t="shared" si="320"/>
        <v>1</v>
      </c>
      <c r="M263" s="290">
        <f t="shared" si="320"/>
        <v>1</v>
      </c>
      <c r="N263" s="290">
        <f t="shared" si="320"/>
        <v>1</v>
      </c>
      <c r="O263" s="290">
        <f t="shared" si="320"/>
        <v>1</v>
      </c>
      <c r="P263" s="290">
        <f t="shared" si="320"/>
        <v>1</v>
      </c>
      <c r="Q263" s="290">
        <f t="shared" si="320"/>
        <v>1</v>
      </c>
      <c r="R263" s="290">
        <f t="shared" si="320"/>
        <v>1</v>
      </c>
      <c r="S263" s="290">
        <f t="shared" si="320"/>
        <v>1</v>
      </c>
      <c r="T263" s="290">
        <f t="shared" si="320"/>
        <v>1</v>
      </c>
      <c r="U263" s="290">
        <f t="shared" si="320"/>
        <v>1</v>
      </c>
      <c r="V263" s="290">
        <f t="shared" si="320"/>
        <v>1</v>
      </c>
      <c r="W263" s="290">
        <f t="shared" si="320"/>
        <v>0</v>
      </c>
      <c r="X263" s="290">
        <f t="shared" si="320"/>
        <v>0</v>
      </c>
      <c r="Y263" s="290">
        <f t="shared" si="320"/>
        <v>0</v>
      </c>
      <c r="Z263" s="290">
        <f t="shared" si="320"/>
        <v>0</v>
      </c>
      <c r="AA263" s="290">
        <f t="shared" si="320"/>
        <v>0</v>
      </c>
      <c r="AB263" s="290">
        <f t="shared" si="320"/>
        <v>0</v>
      </c>
      <c r="AC263" s="290">
        <f t="shared" si="320"/>
        <v>0</v>
      </c>
      <c r="AD263" s="290">
        <f t="shared" si="320"/>
        <v>0</v>
      </c>
      <c r="AE263" s="290">
        <f t="shared" si="320"/>
        <v>0</v>
      </c>
      <c r="AF263" s="290">
        <f t="shared" si="320"/>
        <v>0</v>
      </c>
      <c r="AG263" s="290">
        <f t="shared" si="320"/>
        <v>0</v>
      </c>
      <c r="AH263" s="290">
        <f t="shared" si="320"/>
        <v>0</v>
      </c>
      <c r="AI263" s="290">
        <f t="shared" si="320"/>
        <v>0</v>
      </c>
      <c r="AJ263" s="290">
        <f t="shared" si="320"/>
        <v>0</v>
      </c>
      <c r="AK263" s="290">
        <f t="shared" si="320"/>
        <v>0</v>
      </c>
      <c r="AL263" s="290">
        <f t="shared" si="320"/>
        <v>0</v>
      </c>
      <c r="AM263" s="290">
        <f t="shared" si="320"/>
        <v>0</v>
      </c>
      <c r="AN263" s="290">
        <f t="shared" si="320"/>
        <v>0</v>
      </c>
      <c r="AO263" s="290">
        <f t="shared" si="320"/>
        <v>0</v>
      </c>
      <c r="AP263" s="290">
        <f t="shared" si="320"/>
        <v>0</v>
      </c>
      <c r="AQ263" s="290">
        <f t="shared" si="320"/>
        <v>0</v>
      </c>
      <c r="AR263" s="290">
        <f t="shared" si="320"/>
        <v>0</v>
      </c>
      <c r="AS263" s="290">
        <f t="shared" si="320"/>
        <v>0</v>
      </c>
    </row>
    <row r="264" spans="3:45" ht="15" customHeight="1" x14ac:dyDescent="0.3">
      <c r="E264" s="169" t="str">
        <f xml:space="preserve"> E$160</f>
        <v>Capital costs: FS</v>
      </c>
      <c r="F264" s="169" t="str">
        <f t="shared" ref="F264:I264" si="321" xml:space="preserve"> F$160</f>
        <v>FS</v>
      </c>
      <c r="G264" s="169" t="str">
        <f t="shared" si="321"/>
        <v>$ mn</v>
      </c>
      <c r="H264" s="169">
        <f t="shared" si="321"/>
        <v>0</v>
      </c>
      <c r="I264" s="169">
        <f t="shared" si="321"/>
        <v>824.72191894000002</v>
      </c>
      <c r="J264" s="42"/>
      <c r="K264" s="169">
        <f t="shared" ref="K264:O264" si="322" xml:space="preserve"> K$160</f>
        <v>0</v>
      </c>
      <c r="L264" s="169">
        <f t="shared" si="322"/>
        <v>0</v>
      </c>
      <c r="M264" s="169">
        <f t="shared" si="322"/>
        <v>0</v>
      </c>
      <c r="N264" s="169">
        <f t="shared" si="322"/>
        <v>0</v>
      </c>
      <c r="O264" s="169">
        <f t="shared" si="322"/>
        <v>0</v>
      </c>
      <c r="P264" s="169">
        <f t="shared" ref="P264:AS264" si="323" xml:space="preserve"> P$160</f>
        <v>0</v>
      </c>
      <c r="Q264" s="169">
        <f t="shared" si="323"/>
        <v>0</v>
      </c>
      <c r="R264" s="169">
        <f t="shared" si="323"/>
        <v>0</v>
      </c>
      <c r="S264" s="169">
        <f t="shared" si="323"/>
        <v>0</v>
      </c>
      <c r="T264" s="169">
        <f t="shared" si="323"/>
        <v>0</v>
      </c>
      <c r="U264" s="169">
        <f t="shared" si="323"/>
        <v>0</v>
      </c>
      <c r="V264" s="169">
        <f t="shared" si="323"/>
        <v>245.02819335000001</v>
      </c>
      <c r="W264" s="169">
        <f t="shared" si="323"/>
        <v>111.33372773000001</v>
      </c>
      <c r="X264" s="169">
        <f t="shared" si="323"/>
        <v>148.28970892000001</v>
      </c>
      <c r="Y264" s="169">
        <f t="shared" si="323"/>
        <v>4.7877627</v>
      </c>
      <c r="Z264" s="169">
        <f t="shared" si="323"/>
        <v>81.812290399999995</v>
      </c>
      <c r="AA264" s="169">
        <f t="shared" si="323"/>
        <v>100.30613584</v>
      </c>
      <c r="AB264" s="169">
        <f t="shared" si="323"/>
        <v>99.765600000000006</v>
      </c>
      <c r="AC264" s="169">
        <f t="shared" si="323"/>
        <v>33.398499999999999</v>
      </c>
      <c r="AD264" s="169">
        <f t="shared" si="323"/>
        <v>0</v>
      </c>
      <c r="AE264" s="169">
        <f t="shared" si="323"/>
        <v>0</v>
      </c>
      <c r="AF264" s="169">
        <f t="shared" si="323"/>
        <v>0</v>
      </c>
      <c r="AG264" s="169">
        <f t="shared" si="323"/>
        <v>0</v>
      </c>
      <c r="AH264" s="169">
        <f t="shared" si="323"/>
        <v>0</v>
      </c>
      <c r="AI264" s="169">
        <f t="shared" si="323"/>
        <v>0</v>
      </c>
      <c r="AJ264" s="169">
        <f t="shared" si="323"/>
        <v>0</v>
      </c>
      <c r="AK264" s="169">
        <f t="shared" si="323"/>
        <v>0</v>
      </c>
      <c r="AL264" s="169">
        <f t="shared" si="323"/>
        <v>0</v>
      </c>
      <c r="AM264" s="169">
        <f t="shared" si="323"/>
        <v>0</v>
      </c>
      <c r="AN264" s="169">
        <f t="shared" si="323"/>
        <v>0</v>
      </c>
      <c r="AO264" s="169">
        <f t="shared" si="323"/>
        <v>0</v>
      </c>
      <c r="AP264" s="169">
        <f t="shared" si="323"/>
        <v>0</v>
      </c>
      <c r="AQ264" s="169">
        <f t="shared" si="323"/>
        <v>0</v>
      </c>
      <c r="AR264" s="169">
        <f t="shared" si="323"/>
        <v>0</v>
      </c>
      <c r="AS264" s="169">
        <f t="shared" si="323"/>
        <v>0</v>
      </c>
    </row>
    <row r="265" spans="3:45" ht="15" customHeight="1" x14ac:dyDescent="0.3">
      <c r="E265" s="290" t="s">
        <v>451</v>
      </c>
      <c r="G265" s="293" t="s">
        <v>346</v>
      </c>
      <c r="I265" s="291"/>
      <c r="J265" s="42"/>
      <c r="K265" s="290">
        <f t="shared" ref="K265:O265" si="324">K263 * K264</f>
        <v>0</v>
      </c>
      <c r="L265" s="290">
        <f t="shared" si="324"/>
        <v>0</v>
      </c>
      <c r="M265" s="290">
        <f t="shared" si="324"/>
        <v>0</v>
      </c>
      <c r="N265" s="290">
        <f t="shared" si="324"/>
        <v>0</v>
      </c>
      <c r="O265" s="290">
        <f t="shared" si="324"/>
        <v>0</v>
      </c>
      <c r="P265" s="290">
        <f t="shared" ref="P265:R265" si="325">P263 * P264</f>
        <v>0</v>
      </c>
      <c r="Q265" s="290">
        <f t="shared" si="325"/>
        <v>0</v>
      </c>
      <c r="R265" s="290">
        <f t="shared" si="325"/>
        <v>0</v>
      </c>
      <c r="S265" s="290">
        <f>S263 * S264</f>
        <v>0</v>
      </c>
      <c r="T265" s="290">
        <f t="shared" ref="T265:AP265" si="326">T263 * T264</f>
        <v>0</v>
      </c>
      <c r="U265" s="290">
        <f t="shared" si="326"/>
        <v>0</v>
      </c>
      <c r="V265" s="290">
        <f t="shared" si="326"/>
        <v>245.02819335000001</v>
      </c>
      <c r="W265" s="290">
        <f t="shared" si="326"/>
        <v>0</v>
      </c>
      <c r="X265" s="290">
        <f t="shared" si="326"/>
        <v>0</v>
      </c>
      <c r="Y265" s="290">
        <f t="shared" si="326"/>
        <v>0</v>
      </c>
      <c r="Z265" s="290">
        <f t="shared" si="326"/>
        <v>0</v>
      </c>
      <c r="AA265" s="290">
        <f t="shared" si="326"/>
        <v>0</v>
      </c>
      <c r="AB265" s="290">
        <f t="shared" si="326"/>
        <v>0</v>
      </c>
      <c r="AC265" s="290">
        <f t="shared" si="326"/>
        <v>0</v>
      </c>
      <c r="AD265" s="290">
        <f t="shared" si="326"/>
        <v>0</v>
      </c>
      <c r="AE265" s="290">
        <f t="shared" si="326"/>
        <v>0</v>
      </c>
      <c r="AF265" s="290">
        <f t="shared" si="326"/>
        <v>0</v>
      </c>
      <c r="AG265" s="290">
        <f t="shared" si="326"/>
        <v>0</v>
      </c>
      <c r="AH265" s="290">
        <f t="shared" si="326"/>
        <v>0</v>
      </c>
      <c r="AI265" s="290">
        <f t="shared" si="326"/>
        <v>0</v>
      </c>
      <c r="AJ265" s="290">
        <f t="shared" si="326"/>
        <v>0</v>
      </c>
      <c r="AK265" s="290">
        <f t="shared" si="326"/>
        <v>0</v>
      </c>
      <c r="AL265" s="290">
        <f t="shared" si="326"/>
        <v>0</v>
      </c>
      <c r="AM265" s="290">
        <f t="shared" si="326"/>
        <v>0</v>
      </c>
      <c r="AN265" s="290">
        <f t="shared" si="326"/>
        <v>0</v>
      </c>
      <c r="AO265" s="290">
        <f t="shared" si="326"/>
        <v>0</v>
      </c>
      <c r="AP265" s="290">
        <f t="shared" si="326"/>
        <v>0</v>
      </c>
      <c r="AQ265" s="290">
        <f t="shared" ref="AQ265:AS265" si="327">AQ263 * AQ264</f>
        <v>0</v>
      </c>
      <c r="AR265" s="290">
        <f t="shared" si="327"/>
        <v>0</v>
      </c>
      <c r="AS265" s="290">
        <f t="shared" si="327"/>
        <v>0</v>
      </c>
    </row>
    <row r="266" spans="3:45" ht="15" customHeight="1" x14ac:dyDescent="0.3">
      <c r="E266" s="290" t="s">
        <v>452</v>
      </c>
      <c r="G266" s="293" t="s">
        <v>346</v>
      </c>
      <c r="I266" s="291"/>
      <c r="J266" s="877"/>
      <c r="K266" s="290">
        <f>IF(K263 = 1, J266 + K265, 0)</f>
        <v>0</v>
      </c>
      <c r="L266" s="290">
        <f t="shared" ref="L266:AS266" si="328">IF(L263 = 1, K266 + L265, 0)</f>
        <v>0</v>
      </c>
      <c r="M266" s="290">
        <f t="shared" si="328"/>
        <v>0</v>
      </c>
      <c r="N266" s="290">
        <f t="shared" si="328"/>
        <v>0</v>
      </c>
      <c r="O266" s="290">
        <f t="shared" si="328"/>
        <v>0</v>
      </c>
      <c r="P266" s="290">
        <f t="shared" si="328"/>
        <v>0</v>
      </c>
      <c r="Q266" s="290">
        <f t="shared" si="328"/>
        <v>0</v>
      </c>
      <c r="R266" s="290">
        <f t="shared" si="328"/>
        <v>0</v>
      </c>
      <c r="S266" s="290">
        <f t="shared" si="328"/>
        <v>0</v>
      </c>
      <c r="T266" s="290">
        <f t="shared" si="328"/>
        <v>0</v>
      </c>
      <c r="U266" s="290">
        <f t="shared" si="328"/>
        <v>0</v>
      </c>
      <c r="V266" s="290">
        <f t="shared" si="328"/>
        <v>245.02819335000001</v>
      </c>
      <c r="W266" s="290">
        <f t="shared" si="328"/>
        <v>0</v>
      </c>
      <c r="X266" s="290">
        <f t="shared" si="328"/>
        <v>0</v>
      </c>
      <c r="Y266" s="290">
        <f t="shared" si="328"/>
        <v>0</v>
      </c>
      <c r="Z266" s="290">
        <f t="shared" si="328"/>
        <v>0</v>
      </c>
      <c r="AA266" s="290">
        <f t="shared" si="328"/>
        <v>0</v>
      </c>
      <c r="AB266" s="290">
        <f t="shared" si="328"/>
        <v>0</v>
      </c>
      <c r="AC266" s="290">
        <f t="shared" si="328"/>
        <v>0</v>
      </c>
      <c r="AD266" s="290">
        <f t="shared" si="328"/>
        <v>0</v>
      </c>
      <c r="AE266" s="290">
        <f t="shared" si="328"/>
        <v>0</v>
      </c>
      <c r="AF266" s="290">
        <f t="shared" si="328"/>
        <v>0</v>
      </c>
      <c r="AG266" s="290">
        <f t="shared" si="328"/>
        <v>0</v>
      </c>
      <c r="AH266" s="290">
        <f t="shared" si="328"/>
        <v>0</v>
      </c>
      <c r="AI266" s="290">
        <f t="shared" si="328"/>
        <v>0</v>
      </c>
      <c r="AJ266" s="290">
        <f t="shared" si="328"/>
        <v>0</v>
      </c>
      <c r="AK266" s="290">
        <f t="shared" si="328"/>
        <v>0</v>
      </c>
      <c r="AL266" s="290">
        <f t="shared" si="328"/>
        <v>0</v>
      </c>
      <c r="AM266" s="290">
        <f t="shared" si="328"/>
        <v>0</v>
      </c>
      <c r="AN266" s="290">
        <f t="shared" si="328"/>
        <v>0</v>
      </c>
      <c r="AO266" s="290">
        <f t="shared" si="328"/>
        <v>0</v>
      </c>
      <c r="AP266" s="290">
        <f t="shared" si="328"/>
        <v>0</v>
      </c>
      <c r="AQ266" s="290">
        <f t="shared" si="328"/>
        <v>0</v>
      </c>
      <c r="AR266" s="290">
        <f t="shared" si="328"/>
        <v>0</v>
      </c>
      <c r="AS266" s="290">
        <f t="shared" si="328"/>
        <v>0</v>
      </c>
    </row>
    <row r="267" spans="3:45" ht="15" customHeight="1" x14ac:dyDescent="0.3">
      <c r="I267" s="291"/>
      <c r="J267" s="42"/>
      <c r="AL267" s="290"/>
      <c r="AM267" s="290"/>
      <c r="AN267" s="290"/>
      <c r="AO267" s="290"/>
      <c r="AP267" s="290"/>
      <c r="AQ267" s="290"/>
      <c r="AR267" s="290"/>
      <c r="AS267" s="290"/>
    </row>
    <row r="268" spans="3:45" ht="15" customHeight="1" x14ac:dyDescent="0.3">
      <c r="E268" s="169" t="str">
        <f xml:space="preserve"> E$260</f>
        <v>Production year cumulative</v>
      </c>
      <c r="F268" s="169">
        <f t="shared" ref="F268:I268" si="329" xml:space="preserve"> F$260</f>
        <v>0</v>
      </c>
      <c r="G268" s="169" t="str">
        <f t="shared" si="329"/>
        <v>years</v>
      </c>
      <c r="H268" s="169">
        <f t="shared" si="329"/>
        <v>0</v>
      </c>
      <c r="I268" s="169">
        <f t="shared" si="329"/>
        <v>0</v>
      </c>
      <c r="J268" s="42"/>
      <c r="K268" s="169">
        <f t="shared" ref="K268:O268" si="330" xml:space="preserve"> K$260</f>
        <v>0</v>
      </c>
      <c r="L268" s="169">
        <f t="shared" si="330"/>
        <v>0</v>
      </c>
      <c r="M268" s="169">
        <f t="shared" si="330"/>
        <v>0</v>
      </c>
      <c r="N268" s="169">
        <f t="shared" si="330"/>
        <v>0</v>
      </c>
      <c r="O268" s="169">
        <f t="shared" si="330"/>
        <v>0</v>
      </c>
      <c r="P268" s="169">
        <f t="shared" ref="P268:AS268" si="331" xml:space="preserve"> P$260</f>
        <v>0</v>
      </c>
      <c r="Q268" s="169">
        <f t="shared" si="331"/>
        <v>0</v>
      </c>
      <c r="R268" s="169">
        <f t="shared" si="331"/>
        <v>0</v>
      </c>
      <c r="S268" s="169">
        <f t="shared" si="331"/>
        <v>0</v>
      </c>
      <c r="T268" s="169">
        <f t="shared" si="331"/>
        <v>0</v>
      </c>
      <c r="U268" s="169">
        <f t="shared" si="331"/>
        <v>0</v>
      </c>
      <c r="V268" s="169">
        <f t="shared" si="331"/>
        <v>1</v>
      </c>
      <c r="W268" s="169">
        <f t="shared" si="331"/>
        <v>2</v>
      </c>
      <c r="X268" s="169">
        <f t="shared" si="331"/>
        <v>3</v>
      </c>
      <c r="Y268" s="169">
        <f t="shared" si="331"/>
        <v>4</v>
      </c>
      <c r="Z268" s="169">
        <f t="shared" si="331"/>
        <v>5</v>
      </c>
      <c r="AA268" s="169">
        <f t="shared" si="331"/>
        <v>6</v>
      </c>
      <c r="AB268" s="169">
        <f t="shared" si="331"/>
        <v>7</v>
      </c>
      <c r="AC268" s="169">
        <f t="shared" si="331"/>
        <v>8</v>
      </c>
      <c r="AD268" s="169">
        <f t="shared" si="331"/>
        <v>9</v>
      </c>
      <c r="AE268" s="169">
        <f t="shared" si="331"/>
        <v>10</v>
      </c>
      <c r="AF268" s="169">
        <f t="shared" si="331"/>
        <v>11</v>
      </c>
      <c r="AG268" s="169">
        <f t="shared" si="331"/>
        <v>12</v>
      </c>
      <c r="AH268" s="169">
        <f t="shared" si="331"/>
        <v>13</v>
      </c>
      <c r="AI268" s="169">
        <f t="shared" si="331"/>
        <v>14</v>
      </c>
      <c r="AJ268" s="169">
        <f t="shared" si="331"/>
        <v>15</v>
      </c>
      <c r="AK268" s="169">
        <f t="shared" si="331"/>
        <v>16</v>
      </c>
      <c r="AL268" s="169">
        <f t="shared" si="331"/>
        <v>16</v>
      </c>
      <c r="AM268" s="169">
        <f t="shared" si="331"/>
        <v>16</v>
      </c>
      <c r="AN268" s="169">
        <f t="shared" si="331"/>
        <v>16</v>
      </c>
      <c r="AO268" s="169">
        <f t="shared" si="331"/>
        <v>16</v>
      </c>
      <c r="AP268" s="169">
        <f t="shared" si="331"/>
        <v>16</v>
      </c>
      <c r="AQ268" s="169">
        <f t="shared" si="331"/>
        <v>16</v>
      </c>
      <c r="AR268" s="169">
        <f t="shared" si="331"/>
        <v>16</v>
      </c>
      <c r="AS268" s="169">
        <f t="shared" si="331"/>
        <v>16</v>
      </c>
    </row>
    <row r="269" spans="3:45" ht="15" customHeight="1" x14ac:dyDescent="0.3">
      <c r="E269" s="290" t="s">
        <v>453</v>
      </c>
      <c r="G269" s="293" t="s">
        <v>346</v>
      </c>
      <c r="I269" s="291"/>
      <c r="J269" s="42"/>
      <c r="K269" s="290">
        <f t="shared" ref="K269:O269" si="332">IF(K268 = 1, K266, 0)</f>
        <v>0</v>
      </c>
      <c r="L269" s="290">
        <f t="shared" si="332"/>
        <v>0</v>
      </c>
      <c r="M269" s="290">
        <f t="shared" si="332"/>
        <v>0</v>
      </c>
      <c r="N269" s="290">
        <f t="shared" si="332"/>
        <v>0</v>
      </c>
      <c r="O269" s="290">
        <f t="shared" si="332"/>
        <v>0</v>
      </c>
      <c r="P269" s="290">
        <f t="shared" ref="P269:R269" si="333">IF(P268 = 1, P266, 0)</f>
        <v>0</v>
      </c>
      <c r="Q269" s="290">
        <f t="shared" si="333"/>
        <v>0</v>
      </c>
      <c r="R269" s="290">
        <f t="shared" si="333"/>
        <v>0</v>
      </c>
      <c r="S269" s="290">
        <f>IF(S268 = 1, S266, 0)</f>
        <v>0</v>
      </c>
      <c r="T269" s="290">
        <f t="shared" ref="T269:AP269" si="334">IF(T268 = 1, T266, 0)</f>
        <v>0</v>
      </c>
      <c r="U269" s="290">
        <f t="shared" si="334"/>
        <v>0</v>
      </c>
      <c r="V269" s="290">
        <f t="shared" si="334"/>
        <v>245.02819335000001</v>
      </c>
      <c r="W269" s="290">
        <f t="shared" si="334"/>
        <v>0</v>
      </c>
      <c r="X269" s="290">
        <f t="shared" si="334"/>
        <v>0</v>
      </c>
      <c r="Y269" s="290">
        <f t="shared" si="334"/>
        <v>0</v>
      </c>
      <c r="Z269" s="290">
        <f t="shared" si="334"/>
        <v>0</v>
      </c>
      <c r="AA269" s="290">
        <f t="shared" si="334"/>
        <v>0</v>
      </c>
      <c r="AB269" s="290">
        <f t="shared" si="334"/>
        <v>0</v>
      </c>
      <c r="AC269" s="290">
        <f t="shared" si="334"/>
        <v>0</v>
      </c>
      <c r="AD269" s="290">
        <f t="shared" si="334"/>
        <v>0</v>
      </c>
      <c r="AE269" s="290">
        <f t="shared" si="334"/>
        <v>0</v>
      </c>
      <c r="AF269" s="290">
        <f t="shared" si="334"/>
        <v>0</v>
      </c>
      <c r="AG269" s="290">
        <f t="shared" si="334"/>
        <v>0</v>
      </c>
      <c r="AH269" s="290">
        <f t="shared" si="334"/>
        <v>0</v>
      </c>
      <c r="AI269" s="290">
        <f t="shared" si="334"/>
        <v>0</v>
      </c>
      <c r="AJ269" s="290">
        <f t="shared" si="334"/>
        <v>0</v>
      </c>
      <c r="AK269" s="290">
        <f t="shared" si="334"/>
        <v>0</v>
      </c>
      <c r="AL269" s="290">
        <f t="shared" si="334"/>
        <v>0</v>
      </c>
      <c r="AM269" s="290">
        <f t="shared" si="334"/>
        <v>0</v>
      </c>
      <c r="AN269" s="290">
        <f t="shared" si="334"/>
        <v>0</v>
      </c>
      <c r="AO269" s="290">
        <f t="shared" si="334"/>
        <v>0</v>
      </c>
      <c r="AP269" s="290">
        <f t="shared" si="334"/>
        <v>0</v>
      </c>
      <c r="AQ269" s="290">
        <f t="shared" ref="AQ269:AS269" si="335">IF(AQ268 = 1, AQ266, 0)</f>
        <v>0</v>
      </c>
      <c r="AR269" s="290">
        <f t="shared" si="335"/>
        <v>0</v>
      </c>
      <c r="AS269" s="290">
        <f t="shared" si="335"/>
        <v>0</v>
      </c>
    </row>
    <row r="270" spans="3:45" ht="15" customHeight="1" x14ac:dyDescent="0.3">
      <c r="E270" s="290" t="s">
        <v>454</v>
      </c>
      <c r="G270" s="293" t="s">
        <v>346</v>
      </c>
      <c r="I270" s="291"/>
      <c r="J270" s="42"/>
      <c r="K270" s="290">
        <f t="shared" ref="K270:O270" si="336">IF( K268 &gt; 1, K265, 0)</f>
        <v>0</v>
      </c>
      <c r="L270" s="290">
        <f t="shared" si="336"/>
        <v>0</v>
      </c>
      <c r="M270" s="290">
        <f t="shared" si="336"/>
        <v>0</v>
      </c>
      <c r="N270" s="290">
        <f t="shared" si="336"/>
        <v>0</v>
      </c>
      <c r="O270" s="290">
        <f t="shared" si="336"/>
        <v>0</v>
      </c>
      <c r="P270" s="290">
        <f t="shared" ref="P270:R270" si="337">IF( P268 &gt; 1, P265, 0)</f>
        <v>0</v>
      </c>
      <c r="Q270" s="290">
        <f t="shared" si="337"/>
        <v>0</v>
      </c>
      <c r="R270" s="290">
        <f t="shared" si="337"/>
        <v>0</v>
      </c>
      <c r="S270" s="290">
        <f>IF( S268 &gt; 1, S265, 0)</f>
        <v>0</v>
      </c>
      <c r="T270" s="290">
        <f t="shared" ref="T270:AP270" si="338">IF( T268 &gt; 1, T265, 0)</f>
        <v>0</v>
      </c>
      <c r="U270" s="290">
        <f t="shared" si="338"/>
        <v>0</v>
      </c>
      <c r="V270" s="290">
        <f t="shared" si="338"/>
        <v>0</v>
      </c>
      <c r="W270" s="290">
        <f t="shared" si="338"/>
        <v>0</v>
      </c>
      <c r="X270" s="290">
        <f t="shared" si="338"/>
        <v>0</v>
      </c>
      <c r="Y270" s="290">
        <f t="shared" si="338"/>
        <v>0</v>
      </c>
      <c r="Z270" s="290">
        <f t="shared" si="338"/>
        <v>0</v>
      </c>
      <c r="AA270" s="290">
        <f t="shared" si="338"/>
        <v>0</v>
      </c>
      <c r="AB270" s="290">
        <f t="shared" si="338"/>
        <v>0</v>
      </c>
      <c r="AC270" s="290">
        <f t="shared" si="338"/>
        <v>0</v>
      </c>
      <c r="AD270" s="290">
        <f t="shared" si="338"/>
        <v>0</v>
      </c>
      <c r="AE270" s="290">
        <f t="shared" si="338"/>
        <v>0</v>
      </c>
      <c r="AF270" s="290">
        <f t="shared" si="338"/>
        <v>0</v>
      </c>
      <c r="AG270" s="290">
        <f t="shared" si="338"/>
        <v>0</v>
      </c>
      <c r="AH270" s="290">
        <f t="shared" si="338"/>
        <v>0</v>
      </c>
      <c r="AI270" s="290">
        <f t="shared" si="338"/>
        <v>0</v>
      </c>
      <c r="AJ270" s="290">
        <f t="shared" si="338"/>
        <v>0</v>
      </c>
      <c r="AK270" s="290">
        <f t="shared" si="338"/>
        <v>0</v>
      </c>
      <c r="AL270" s="290">
        <f t="shared" si="338"/>
        <v>0</v>
      </c>
      <c r="AM270" s="290">
        <f t="shared" si="338"/>
        <v>0</v>
      </c>
      <c r="AN270" s="290">
        <f t="shared" si="338"/>
        <v>0</v>
      </c>
      <c r="AO270" s="290">
        <f t="shared" si="338"/>
        <v>0</v>
      </c>
      <c r="AP270" s="290">
        <f t="shared" si="338"/>
        <v>0</v>
      </c>
      <c r="AQ270" s="290">
        <f t="shared" ref="AQ270:AS270" si="339">IF( AQ268 &gt; 1, AQ265, 0)</f>
        <v>0</v>
      </c>
      <c r="AR270" s="290">
        <f t="shared" si="339"/>
        <v>0</v>
      </c>
      <c r="AS270" s="290">
        <f t="shared" si="339"/>
        <v>0</v>
      </c>
    </row>
    <row r="271" spans="3:45" ht="15" customHeight="1" x14ac:dyDescent="0.3">
      <c r="E271" s="290" t="s">
        <v>455</v>
      </c>
      <c r="G271" s="293" t="s">
        <v>346</v>
      </c>
      <c r="I271" s="291"/>
      <c r="J271" s="42"/>
      <c r="K271" s="290">
        <f t="shared" ref="K271:O271" si="340">K269 + K270</f>
        <v>0</v>
      </c>
      <c r="L271" s="290">
        <f t="shared" si="340"/>
        <v>0</v>
      </c>
      <c r="M271" s="290">
        <f t="shared" si="340"/>
        <v>0</v>
      </c>
      <c r="N271" s="290">
        <f t="shared" si="340"/>
        <v>0</v>
      </c>
      <c r="O271" s="290">
        <f t="shared" si="340"/>
        <v>0</v>
      </c>
      <c r="P271" s="290">
        <f t="shared" ref="P271:R271" si="341">P269 + P270</f>
        <v>0</v>
      </c>
      <c r="Q271" s="290">
        <f t="shared" si="341"/>
        <v>0</v>
      </c>
      <c r="R271" s="290">
        <f t="shared" si="341"/>
        <v>0</v>
      </c>
      <c r="S271" s="290">
        <f>S269 + S270</f>
        <v>0</v>
      </c>
      <c r="T271" s="290">
        <f t="shared" ref="T271:AP271" si="342">T269 + T270</f>
        <v>0</v>
      </c>
      <c r="U271" s="290">
        <f t="shared" si="342"/>
        <v>0</v>
      </c>
      <c r="V271" s="290">
        <f t="shared" si="342"/>
        <v>245.02819335000001</v>
      </c>
      <c r="W271" s="290">
        <f t="shared" si="342"/>
        <v>0</v>
      </c>
      <c r="X271" s="290">
        <f t="shared" si="342"/>
        <v>0</v>
      </c>
      <c r="Y271" s="290">
        <f t="shared" si="342"/>
        <v>0</v>
      </c>
      <c r="Z271" s="290">
        <f t="shared" si="342"/>
        <v>0</v>
      </c>
      <c r="AA271" s="290">
        <f t="shared" si="342"/>
        <v>0</v>
      </c>
      <c r="AB271" s="290">
        <f t="shared" si="342"/>
        <v>0</v>
      </c>
      <c r="AC271" s="290">
        <f t="shared" si="342"/>
        <v>0</v>
      </c>
      <c r="AD271" s="290">
        <f t="shared" si="342"/>
        <v>0</v>
      </c>
      <c r="AE271" s="290">
        <f t="shared" si="342"/>
        <v>0</v>
      </c>
      <c r="AF271" s="290">
        <f t="shared" si="342"/>
        <v>0</v>
      </c>
      <c r="AG271" s="290">
        <f t="shared" si="342"/>
        <v>0</v>
      </c>
      <c r="AH271" s="290">
        <f t="shared" si="342"/>
        <v>0</v>
      </c>
      <c r="AI271" s="290">
        <f t="shared" si="342"/>
        <v>0</v>
      </c>
      <c r="AJ271" s="290">
        <f t="shared" si="342"/>
        <v>0</v>
      </c>
      <c r="AK271" s="290">
        <f t="shared" si="342"/>
        <v>0</v>
      </c>
      <c r="AL271" s="290">
        <f t="shared" si="342"/>
        <v>0</v>
      </c>
      <c r="AM271" s="290">
        <f t="shared" si="342"/>
        <v>0</v>
      </c>
      <c r="AN271" s="290">
        <f t="shared" si="342"/>
        <v>0</v>
      </c>
      <c r="AO271" s="290">
        <f t="shared" si="342"/>
        <v>0</v>
      </c>
      <c r="AP271" s="290">
        <f t="shared" si="342"/>
        <v>0</v>
      </c>
      <c r="AQ271" s="290">
        <f t="shared" ref="AQ271:AS271" si="343">AQ269 + AQ270</f>
        <v>0</v>
      </c>
      <c r="AR271" s="290">
        <f t="shared" si="343"/>
        <v>0</v>
      </c>
      <c r="AS271" s="290">
        <f t="shared" si="343"/>
        <v>0</v>
      </c>
    </row>
    <row r="272" spans="3:45" ht="15" customHeight="1" x14ac:dyDescent="0.3">
      <c r="I272" s="291"/>
      <c r="J272" s="42"/>
      <c r="AL272" s="290"/>
      <c r="AM272" s="290"/>
      <c r="AN272" s="290"/>
      <c r="AO272" s="290"/>
      <c r="AP272" s="290"/>
      <c r="AQ272" s="290"/>
      <c r="AR272" s="290"/>
      <c r="AS272" s="290"/>
    </row>
    <row r="273" spans="1:45" ht="15" customHeight="1" x14ac:dyDescent="0.3">
      <c r="E273" s="104" t="str">
        <f xml:space="preserve"> Inputs_TS!E$267</f>
        <v>First year allowance</v>
      </c>
      <c r="F273" s="96">
        <f xml:space="preserve"> Inputs_TS!F$267</f>
        <v>0.6</v>
      </c>
      <c r="G273" s="104" t="str">
        <f xml:space="preserve"> Inputs_TS!G$267</f>
        <v>%</v>
      </c>
      <c r="H273" s="57" t="str">
        <f xml:space="preserve"> Sources!I$23</f>
        <v>XVIII</v>
      </c>
      <c r="I273" s="57"/>
      <c r="J273" s="42"/>
      <c r="AL273" s="290"/>
      <c r="AM273" s="290"/>
      <c r="AN273" s="290"/>
      <c r="AO273" s="290"/>
      <c r="AP273" s="290"/>
      <c r="AQ273" s="290"/>
      <c r="AR273" s="290"/>
      <c r="AS273" s="290"/>
    </row>
    <row r="274" spans="1:45" ht="15" customHeight="1" x14ac:dyDescent="0.3">
      <c r="E274" s="104" t="str">
        <f xml:space="preserve"> Inputs_TS!E$268</f>
        <v>Declining balance thereafter</v>
      </c>
      <c r="F274" s="96">
        <f xml:space="preserve"> Inputs_TS!F$268</f>
        <v>0.3</v>
      </c>
      <c r="G274" s="104" t="str">
        <f xml:space="preserve"> Inputs_TS!G$268</f>
        <v>%</v>
      </c>
      <c r="H274" s="57" t="str">
        <f xml:space="preserve"> Sources!I$23</f>
        <v>XVIII</v>
      </c>
      <c r="I274" s="57"/>
      <c r="J274" s="42"/>
      <c r="AL274" s="290"/>
      <c r="AM274" s="290"/>
      <c r="AN274" s="290"/>
      <c r="AO274" s="290"/>
      <c r="AP274" s="290"/>
      <c r="AQ274" s="290"/>
      <c r="AR274" s="290"/>
      <c r="AS274" s="290"/>
    </row>
    <row r="275" spans="1:45" ht="15" customHeight="1" x14ac:dyDescent="0.3">
      <c r="I275" s="291"/>
      <c r="J275" s="42"/>
      <c r="AL275" s="290"/>
      <c r="AM275" s="290"/>
      <c r="AN275" s="290"/>
      <c r="AO275" s="290"/>
      <c r="AP275" s="290"/>
      <c r="AQ275" s="290"/>
      <c r="AR275" s="290"/>
      <c r="AS275" s="290"/>
    </row>
    <row r="276" spans="1:45" ht="15" customHeight="1" x14ac:dyDescent="0.3">
      <c r="E276" s="290" t="str">
        <f xml:space="preserve"> E$271</f>
        <v>Capital costs into calculation</v>
      </c>
      <c r="F276" s="290">
        <f t="shared" ref="F276:I276" si="344" xml:space="preserve"> F$271</f>
        <v>0</v>
      </c>
      <c r="G276" s="293" t="str">
        <f t="shared" si="344"/>
        <v>$ mn</v>
      </c>
      <c r="H276" s="291">
        <f t="shared" si="344"/>
        <v>0</v>
      </c>
      <c r="I276" s="291">
        <f t="shared" si="344"/>
        <v>0</v>
      </c>
      <c r="J276" s="42"/>
      <c r="K276" s="290">
        <f t="shared" ref="K276:O276" si="345" xml:space="preserve"> K$271</f>
        <v>0</v>
      </c>
      <c r="L276" s="290">
        <f t="shared" si="345"/>
        <v>0</v>
      </c>
      <c r="M276" s="290">
        <f t="shared" si="345"/>
        <v>0</v>
      </c>
      <c r="N276" s="290">
        <f t="shared" si="345"/>
        <v>0</v>
      </c>
      <c r="O276" s="290">
        <f t="shared" si="345"/>
        <v>0</v>
      </c>
      <c r="P276" s="290">
        <f t="shared" ref="P276:AS276" si="346" xml:space="preserve"> P$271</f>
        <v>0</v>
      </c>
      <c r="Q276" s="290">
        <f t="shared" si="346"/>
        <v>0</v>
      </c>
      <c r="R276" s="290">
        <f t="shared" si="346"/>
        <v>0</v>
      </c>
      <c r="S276" s="290">
        <f t="shared" si="346"/>
        <v>0</v>
      </c>
      <c r="T276" s="290">
        <f t="shared" si="346"/>
        <v>0</v>
      </c>
      <c r="U276" s="290">
        <f t="shared" si="346"/>
        <v>0</v>
      </c>
      <c r="V276" s="290">
        <f t="shared" si="346"/>
        <v>245.02819335000001</v>
      </c>
      <c r="W276" s="290">
        <f t="shared" si="346"/>
        <v>0</v>
      </c>
      <c r="X276" s="290">
        <f t="shared" si="346"/>
        <v>0</v>
      </c>
      <c r="Y276" s="290">
        <f t="shared" si="346"/>
        <v>0</v>
      </c>
      <c r="Z276" s="290">
        <f t="shared" si="346"/>
        <v>0</v>
      </c>
      <c r="AA276" s="290">
        <f t="shared" si="346"/>
        <v>0</v>
      </c>
      <c r="AB276" s="290">
        <f t="shared" si="346"/>
        <v>0</v>
      </c>
      <c r="AC276" s="290">
        <f t="shared" si="346"/>
        <v>0</v>
      </c>
      <c r="AD276" s="290">
        <f t="shared" si="346"/>
        <v>0</v>
      </c>
      <c r="AE276" s="290">
        <f t="shared" si="346"/>
        <v>0</v>
      </c>
      <c r="AF276" s="290">
        <f t="shared" si="346"/>
        <v>0</v>
      </c>
      <c r="AG276" s="290">
        <f t="shared" si="346"/>
        <v>0</v>
      </c>
      <c r="AH276" s="290">
        <f t="shared" si="346"/>
        <v>0</v>
      </c>
      <c r="AI276" s="290">
        <f t="shared" si="346"/>
        <v>0</v>
      </c>
      <c r="AJ276" s="290">
        <f t="shared" si="346"/>
        <v>0</v>
      </c>
      <c r="AK276" s="290">
        <f t="shared" si="346"/>
        <v>0</v>
      </c>
      <c r="AL276" s="290">
        <f t="shared" si="346"/>
        <v>0</v>
      </c>
      <c r="AM276" s="290">
        <f t="shared" si="346"/>
        <v>0</v>
      </c>
      <c r="AN276" s="290">
        <f t="shared" si="346"/>
        <v>0</v>
      </c>
      <c r="AO276" s="290">
        <f t="shared" si="346"/>
        <v>0</v>
      </c>
      <c r="AP276" s="290">
        <f t="shared" si="346"/>
        <v>0</v>
      </c>
      <c r="AQ276" s="290">
        <f t="shared" si="346"/>
        <v>0</v>
      </c>
      <c r="AR276" s="290">
        <f t="shared" si="346"/>
        <v>0</v>
      </c>
      <c r="AS276" s="290">
        <f t="shared" si="346"/>
        <v>0</v>
      </c>
    </row>
    <row r="277" spans="1:45" ht="15" customHeight="1" x14ac:dyDescent="0.3">
      <c r="A277"/>
      <c r="B277"/>
      <c r="C277"/>
      <c r="D277"/>
      <c r="E277" s="345" t="s">
        <v>211</v>
      </c>
      <c r="F277" s="346"/>
      <c r="G277" s="346" t="s">
        <v>346</v>
      </c>
      <c r="H277" s="347"/>
      <c r="I277" s="347"/>
      <c r="J277" s="42"/>
      <c r="K277" s="345">
        <f>J281</f>
        <v>0</v>
      </c>
      <c r="L277" s="345">
        <f t="shared" ref="L277:AS277" si="347">K281</f>
        <v>0</v>
      </c>
      <c r="M277" s="345">
        <f t="shared" si="347"/>
        <v>0</v>
      </c>
      <c r="N277" s="345">
        <f t="shared" si="347"/>
        <v>0</v>
      </c>
      <c r="O277" s="345">
        <f t="shared" si="347"/>
        <v>0</v>
      </c>
      <c r="P277" s="345">
        <f t="shared" si="347"/>
        <v>0</v>
      </c>
      <c r="Q277" s="345">
        <f t="shared" si="347"/>
        <v>0</v>
      </c>
      <c r="R277" s="345">
        <f t="shared" si="347"/>
        <v>0</v>
      </c>
      <c r="S277" s="345">
        <f t="shared" si="347"/>
        <v>0</v>
      </c>
      <c r="T277" s="345">
        <f t="shared" si="347"/>
        <v>0</v>
      </c>
      <c r="U277" s="345">
        <f t="shared" si="347"/>
        <v>0</v>
      </c>
      <c r="V277" s="345">
        <f t="shared" si="347"/>
        <v>0</v>
      </c>
      <c r="W277" s="345">
        <f t="shared" si="347"/>
        <v>98.011277340000021</v>
      </c>
      <c r="X277" s="345">
        <f t="shared" si="347"/>
        <v>68.60789413800002</v>
      </c>
      <c r="Y277" s="345">
        <f t="shared" si="347"/>
        <v>48.025525896600016</v>
      </c>
      <c r="Z277" s="345">
        <f t="shared" si="347"/>
        <v>33.617868127620014</v>
      </c>
      <c r="AA277" s="345">
        <f t="shared" si="347"/>
        <v>23.532507689334011</v>
      </c>
      <c r="AB277" s="345">
        <f t="shared" si="347"/>
        <v>16.472755382533808</v>
      </c>
      <c r="AC277" s="345">
        <f t="shared" si="347"/>
        <v>11.530928767773666</v>
      </c>
      <c r="AD277" s="345">
        <f t="shared" si="347"/>
        <v>8.0716501374415657</v>
      </c>
      <c r="AE277" s="345">
        <f t="shared" si="347"/>
        <v>5.6501550962090956</v>
      </c>
      <c r="AF277" s="345">
        <f t="shared" si="347"/>
        <v>3.9551085673463673</v>
      </c>
      <c r="AG277" s="345">
        <f t="shared" si="347"/>
        <v>2.7685759971424568</v>
      </c>
      <c r="AH277" s="345">
        <f t="shared" si="347"/>
        <v>1.9380031979997199</v>
      </c>
      <c r="AI277" s="345">
        <f t="shared" si="347"/>
        <v>1.356602238599804</v>
      </c>
      <c r="AJ277" s="345">
        <f t="shared" si="347"/>
        <v>0.94962156701986289</v>
      </c>
      <c r="AK277" s="345">
        <f t="shared" si="347"/>
        <v>0.66473509691390409</v>
      </c>
      <c r="AL277" s="345">
        <f t="shared" si="347"/>
        <v>0.46531456783973291</v>
      </c>
      <c r="AM277" s="345">
        <f t="shared" si="347"/>
        <v>0.325720197487813</v>
      </c>
      <c r="AN277" s="345">
        <f t="shared" si="347"/>
        <v>0.22800413824146909</v>
      </c>
      <c r="AO277" s="345">
        <f t="shared" si="347"/>
        <v>0.15960289676902836</v>
      </c>
      <c r="AP277" s="345">
        <f t="shared" si="347"/>
        <v>0.11172202773831985</v>
      </c>
      <c r="AQ277" s="345">
        <f t="shared" si="347"/>
        <v>7.8205419416823907E-2</v>
      </c>
      <c r="AR277" s="345">
        <f t="shared" si="347"/>
        <v>5.4743793591776738E-2</v>
      </c>
      <c r="AS277" s="345">
        <f t="shared" si="347"/>
        <v>3.8320655514243712E-2</v>
      </c>
    </row>
    <row r="278" spans="1:45" ht="15" customHeight="1" x14ac:dyDescent="0.3">
      <c r="A278"/>
      <c r="B278"/>
      <c r="C278"/>
      <c r="D278"/>
      <c r="E278" s="348" t="s">
        <v>212</v>
      </c>
      <c r="F278" s="312"/>
      <c r="G278" s="312" t="s">
        <v>346</v>
      </c>
      <c r="H278" s="314"/>
      <c r="I278" s="314"/>
      <c r="J278" s="42"/>
      <c r="K278" s="348">
        <f t="shared" ref="K278:O278" si="348">K276</f>
        <v>0</v>
      </c>
      <c r="L278" s="348">
        <f t="shared" si="348"/>
        <v>0</v>
      </c>
      <c r="M278" s="348">
        <f t="shared" si="348"/>
        <v>0</v>
      </c>
      <c r="N278" s="348">
        <f t="shared" si="348"/>
        <v>0</v>
      </c>
      <c r="O278" s="348">
        <f t="shared" si="348"/>
        <v>0</v>
      </c>
      <c r="P278" s="348">
        <f t="shared" ref="P278:R278" si="349">P276</f>
        <v>0</v>
      </c>
      <c r="Q278" s="348">
        <f t="shared" si="349"/>
        <v>0</v>
      </c>
      <c r="R278" s="348">
        <f t="shared" si="349"/>
        <v>0</v>
      </c>
      <c r="S278" s="348">
        <f>S276</f>
        <v>0</v>
      </c>
      <c r="T278" s="348">
        <f t="shared" ref="T278:AP278" si="350">T276</f>
        <v>0</v>
      </c>
      <c r="U278" s="348">
        <f t="shared" si="350"/>
        <v>0</v>
      </c>
      <c r="V278" s="348">
        <f t="shared" si="350"/>
        <v>245.02819335000001</v>
      </c>
      <c r="W278" s="348">
        <f t="shared" si="350"/>
        <v>0</v>
      </c>
      <c r="X278" s="348">
        <f t="shared" si="350"/>
        <v>0</v>
      </c>
      <c r="Y278" s="348">
        <f t="shared" si="350"/>
        <v>0</v>
      </c>
      <c r="Z278" s="348">
        <f t="shared" si="350"/>
        <v>0</v>
      </c>
      <c r="AA278" s="348">
        <f t="shared" si="350"/>
        <v>0</v>
      </c>
      <c r="AB278" s="348">
        <f t="shared" si="350"/>
        <v>0</v>
      </c>
      <c r="AC278" s="348">
        <f t="shared" si="350"/>
        <v>0</v>
      </c>
      <c r="AD278" s="348">
        <f t="shared" si="350"/>
        <v>0</v>
      </c>
      <c r="AE278" s="348">
        <f t="shared" si="350"/>
        <v>0</v>
      </c>
      <c r="AF278" s="348">
        <f t="shared" si="350"/>
        <v>0</v>
      </c>
      <c r="AG278" s="348">
        <f t="shared" si="350"/>
        <v>0</v>
      </c>
      <c r="AH278" s="348">
        <f t="shared" si="350"/>
        <v>0</v>
      </c>
      <c r="AI278" s="348">
        <f t="shared" si="350"/>
        <v>0</v>
      </c>
      <c r="AJ278" s="348">
        <f t="shared" si="350"/>
        <v>0</v>
      </c>
      <c r="AK278" s="348">
        <f t="shared" si="350"/>
        <v>0</v>
      </c>
      <c r="AL278" s="348">
        <f t="shared" si="350"/>
        <v>0</v>
      </c>
      <c r="AM278" s="348">
        <f t="shared" si="350"/>
        <v>0</v>
      </c>
      <c r="AN278" s="348">
        <f t="shared" si="350"/>
        <v>0</v>
      </c>
      <c r="AO278" s="348">
        <f t="shared" si="350"/>
        <v>0</v>
      </c>
      <c r="AP278" s="348">
        <f t="shared" si="350"/>
        <v>0</v>
      </c>
      <c r="AQ278" s="348">
        <f t="shared" ref="AQ278:AS278" si="351">AQ276</f>
        <v>0</v>
      </c>
      <c r="AR278" s="348">
        <f t="shared" si="351"/>
        <v>0</v>
      </c>
      <c r="AS278" s="348">
        <f t="shared" si="351"/>
        <v>0</v>
      </c>
    </row>
    <row r="279" spans="1:45" ht="15" customHeight="1" x14ac:dyDescent="0.3">
      <c r="A279"/>
      <c r="B279"/>
      <c r="C279"/>
      <c r="D279"/>
      <c r="E279" s="349" t="s">
        <v>213</v>
      </c>
      <c r="F279" s="312"/>
      <c r="G279" s="312" t="s">
        <v>346</v>
      </c>
      <c r="H279" s="314"/>
      <c r="I279" s="314"/>
      <c r="J279" s="42"/>
      <c r="K279" s="348">
        <f t="shared" ref="K279:O279" si="352" xml:space="preserve"> K278 * $F273</f>
        <v>0</v>
      </c>
      <c r="L279" s="348">
        <f t="shared" si="352"/>
        <v>0</v>
      </c>
      <c r="M279" s="348">
        <f t="shared" si="352"/>
        <v>0</v>
      </c>
      <c r="N279" s="348">
        <f t="shared" si="352"/>
        <v>0</v>
      </c>
      <c r="O279" s="348">
        <f t="shared" si="352"/>
        <v>0</v>
      </c>
      <c r="P279" s="348">
        <f t="shared" ref="P279:AS279" si="353" xml:space="preserve"> P278 * $F273</f>
        <v>0</v>
      </c>
      <c r="Q279" s="348">
        <f t="shared" si="353"/>
        <v>0</v>
      </c>
      <c r="R279" s="348">
        <f t="shared" si="353"/>
        <v>0</v>
      </c>
      <c r="S279" s="348">
        <f t="shared" si="353"/>
        <v>0</v>
      </c>
      <c r="T279" s="348">
        <f t="shared" si="353"/>
        <v>0</v>
      </c>
      <c r="U279" s="348">
        <f t="shared" si="353"/>
        <v>0</v>
      </c>
      <c r="V279" s="348">
        <f t="shared" si="353"/>
        <v>147.01691600999999</v>
      </c>
      <c r="W279" s="348">
        <f t="shared" si="353"/>
        <v>0</v>
      </c>
      <c r="X279" s="348">
        <f t="shared" si="353"/>
        <v>0</v>
      </c>
      <c r="Y279" s="348">
        <f t="shared" si="353"/>
        <v>0</v>
      </c>
      <c r="Z279" s="348">
        <f t="shared" si="353"/>
        <v>0</v>
      </c>
      <c r="AA279" s="348">
        <f t="shared" si="353"/>
        <v>0</v>
      </c>
      <c r="AB279" s="348">
        <f t="shared" si="353"/>
        <v>0</v>
      </c>
      <c r="AC279" s="348">
        <f t="shared" si="353"/>
        <v>0</v>
      </c>
      <c r="AD279" s="348">
        <f t="shared" si="353"/>
        <v>0</v>
      </c>
      <c r="AE279" s="348">
        <f t="shared" si="353"/>
        <v>0</v>
      </c>
      <c r="AF279" s="348">
        <f t="shared" si="353"/>
        <v>0</v>
      </c>
      <c r="AG279" s="348">
        <f t="shared" si="353"/>
        <v>0</v>
      </c>
      <c r="AH279" s="348">
        <f t="shared" si="353"/>
        <v>0</v>
      </c>
      <c r="AI279" s="348">
        <f t="shared" si="353"/>
        <v>0</v>
      </c>
      <c r="AJ279" s="348">
        <f t="shared" si="353"/>
        <v>0</v>
      </c>
      <c r="AK279" s="348">
        <f t="shared" si="353"/>
        <v>0</v>
      </c>
      <c r="AL279" s="348">
        <f t="shared" si="353"/>
        <v>0</v>
      </c>
      <c r="AM279" s="348">
        <f t="shared" si="353"/>
        <v>0</v>
      </c>
      <c r="AN279" s="348">
        <f t="shared" si="353"/>
        <v>0</v>
      </c>
      <c r="AO279" s="348">
        <f t="shared" si="353"/>
        <v>0</v>
      </c>
      <c r="AP279" s="348">
        <f t="shared" si="353"/>
        <v>0</v>
      </c>
      <c r="AQ279" s="348">
        <f t="shared" si="353"/>
        <v>0</v>
      </c>
      <c r="AR279" s="348">
        <f t="shared" si="353"/>
        <v>0</v>
      </c>
      <c r="AS279" s="348">
        <f t="shared" si="353"/>
        <v>0</v>
      </c>
    </row>
    <row r="280" spans="1:45" ht="15" customHeight="1" x14ac:dyDescent="0.3">
      <c r="A280"/>
      <c r="B280"/>
      <c r="C280"/>
      <c r="D280"/>
      <c r="E280" s="348" t="s">
        <v>214</v>
      </c>
      <c r="F280" s="312"/>
      <c r="G280" s="312" t="s">
        <v>346</v>
      </c>
      <c r="H280" s="314"/>
      <c r="I280" s="314"/>
      <c r="J280" s="42"/>
      <c r="K280" s="348">
        <f t="shared" ref="K280:O280" si="354" xml:space="preserve"> K277 * $F274</f>
        <v>0</v>
      </c>
      <c r="L280" s="348">
        <f t="shared" si="354"/>
        <v>0</v>
      </c>
      <c r="M280" s="348">
        <f t="shared" si="354"/>
        <v>0</v>
      </c>
      <c r="N280" s="348">
        <f t="shared" si="354"/>
        <v>0</v>
      </c>
      <c r="O280" s="348">
        <f t="shared" si="354"/>
        <v>0</v>
      </c>
      <c r="P280" s="348">
        <f t="shared" ref="P280:AS280" si="355" xml:space="preserve"> P277 * $F274</f>
        <v>0</v>
      </c>
      <c r="Q280" s="348">
        <f t="shared" si="355"/>
        <v>0</v>
      </c>
      <c r="R280" s="348">
        <f t="shared" si="355"/>
        <v>0</v>
      </c>
      <c r="S280" s="348">
        <f t="shared" si="355"/>
        <v>0</v>
      </c>
      <c r="T280" s="348">
        <f t="shared" si="355"/>
        <v>0</v>
      </c>
      <c r="U280" s="348">
        <f t="shared" si="355"/>
        <v>0</v>
      </c>
      <c r="V280" s="348">
        <f t="shared" si="355"/>
        <v>0</v>
      </c>
      <c r="W280" s="348">
        <f t="shared" si="355"/>
        <v>29.403383202000004</v>
      </c>
      <c r="X280" s="348">
        <f t="shared" si="355"/>
        <v>20.582368241400005</v>
      </c>
      <c r="Y280" s="348">
        <f t="shared" si="355"/>
        <v>14.407657768980004</v>
      </c>
      <c r="Z280" s="348">
        <f t="shared" si="355"/>
        <v>10.085360438286004</v>
      </c>
      <c r="AA280" s="348">
        <f t="shared" si="355"/>
        <v>7.0597523068002035</v>
      </c>
      <c r="AB280" s="348">
        <f t="shared" si="355"/>
        <v>4.9418266147601422</v>
      </c>
      <c r="AC280" s="348">
        <f t="shared" si="355"/>
        <v>3.4592786303320997</v>
      </c>
      <c r="AD280" s="348">
        <f t="shared" si="355"/>
        <v>2.4214950412324696</v>
      </c>
      <c r="AE280" s="348">
        <f t="shared" si="355"/>
        <v>1.6950465288627286</v>
      </c>
      <c r="AF280" s="348">
        <f t="shared" si="355"/>
        <v>1.1865325702039102</v>
      </c>
      <c r="AG280" s="348">
        <f t="shared" si="355"/>
        <v>0.83057279914273707</v>
      </c>
      <c r="AH280" s="348">
        <f t="shared" si="355"/>
        <v>0.58140095939991598</v>
      </c>
      <c r="AI280" s="348">
        <f t="shared" si="355"/>
        <v>0.40698067157994117</v>
      </c>
      <c r="AJ280" s="348">
        <f t="shared" si="355"/>
        <v>0.28488647010595886</v>
      </c>
      <c r="AK280" s="348">
        <f t="shared" si="355"/>
        <v>0.19942052907417121</v>
      </c>
      <c r="AL280" s="348">
        <f t="shared" si="355"/>
        <v>0.13959437035191988</v>
      </c>
      <c r="AM280" s="348">
        <f t="shared" si="355"/>
        <v>9.7716059246343898E-2</v>
      </c>
      <c r="AN280" s="348">
        <f t="shared" si="355"/>
        <v>6.8401241472440727E-2</v>
      </c>
      <c r="AO280" s="348">
        <f t="shared" si="355"/>
        <v>4.7880869030708505E-2</v>
      </c>
      <c r="AP280" s="348">
        <f t="shared" si="355"/>
        <v>3.3516608321495951E-2</v>
      </c>
      <c r="AQ280" s="348">
        <f t="shared" si="355"/>
        <v>2.3461625825047173E-2</v>
      </c>
      <c r="AR280" s="348">
        <f t="shared" si="355"/>
        <v>1.6423138077533022E-2</v>
      </c>
      <c r="AS280" s="348">
        <f t="shared" si="355"/>
        <v>1.1496196654273113E-2</v>
      </c>
    </row>
    <row r="281" spans="1:45" ht="15" customHeight="1" x14ac:dyDescent="0.3">
      <c r="A281"/>
      <c r="B281"/>
      <c r="C281"/>
      <c r="D281"/>
      <c r="E281" s="350" t="s">
        <v>215</v>
      </c>
      <c r="F281" s="351"/>
      <c r="G281" s="351" t="s">
        <v>346</v>
      </c>
      <c r="H281" s="352"/>
      <c r="I281" s="352"/>
      <c r="J281" s="42"/>
      <c r="K281" s="350">
        <f t="shared" ref="K281:O281" si="356" xml:space="preserve"> K277 + K278 - K279 - K280</f>
        <v>0</v>
      </c>
      <c r="L281" s="350">
        <f t="shared" si="356"/>
        <v>0</v>
      </c>
      <c r="M281" s="350">
        <f t="shared" si="356"/>
        <v>0</v>
      </c>
      <c r="N281" s="350">
        <f t="shared" si="356"/>
        <v>0</v>
      </c>
      <c r="O281" s="350">
        <f t="shared" si="356"/>
        <v>0</v>
      </c>
      <c r="P281" s="350">
        <f t="shared" ref="P281:R281" si="357" xml:space="preserve"> P277 + P278 - P279 - P280</f>
        <v>0</v>
      </c>
      <c r="Q281" s="350">
        <f t="shared" si="357"/>
        <v>0</v>
      </c>
      <c r="R281" s="350">
        <f t="shared" si="357"/>
        <v>0</v>
      </c>
      <c r="S281" s="350">
        <f xml:space="preserve"> S277 + S278 - S279 - S280</f>
        <v>0</v>
      </c>
      <c r="T281" s="350">
        <f t="shared" ref="T281:AP281" si="358" xml:space="preserve"> T277 + T278 - T279 - T280</f>
        <v>0</v>
      </c>
      <c r="U281" s="350">
        <f t="shared" si="358"/>
        <v>0</v>
      </c>
      <c r="V281" s="350">
        <f t="shared" si="358"/>
        <v>98.011277340000021</v>
      </c>
      <c r="W281" s="350">
        <f t="shared" si="358"/>
        <v>68.60789413800002</v>
      </c>
      <c r="X281" s="350">
        <f t="shared" si="358"/>
        <v>48.025525896600016</v>
      </c>
      <c r="Y281" s="350">
        <f t="shared" si="358"/>
        <v>33.617868127620014</v>
      </c>
      <c r="Z281" s="350">
        <f t="shared" si="358"/>
        <v>23.532507689334011</v>
      </c>
      <c r="AA281" s="350">
        <f t="shared" si="358"/>
        <v>16.472755382533808</v>
      </c>
      <c r="AB281" s="350">
        <f t="shared" si="358"/>
        <v>11.530928767773666</v>
      </c>
      <c r="AC281" s="350">
        <f t="shared" si="358"/>
        <v>8.0716501374415657</v>
      </c>
      <c r="AD281" s="350">
        <f t="shared" si="358"/>
        <v>5.6501550962090956</v>
      </c>
      <c r="AE281" s="350">
        <f t="shared" si="358"/>
        <v>3.9551085673463673</v>
      </c>
      <c r="AF281" s="350">
        <f t="shared" si="358"/>
        <v>2.7685759971424568</v>
      </c>
      <c r="AG281" s="350">
        <f t="shared" si="358"/>
        <v>1.9380031979997199</v>
      </c>
      <c r="AH281" s="350">
        <f t="shared" si="358"/>
        <v>1.356602238599804</v>
      </c>
      <c r="AI281" s="350">
        <f t="shared" si="358"/>
        <v>0.94962156701986289</v>
      </c>
      <c r="AJ281" s="350">
        <f t="shared" si="358"/>
        <v>0.66473509691390409</v>
      </c>
      <c r="AK281" s="350">
        <f t="shared" si="358"/>
        <v>0.46531456783973291</v>
      </c>
      <c r="AL281" s="350">
        <f t="shared" si="358"/>
        <v>0.325720197487813</v>
      </c>
      <c r="AM281" s="350">
        <f t="shared" si="358"/>
        <v>0.22800413824146909</v>
      </c>
      <c r="AN281" s="350">
        <f t="shared" si="358"/>
        <v>0.15960289676902836</v>
      </c>
      <c r="AO281" s="350">
        <f t="shared" si="358"/>
        <v>0.11172202773831985</v>
      </c>
      <c r="AP281" s="350">
        <f t="shared" si="358"/>
        <v>7.8205419416823907E-2</v>
      </c>
      <c r="AQ281" s="350">
        <f t="shared" ref="AQ281:AS281" si="359" xml:space="preserve"> AQ277 + AQ278 - AQ279 - AQ280</f>
        <v>5.4743793591776738E-2</v>
      </c>
      <c r="AR281" s="350">
        <f t="shared" si="359"/>
        <v>3.8320655514243712E-2</v>
      </c>
      <c r="AS281" s="350">
        <f t="shared" si="359"/>
        <v>2.6824458859970597E-2</v>
      </c>
    </row>
    <row r="282" spans="1:45" ht="15" customHeight="1" x14ac:dyDescent="0.3">
      <c r="I282" s="291"/>
      <c r="J282" s="42"/>
      <c r="AL282" s="290"/>
      <c r="AM282" s="290"/>
      <c r="AN282" s="290"/>
      <c r="AO282" s="290"/>
      <c r="AP282" s="290"/>
      <c r="AQ282" s="290"/>
      <c r="AR282" s="290"/>
      <c r="AS282" s="290"/>
    </row>
    <row r="283" spans="1:45" ht="15" customHeight="1" x14ac:dyDescent="0.3">
      <c r="E283" s="290" t="s">
        <v>456</v>
      </c>
      <c r="G283" s="312" t="s">
        <v>346</v>
      </c>
      <c r="I283" s="291">
        <f>SUM(K283:AS283)</f>
        <v>245.00136889114006</v>
      </c>
      <c r="J283" s="42"/>
      <c r="K283" s="290">
        <f t="shared" ref="K283:O283" si="360">K279+K280</f>
        <v>0</v>
      </c>
      <c r="L283" s="290">
        <f t="shared" si="360"/>
        <v>0</v>
      </c>
      <c r="M283" s="290">
        <f t="shared" si="360"/>
        <v>0</v>
      </c>
      <c r="N283" s="290">
        <f t="shared" si="360"/>
        <v>0</v>
      </c>
      <c r="O283" s="290">
        <f t="shared" si="360"/>
        <v>0</v>
      </c>
      <c r="P283" s="290">
        <f t="shared" ref="P283:R283" si="361">P279+P280</f>
        <v>0</v>
      </c>
      <c r="Q283" s="290">
        <f t="shared" si="361"/>
        <v>0</v>
      </c>
      <c r="R283" s="290">
        <f t="shared" si="361"/>
        <v>0</v>
      </c>
      <c r="S283" s="290">
        <f>S279+S280</f>
        <v>0</v>
      </c>
      <c r="T283" s="290">
        <f t="shared" ref="T283:AP283" si="362">T279+T280</f>
        <v>0</v>
      </c>
      <c r="U283" s="290">
        <f t="shared" si="362"/>
        <v>0</v>
      </c>
      <c r="V283" s="290">
        <f t="shared" si="362"/>
        <v>147.01691600999999</v>
      </c>
      <c r="W283" s="290">
        <f t="shared" si="362"/>
        <v>29.403383202000004</v>
      </c>
      <c r="X283" s="290">
        <f t="shared" si="362"/>
        <v>20.582368241400005</v>
      </c>
      <c r="Y283" s="290">
        <f t="shared" si="362"/>
        <v>14.407657768980004</v>
      </c>
      <c r="Z283" s="290">
        <f t="shared" si="362"/>
        <v>10.085360438286004</v>
      </c>
      <c r="AA283" s="290">
        <f t="shared" si="362"/>
        <v>7.0597523068002035</v>
      </c>
      <c r="AB283" s="290">
        <f t="shared" si="362"/>
        <v>4.9418266147601422</v>
      </c>
      <c r="AC283" s="290">
        <f t="shared" si="362"/>
        <v>3.4592786303320997</v>
      </c>
      <c r="AD283" s="290">
        <f t="shared" si="362"/>
        <v>2.4214950412324696</v>
      </c>
      <c r="AE283" s="290">
        <f t="shared" si="362"/>
        <v>1.6950465288627286</v>
      </c>
      <c r="AF283" s="290">
        <f t="shared" si="362"/>
        <v>1.1865325702039102</v>
      </c>
      <c r="AG283" s="290">
        <f t="shared" si="362"/>
        <v>0.83057279914273707</v>
      </c>
      <c r="AH283" s="290">
        <f t="shared" si="362"/>
        <v>0.58140095939991598</v>
      </c>
      <c r="AI283" s="290">
        <f t="shared" si="362"/>
        <v>0.40698067157994117</v>
      </c>
      <c r="AJ283" s="290">
        <f t="shared" si="362"/>
        <v>0.28488647010595886</v>
      </c>
      <c r="AK283" s="290">
        <f t="shared" si="362"/>
        <v>0.19942052907417121</v>
      </c>
      <c r="AL283" s="290">
        <f t="shared" si="362"/>
        <v>0.13959437035191988</v>
      </c>
      <c r="AM283" s="290">
        <f t="shared" si="362"/>
        <v>9.7716059246343898E-2</v>
      </c>
      <c r="AN283" s="290">
        <f t="shared" si="362"/>
        <v>6.8401241472440727E-2</v>
      </c>
      <c r="AO283" s="290">
        <f t="shared" si="362"/>
        <v>4.7880869030708505E-2</v>
      </c>
      <c r="AP283" s="290">
        <f t="shared" si="362"/>
        <v>3.3516608321495951E-2</v>
      </c>
      <c r="AQ283" s="290">
        <f t="shared" ref="AQ283:AS283" si="363">AQ279+AQ280</f>
        <v>2.3461625825047173E-2</v>
      </c>
      <c r="AR283" s="290">
        <f t="shared" si="363"/>
        <v>1.6423138077533022E-2</v>
      </c>
      <c r="AS283" s="290">
        <f t="shared" si="363"/>
        <v>1.1496196654273113E-2</v>
      </c>
    </row>
    <row r="284" spans="1:45" ht="15" customHeight="1" x14ac:dyDescent="0.3">
      <c r="I284" s="291"/>
      <c r="J284" s="42"/>
      <c r="AL284" s="290"/>
      <c r="AM284" s="290"/>
      <c r="AN284" s="290"/>
      <c r="AO284" s="290"/>
      <c r="AP284" s="290"/>
      <c r="AQ284" s="290"/>
      <c r="AR284" s="290"/>
      <c r="AS284" s="290"/>
    </row>
    <row r="285" spans="1:45" ht="15" customHeight="1" x14ac:dyDescent="0.3">
      <c r="A285" s="282"/>
      <c r="B285" s="282"/>
      <c r="C285" s="289" t="s">
        <v>216</v>
      </c>
      <c r="I285" s="291"/>
      <c r="J285" s="42"/>
      <c r="AL285" s="290"/>
      <c r="AM285" s="290"/>
      <c r="AN285" s="290"/>
      <c r="AO285" s="290"/>
      <c r="AP285" s="290"/>
      <c r="AQ285" s="290"/>
      <c r="AR285" s="290"/>
      <c r="AS285" s="290"/>
    </row>
    <row r="286" spans="1:45" ht="15" customHeight="1" x14ac:dyDescent="0.3">
      <c r="A286" s="353"/>
      <c r="B286" s="353"/>
      <c r="E286" s="169" t="str">
        <f t="shared" ref="E286:I286" si="364" xml:space="preserve"> E$160</f>
        <v>Capital costs: FS</v>
      </c>
      <c r="F286" s="169" t="str">
        <f t="shared" si="364"/>
        <v>FS</v>
      </c>
      <c r="G286" s="169" t="str">
        <f t="shared" si="364"/>
        <v>$ mn</v>
      </c>
      <c r="H286" s="169">
        <f t="shared" si="364"/>
        <v>0</v>
      </c>
      <c r="I286" s="169">
        <f t="shared" si="364"/>
        <v>824.72191894000002</v>
      </c>
      <c r="J286" s="42"/>
      <c r="K286" s="169">
        <f t="shared" ref="K286:O286" si="365" xml:space="preserve"> K$160</f>
        <v>0</v>
      </c>
      <c r="L286" s="169">
        <f t="shared" si="365"/>
        <v>0</v>
      </c>
      <c r="M286" s="169">
        <f t="shared" si="365"/>
        <v>0</v>
      </c>
      <c r="N286" s="169">
        <f t="shared" si="365"/>
        <v>0</v>
      </c>
      <c r="O286" s="169">
        <f t="shared" si="365"/>
        <v>0</v>
      </c>
      <c r="P286" s="169">
        <f t="shared" ref="P286:AS286" si="366" xml:space="preserve"> P$160</f>
        <v>0</v>
      </c>
      <c r="Q286" s="169">
        <f t="shared" si="366"/>
        <v>0</v>
      </c>
      <c r="R286" s="169">
        <f t="shared" si="366"/>
        <v>0</v>
      </c>
      <c r="S286" s="169">
        <f t="shared" si="366"/>
        <v>0</v>
      </c>
      <c r="T286" s="169">
        <f t="shared" si="366"/>
        <v>0</v>
      </c>
      <c r="U286" s="169">
        <f t="shared" si="366"/>
        <v>0</v>
      </c>
      <c r="V286" s="169">
        <f t="shared" si="366"/>
        <v>245.02819335000001</v>
      </c>
      <c r="W286" s="169">
        <f t="shared" si="366"/>
        <v>111.33372773000001</v>
      </c>
      <c r="X286" s="169">
        <f t="shared" si="366"/>
        <v>148.28970892000001</v>
      </c>
      <c r="Y286" s="169">
        <f t="shared" si="366"/>
        <v>4.7877627</v>
      </c>
      <c r="Z286" s="169">
        <f t="shared" si="366"/>
        <v>81.812290399999995</v>
      </c>
      <c r="AA286" s="169">
        <f t="shared" si="366"/>
        <v>100.30613584</v>
      </c>
      <c r="AB286" s="169">
        <f t="shared" si="366"/>
        <v>99.765600000000006</v>
      </c>
      <c r="AC286" s="169">
        <f t="shared" si="366"/>
        <v>33.398499999999999</v>
      </c>
      <c r="AD286" s="169">
        <f t="shared" si="366"/>
        <v>0</v>
      </c>
      <c r="AE286" s="169">
        <f t="shared" si="366"/>
        <v>0</v>
      </c>
      <c r="AF286" s="169">
        <f t="shared" si="366"/>
        <v>0</v>
      </c>
      <c r="AG286" s="169">
        <f t="shared" si="366"/>
        <v>0</v>
      </c>
      <c r="AH286" s="169">
        <f t="shared" si="366"/>
        <v>0</v>
      </c>
      <c r="AI286" s="169">
        <f t="shared" si="366"/>
        <v>0</v>
      </c>
      <c r="AJ286" s="169">
        <f t="shared" si="366"/>
        <v>0</v>
      </c>
      <c r="AK286" s="169">
        <f t="shared" si="366"/>
        <v>0</v>
      </c>
      <c r="AL286" s="169">
        <f t="shared" si="366"/>
        <v>0</v>
      </c>
      <c r="AM286" s="169">
        <f t="shared" si="366"/>
        <v>0</v>
      </c>
      <c r="AN286" s="169">
        <f t="shared" si="366"/>
        <v>0</v>
      </c>
      <c r="AO286" s="169">
        <f t="shared" si="366"/>
        <v>0</v>
      </c>
      <c r="AP286" s="169">
        <f t="shared" si="366"/>
        <v>0</v>
      </c>
      <c r="AQ286" s="169">
        <f t="shared" si="366"/>
        <v>0</v>
      </c>
      <c r="AR286" s="169">
        <f t="shared" si="366"/>
        <v>0</v>
      </c>
      <c r="AS286" s="169">
        <f t="shared" si="366"/>
        <v>0</v>
      </c>
    </row>
    <row r="287" spans="1:45" ht="15" customHeight="1" x14ac:dyDescent="0.3">
      <c r="A287" s="282"/>
      <c r="B287" s="282"/>
      <c r="E287" s="290" t="s">
        <v>189</v>
      </c>
      <c r="G287" s="290" t="s">
        <v>160</v>
      </c>
      <c r="I287" s="291"/>
      <c r="J287" s="42"/>
      <c r="K287" s="290">
        <f t="shared" ref="K287:AS287" si="367">(K2 &gt; 2017) * 1</f>
        <v>0</v>
      </c>
      <c r="L287" s="290">
        <f t="shared" si="367"/>
        <v>0</v>
      </c>
      <c r="M287" s="290">
        <f t="shared" si="367"/>
        <v>0</v>
      </c>
      <c r="N287" s="290">
        <f t="shared" si="367"/>
        <v>0</v>
      </c>
      <c r="O287" s="290">
        <f t="shared" si="367"/>
        <v>0</v>
      </c>
      <c r="P287" s="290">
        <f t="shared" si="367"/>
        <v>0</v>
      </c>
      <c r="Q287" s="290">
        <f t="shared" si="367"/>
        <v>0</v>
      </c>
      <c r="R287" s="290">
        <f t="shared" si="367"/>
        <v>0</v>
      </c>
      <c r="S287" s="290">
        <f t="shared" si="367"/>
        <v>0</v>
      </c>
      <c r="T287" s="290">
        <f t="shared" si="367"/>
        <v>0</v>
      </c>
      <c r="U287" s="290">
        <f t="shared" si="367"/>
        <v>0</v>
      </c>
      <c r="V287" s="290">
        <f t="shared" si="367"/>
        <v>0</v>
      </c>
      <c r="W287" s="290">
        <f t="shared" si="367"/>
        <v>1</v>
      </c>
      <c r="X287" s="290">
        <f t="shared" si="367"/>
        <v>1</v>
      </c>
      <c r="Y287" s="290">
        <f t="shared" si="367"/>
        <v>1</v>
      </c>
      <c r="Z287" s="290">
        <f t="shared" si="367"/>
        <v>1</v>
      </c>
      <c r="AA287" s="290">
        <f t="shared" si="367"/>
        <v>1</v>
      </c>
      <c r="AB287" s="290">
        <f t="shared" si="367"/>
        <v>1</v>
      </c>
      <c r="AC287" s="290">
        <f t="shared" si="367"/>
        <v>1</v>
      </c>
      <c r="AD287" s="290">
        <f t="shared" si="367"/>
        <v>1</v>
      </c>
      <c r="AE287" s="290">
        <f t="shared" si="367"/>
        <v>1</v>
      </c>
      <c r="AF287" s="290">
        <f t="shared" si="367"/>
        <v>1</v>
      </c>
      <c r="AG287" s="290">
        <f t="shared" si="367"/>
        <v>1</v>
      </c>
      <c r="AH287" s="290">
        <f t="shared" si="367"/>
        <v>1</v>
      </c>
      <c r="AI287" s="290">
        <f t="shared" si="367"/>
        <v>1</v>
      </c>
      <c r="AJ287" s="290">
        <f t="shared" si="367"/>
        <v>1</v>
      </c>
      <c r="AK287" s="290">
        <f t="shared" si="367"/>
        <v>1</v>
      </c>
      <c r="AL287" s="290">
        <f t="shared" si="367"/>
        <v>1</v>
      </c>
      <c r="AM287" s="290">
        <f t="shared" si="367"/>
        <v>1</v>
      </c>
      <c r="AN287" s="290">
        <f t="shared" si="367"/>
        <v>1</v>
      </c>
      <c r="AO287" s="290">
        <f t="shared" si="367"/>
        <v>1</v>
      </c>
      <c r="AP287" s="290">
        <f t="shared" si="367"/>
        <v>1</v>
      </c>
      <c r="AQ287" s="290">
        <f t="shared" si="367"/>
        <v>1</v>
      </c>
      <c r="AR287" s="290">
        <f t="shared" si="367"/>
        <v>1</v>
      </c>
      <c r="AS287" s="290">
        <f t="shared" si="367"/>
        <v>1</v>
      </c>
    </row>
    <row r="288" spans="1:45" ht="15" customHeight="1" x14ac:dyDescent="0.3">
      <c r="A288" s="282"/>
      <c r="B288" s="282"/>
      <c r="E288" s="290" t="s">
        <v>457</v>
      </c>
      <c r="G288" s="290" t="s">
        <v>346</v>
      </c>
      <c r="I288" s="291"/>
      <c r="J288" s="42"/>
      <c r="K288" s="290">
        <f t="shared" ref="K288:O288" si="368">K286 * K287</f>
        <v>0</v>
      </c>
      <c r="L288" s="290">
        <f t="shared" si="368"/>
        <v>0</v>
      </c>
      <c r="M288" s="290">
        <f t="shared" si="368"/>
        <v>0</v>
      </c>
      <c r="N288" s="290">
        <f t="shared" si="368"/>
        <v>0</v>
      </c>
      <c r="O288" s="290">
        <f t="shared" si="368"/>
        <v>0</v>
      </c>
      <c r="P288" s="290">
        <f t="shared" ref="P288:R288" si="369">P286 * P287</f>
        <v>0</v>
      </c>
      <c r="Q288" s="290">
        <f t="shared" si="369"/>
        <v>0</v>
      </c>
      <c r="R288" s="290">
        <f t="shared" si="369"/>
        <v>0</v>
      </c>
      <c r="S288" s="290">
        <f t="shared" ref="S288:AP288" si="370">S286 * S287</f>
        <v>0</v>
      </c>
      <c r="T288" s="290">
        <f t="shared" si="370"/>
        <v>0</v>
      </c>
      <c r="U288" s="290">
        <f t="shared" si="370"/>
        <v>0</v>
      </c>
      <c r="V288" s="290">
        <f t="shared" si="370"/>
        <v>0</v>
      </c>
      <c r="W288" s="290">
        <f t="shared" si="370"/>
        <v>111.33372773000001</v>
      </c>
      <c r="X288" s="290">
        <f t="shared" si="370"/>
        <v>148.28970892000001</v>
      </c>
      <c r="Y288" s="290">
        <f t="shared" si="370"/>
        <v>4.7877627</v>
      </c>
      <c r="Z288" s="290">
        <f t="shared" si="370"/>
        <v>81.812290399999995</v>
      </c>
      <c r="AA288" s="290">
        <f t="shared" si="370"/>
        <v>100.30613584</v>
      </c>
      <c r="AB288" s="290">
        <f t="shared" si="370"/>
        <v>99.765600000000006</v>
      </c>
      <c r="AC288" s="290">
        <f t="shared" si="370"/>
        <v>33.398499999999999</v>
      </c>
      <c r="AD288" s="290">
        <f t="shared" si="370"/>
        <v>0</v>
      </c>
      <c r="AE288" s="290">
        <f t="shared" si="370"/>
        <v>0</v>
      </c>
      <c r="AF288" s="290">
        <f t="shared" si="370"/>
        <v>0</v>
      </c>
      <c r="AG288" s="290">
        <f t="shared" si="370"/>
        <v>0</v>
      </c>
      <c r="AH288" s="290">
        <f t="shared" si="370"/>
        <v>0</v>
      </c>
      <c r="AI288" s="290">
        <f t="shared" si="370"/>
        <v>0</v>
      </c>
      <c r="AJ288" s="290">
        <f t="shared" si="370"/>
        <v>0</v>
      </c>
      <c r="AK288" s="290">
        <f t="shared" si="370"/>
        <v>0</v>
      </c>
      <c r="AL288" s="290">
        <f t="shared" si="370"/>
        <v>0</v>
      </c>
      <c r="AM288" s="290">
        <f t="shared" si="370"/>
        <v>0</v>
      </c>
      <c r="AN288" s="290">
        <f t="shared" si="370"/>
        <v>0</v>
      </c>
      <c r="AO288" s="290">
        <f t="shared" si="370"/>
        <v>0</v>
      </c>
      <c r="AP288" s="290">
        <f t="shared" si="370"/>
        <v>0</v>
      </c>
      <c r="AQ288" s="290">
        <f t="shared" ref="AQ288:AS288" si="371">AQ286 * AQ287</f>
        <v>0</v>
      </c>
      <c r="AR288" s="290">
        <f t="shared" si="371"/>
        <v>0</v>
      </c>
      <c r="AS288" s="290">
        <f t="shared" si="371"/>
        <v>0</v>
      </c>
    </row>
    <row r="289" spans="1:45" ht="15" customHeight="1" x14ac:dyDescent="0.3">
      <c r="A289" s="282"/>
      <c r="B289" s="282"/>
      <c r="I289" s="291"/>
      <c r="J289" s="42"/>
      <c r="AL289" s="290"/>
      <c r="AM289" s="290"/>
      <c r="AN289" s="290"/>
      <c r="AO289" s="290"/>
      <c r="AP289" s="290"/>
      <c r="AQ289" s="290"/>
      <c r="AR289" s="290"/>
      <c r="AS289" s="290"/>
    </row>
    <row r="290" spans="1:45" ht="15" customHeight="1" x14ac:dyDescent="0.3">
      <c r="A290" s="282"/>
      <c r="B290" s="282"/>
      <c r="E290" s="290" t="s">
        <v>217</v>
      </c>
      <c r="F290" s="344">
        <v>10</v>
      </c>
      <c r="G290" s="290" t="s">
        <v>124</v>
      </c>
      <c r="H290" s="104"/>
      <c r="I290" s="104"/>
      <c r="J290" s="42"/>
      <c r="AL290" s="290"/>
      <c r="AM290" s="290"/>
      <c r="AN290" s="290"/>
      <c r="AO290" s="290"/>
      <c r="AP290" s="290"/>
      <c r="AQ290" s="290"/>
      <c r="AR290" s="290"/>
      <c r="AS290" s="290"/>
    </row>
    <row r="291" spans="1:45" ht="15" customHeight="1" x14ac:dyDescent="0.3">
      <c r="A291" s="282"/>
      <c r="B291" s="282"/>
      <c r="I291" s="291"/>
      <c r="J291" s="42"/>
      <c r="AL291" s="290"/>
      <c r="AM291" s="290"/>
      <c r="AN291" s="290"/>
      <c r="AO291" s="290"/>
      <c r="AP291" s="290"/>
      <c r="AQ291" s="290"/>
      <c r="AR291" s="290"/>
      <c r="AS291" s="290"/>
    </row>
    <row r="292" spans="1:45" ht="15" customHeight="1" x14ac:dyDescent="0.3">
      <c r="A292" s="282"/>
      <c r="B292" s="282"/>
      <c r="E292" s="290" t="s">
        <v>28</v>
      </c>
      <c r="I292" s="291"/>
      <c r="J292" s="42"/>
      <c r="K292" s="290">
        <f t="shared" ref="K292:AS292" si="372">K2</f>
        <v>2006</v>
      </c>
      <c r="L292" s="290">
        <f t="shared" si="372"/>
        <v>2007</v>
      </c>
      <c r="M292" s="290">
        <f t="shared" si="372"/>
        <v>2008</v>
      </c>
      <c r="N292" s="290">
        <f t="shared" si="372"/>
        <v>2009</v>
      </c>
      <c r="O292" s="290">
        <f t="shared" si="372"/>
        <v>2010</v>
      </c>
      <c r="P292" s="290">
        <f t="shared" si="372"/>
        <v>2011</v>
      </c>
      <c r="Q292" s="290">
        <f t="shared" si="372"/>
        <v>2012</v>
      </c>
      <c r="R292" s="290">
        <f t="shared" si="372"/>
        <v>2013</v>
      </c>
      <c r="S292" s="290">
        <f t="shared" si="372"/>
        <v>2014</v>
      </c>
      <c r="T292" s="290">
        <f t="shared" si="372"/>
        <v>2015</v>
      </c>
      <c r="U292" s="290">
        <f t="shared" si="372"/>
        <v>2016</v>
      </c>
      <c r="V292" s="290">
        <f t="shared" si="372"/>
        <v>2017</v>
      </c>
      <c r="W292" s="290">
        <f t="shared" si="372"/>
        <v>2018</v>
      </c>
      <c r="X292" s="290">
        <f t="shared" si="372"/>
        <v>2019</v>
      </c>
      <c r="Y292" s="290">
        <f t="shared" si="372"/>
        <v>2020</v>
      </c>
      <c r="Z292" s="290">
        <f t="shared" si="372"/>
        <v>2021</v>
      </c>
      <c r="AA292" s="290">
        <f t="shared" si="372"/>
        <v>2022</v>
      </c>
      <c r="AB292" s="290">
        <f t="shared" si="372"/>
        <v>2023</v>
      </c>
      <c r="AC292" s="290">
        <f t="shared" si="372"/>
        <v>2024</v>
      </c>
      <c r="AD292" s="290">
        <f t="shared" si="372"/>
        <v>2025</v>
      </c>
      <c r="AE292" s="290">
        <f t="shared" si="372"/>
        <v>2026</v>
      </c>
      <c r="AF292" s="290">
        <f t="shared" si="372"/>
        <v>2027</v>
      </c>
      <c r="AG292" s="290">
        <f t="shared" si="372"/>
        <v>2028</v>
      </c>
      <c r="AH292" s="290">
        <f t="shared" si="372"/>
        <v>2029</v>
      </c>
      <c r="AI292" s="290">
        <f t="shared" si="372"/>
        <v>2030</v>
      </c>
      <c r="AJ292" s="290">
        <f t="shared" si="372"/>
        <v>2031</v>
      </c>
      <c r="AK292" s="290">
        <f t="shared" si="372"/>
        <v>2032</v>
      </c>
      <c r="AL292" s="290">
        <f t="shared" si="372"/>
        <v>2033</v>
      </c>
      <c r="AM292" s="290">
        <f t="shared" si="372"/>
        <v>2034</v>
      </c>
      <c r="AN292" s="290">
        <f t="shared" si="372"/>
        <v>2035</v>
      </c>
      <c r="AO292" s="290">
        <f t="shared" si="372"/>
        <v>2036</v>
      </c>
      <c r="AP292" s="290">
        <f t="shared" si="372"/>
        <v>2037</v>
      </c>
      <c r="AQ292" s="290">
        <f t="shared" si="372"/>
        <v>2038</v>
      </c>
      <c r="AR292" s="290">
        <f t="shared" si="372"/>
        <v>2039</v>
      </c>
      <c r="AS292" s="290">
        <f t="shared" si="372"/>
        <v>2040</v>
      </c>
    </row>
    <row r="293" spans="1:45" ht="15" customHeight="1" x14ac:dyDescent="0.3">
      <c r="A293" s="282"/>
      <c r="B293" s="282"/>
      <c r="I293" s="291"/>
      <c r="J293" s="42"/>
      <c r="AL293" s="290"/>
      <c r="AM293" s="290"/>
      <c r="AN293" s="290"/>
      <c r="AO293" s="290"/>
      <c r="AP293" s="290"/>
      <c r="AQ293" s="290"/>
      <c r="AR293" s="290"/>
      <c r="AS293" s="290"/>
    </row>
    <row r="294" spans="1:45" ht="14.4" x14ac:dyDescent="0.3">
      <c r="A294"/>
      <c r="B294"/>
      <c r="C294" s="346"/>
      <c r="D294" s="346"/>
      <c r="E294" s="346" t="s">
        <v>218</v>
      </c>
      <c r="F294" s="346"/>
      <c r="G294" s="346" t="s">
        <v>346</v>
      </c>
      <c r="H294" s="346"/>
      <c r="I294" s="346"/>
      <c r="J294" s="42"/>
      <c r="K294" s="346">
        <f>J297</f>
        <v>0</v>
      </c>
      <c r="L294" s="346">
        <f t="shared" ref="L294:AS294" si="373">K297</f>
        <v>0</v>
      </c>
      <c r="M294" s="346">
        <f t="shared" si="373"/>
        <v>0</v>
      </c>
      <c r="N294" s="346">
        <f t="shared" si="373"/>
        <v>0</v>
      </c>
      <c r="O294" s="346">
        <f t="shared" si="373"/>
        <v>0</v>
      </c>
      <c r="P294" s="346">
        <f t="shared" si="373"/>
        <v>0</v>
      </c>
      <c r="Q294" s="346">
        <f t="shared" si="373"/>
        <v>0</v>
      </c>
      <c r="R294" s="346">
        <f t="shared" si="373"/>
        <v>0</v>
      </c>
      <c r="S294" s="346">
        <f t="shared" si="373"/>
        <v>0</v>
      </c>
      <c r="T294" s="346">
        <f t="shared" si="373"/>
        <v>0</v>
      </c>
      <c r="U294" s="346">
        <f t="shared" si="373"/>
        <v>0</v>
      </c>
      <c r="V294" s="346">
        <f t="shared" si="373"/>
        <v>0</v>
      </c>
      <c r="W294" s="346">
        <f t="shared" si="373"/>
        <v>0</v>
      </c>
      <c r="X294" s="346">
        <f t="shared" si="373"/>
        <v>111.33372773000001</v>
      </c>
      <c r="Y294" s="346">
        <f t="shared" si="373"/>
        <v>259.62343665000003</v>
      </c>
      <c r="Z294" s="346">
        <f t="shared" si="373"/>
        <v>264.41119935</v>
      </c>
      <c r="AA294" s="346">
        <f t="shared" si="373"/>
        <v>346.22348975</v>
      </c>
      <c r="AB294" s="346">
        <f t="shared" si="373"/>
        <v>446.52962559000002</v>
      </c>
      <c r="AC294" s="346">
        <f t="shared" si="373"/>
        <v>546.29522558999997</v>
      </c>
      <c r="AD294" s="346">
        <f t="shared" si="373"/>
        <v>579.69372558999999</v>
      </c>
      <c r="AE294" s="346">
        <f t="shared" si="373"/>
        <v>579.69372558999999</v>
      </c>
      <c r="AF294" s="346">
        <f t="shared" si="373"/>
        <v>579.69372558999999</v>
      </c>
      <c r="AG294" s="346">
        <f t="shared" si="373"/>
        <v>579.69372558999999</v>
      </c>
      <c r="AH294" s="346">
        <f t="shared" si="373"/>
        <v>468.35999785999996</v>
      </c>
      <c r="AI294" s="346">
        <f t="shared" si="373"/>
        <v>320.07028893999995</v>
      </c>
      <c r="AJ294" s="346">
        <f t="shared" si="373"/>
        <v>315.28252623999998</v>
      </c>
      <c r="AK294" s="346">
        <f t="shared" si="373"/>
        <v>233.47023583999999</v>
      </c>
      <c r="AL294" s="346">
        <f t="shared" si="373"/>
        <v>133.16409999999999</v>
      </c>
      <c r="AM294" s="346">
        <f t="shared" si="373"/>
        <v>33.398499999999984</v>
      </c>
      <c r="AN294" s="346">
        <f t="shared" si="373"/>
        <v>0</v>
      </c>
      <c r="AO294" s="346">
        <f t="shared" si="373"/>
        <v>0</v>
      </c>
      <c r="AP294" s="346">
        <f t="shared" si="373"/>
        <v>0</v>
      </c>
      <c r="AQ294" s="346">
        <f t="shared" si="373"/>
        <v>0</v>
      </c>
      <c r="AR294" s="346">
        <f t="shared" si="373"/>
        <v>0</v>
      </c>
      <c r="AS294" s="346">
        <f t="shared" si="373"/>
        <v>0</v>
      </c>
    </row>
    <row r="295" spans="1:45" ht="14.4" x14ac:dyDescent="0.3">
      <c r="A295"/>
      <c r="B295"/>
      <c r="C295" s="290"/>
      <c r="E295" s="290" t="s">
        <v>219</v>
      </c>
      <c r="G295" s="290" t="s">
        <v>346</v>
      </c>
      <c r="H295" s="290"/>
      <c r="J295" s="42"/>
      <c r="K295" s="290">
        <f t="shared" ref="K295:O295" si="374">K288</f>
        <v>0</v>
      </c>
      <c r="L295" s="290">
        <f t="shared" si="374"/>
        <v>0</v>
      </c>
      <c r="M295" s="290">
        <f t="shared" si="374"/>
        <v>0</v>
      </c>
      <c r="N295" s="290">
        <f t="shared" si="374"/>
        <v>0</v>
      </c>
      <c r="O295" s="290">
        <f t="shared" si="374"/>
        <v>0</v>
      </c>
      <c r="P295" s="290">
        <f t="shared" ref="P295:R295" si="375">P288</f>
        <v>0</v>
      </c>
      <c r="Q295" s="290">
        <f t="shared" si="375"/>
        <v>0</v>
      </c>
      <c r="R295" s="290">
        <f t="shared" si="375"/>
        <v>0</v>
      </c>
      <c r="S295" s="290">
        <f t="shared" ref="S295:AP295" si="376">S288</f>
        <v>0</v>
      </c>
      <c r="T295" s="290">
        <f t="shared" si="376"/>
        <v>0</v>
      </c>
      <c r="U295" s="290">
        <f t="shared" si="376"/>
        <v>0</v>
      </c>
      <c r="V295" s="290">
        <f t="shared" si="376"/>
        <v>0</v>
      </c>
      <c r="W295" s="290">
        <f t="shared" si="376"/>
        <v>111.33372773000001</v>
      </c>
      <c r="X295" s="290">
        <f t="shared" si="376"/>
        <v>148.28970892000001</v>
      </c>
      <c r="Y295" s="290">
        <f t="shared" si="376"/>
        <v>4.7877627</v>
      </c>
      <c r="Z295" s="290">
        <f t="shared" si="376"/>
        <v>81.812290399999995</v>
      </c>
      <c r="AA295" s="290">
        <f t="shared" si="376"/>
        <v>100.30613584</v>
      </c>
      <c r="AB295" s="290">
        <f t="shared" si="376"/>
        <v>99.765600000000006</v>
      </c>
      <c r="AC295" s="290">
        <f t="shared" si="376"/>
        <v>33.398499999999999</v>
      </c>
      <c r="AD295" s="290">
        <f t="shared" si="376"/>
        <v>0</v>
      </c>
      <c r="AE295" s="290">
        <f t="shared" si="376"/>
        <v>0</v>
      </c>
      <c r="AF295" s="290">
        <f t="shared" si="376"/>
        <v>0</v>
      </c>
      <c r="AG295" s="290">
        <f t="shared" si="376"/>
        <v>0</v>
      </c>
      <c r="AH295" s="290">
        <f t="shared" si="376"/>
        <v>0</v>
      </c>
      <c r="AI295" s="290">
        <f t="shared" si="376"/>
        <v>0</v>
      </c>
      <c r="AJ295" s="290">
        <f t="shared" si="376"/>
        <v>0</v>
      </c>
      <c r="AK295" s="290">
        <f t="shared" si="376"/>
        <v>0</v>
      </c>
      <c r="AL295" s="290">
        <f t="shared" si="376"/>
        <v>0</v>
      </c>
      <c r="AM295" s="290">
        <f t="shared" si="376"/>
        <v>0</v>
      </c>
      <c r="AN295" s="290">
        <f t="shared" si="376"/>
        <v>0</v>
      </c>
      <c r="AO295" s="290">
        <f t="shared" si="376"/>
        <v>0</v>
      </c>
      <c r="AP295" s="290">
        <f t="shared" si="376"/>
        <v>0</v>
      </c>
      <c r="AQ295" s="290">
        <f t="shared" ref="AQ295:AS295" si="377">AQ288</f>
        <v>0</v>
      </c>
      <c r="AR295" s="290">
        <f t="shared" si="377"/>
        <v>0</v>
      </c>
      <c r="AS295" s="290">
        <f t="shared" si="377"/>
        <v>0</v>
      </c>
    </row>
    <row r="296" spans="1:45" ht="14.4" x14ac:dyDescent="0.3">
      <c r="A296"/>
      <c r="B296"/>
      <c r="C296" s="290"/>
      <c r="E296" s="290" t="s">
        <v>220</v>
      </c>
      <c r="G296" s="290" t="s">
        <v>346</v>
      </c>
      <c r="H296" s="290"/>
      <c r="J296" s="42"/>
      <c r="K296" s="312">
        <f>SUMIFS($W295:$AS295, $W292:$AS292, K292 - $F290)</f>
        <v>0</v>
      </c>
      <c r="L296" s="312">
        <f t="shared" ref="L296:S296" si="378">SUMIFS($W295:$AS295, $W292:$AS292, L292 - $F290)</f>
        <v>0</v>
      </c>
      <c r="M296" s="312">
        <f t="shared" si="378"/>
        <v>0</v>
      </c>
      <c r="N296" s="312">
        <f t="shared" si="378"/>
        <v>0</v>
      </c>
      <c r="O296" s="312">
        <f t="shared" si="378"/>
        <v>0</v>
      </c>
      <c r="P296" s="312">
        <f t="shared" si="378"/>
        <v>0</v>
      </c>
      <c r="Q296" s="312">
        <f t="shared" si="378"/>
        <v>0</v>
      </c>
      <c r="R296" s="312">
        <f t="shared" si="378"/>
        <v>0</v>
      </c>
      <c r="S296" s="312">
        <f t="shared" si="378"/>
        <v>0</v>
      </c>
      <c r="T296" s="312">
        <f t="shared" ref="T296:AS296" si="379">SUMIFS($W295:$AS295, $W292:$AS292, T292 - $F290)</f>
        <v>0</v>
      </c>
      <c r="U296" s="312">
        <f t="shared" si="379"/>
        <v>0</v>
      </c>
      <c r="V296" s="312">
        <f t="shared" si="379"/>
        <v>0</v>
      </c>
      <c r="W296" s="312">
        <f t="shared" si="379"/>
        <v>0</v>
      </c>
      <c r="X296" s="312">
        <f t="shared" si="379"/>
        <v>0</v>
      </c>
      <c r="Y296" s="312">
        <f t="shared" si="379"/>
        <v>0</v>
      </c>
      <c r="Z296" s="312">
        <f t="shared" si="379"/>
        <v>0</v>
      </c>
      <c r="AA296" s="312">
        <f t="shared" si="379"/>
        <v>0</v>
      </c>
      <c r="AB296" s="312">
        <f t="shared" si="379"/>
        <v>0</v>
      </c>
      <c r="AC296" s="312">
        <f t="shared" si="379"/>
        <v>0</v>
      </c>
      <c r="AD296" s="312">
        <f t="shared" si="379"/>
        <v>0</v>
      </c>
      <c r="AE296" s="312">
        <f t="shared" si="379"/>
        <v>0</v>
      </c>
      <c r="AF296" s="312">
        <f t="shared" si="379"/>
        <v>0</v>
      </c>
      <c r="AG296" s="312">
        <f t="shared" si="379"/>
        <v>111.33372773000001</v>
      </c>
      <c r="AH296" s="312">
        <f t="shared" si="379"/>
        <v>148.28970892000001</v>
      </c>
      <c r="AI296" s="312">
        <f t="shared" si="379"/>
        <v>4.7877627</v>
      </c>
      <c r="AJ296" s="312">
        <f t="shared" si="379"/>
        <v>81.812290399999995</v>
      </c>
      <c r="AK296" s="312">
        <f t="shared" si="379"/>
        <v>100.30613584</v>
      </c>
      <c r="AL296" s="312">
        <f t="shared" si="379"/>
        <v>99.765600000000006</v>
      </c>
      <c r="AM296" s="312">
        <f t="shared" si="379"/>
        <v>33.398499999999999</v>
      </c>
      <c r="AN296" s="312">
        <f t="shared" si="379"/>
        <v>0</v>
      </c>
      <c r="AO296" s="312">
        <f t="shared" si="379"/>
        <v>0</v>
      </c>
      <c r="AP296" s="312">
        <f t="shared" si="379"/>
        <v>0</v>
      </c>
      <c r="AQ296" s="312">
        <f t="shared" si="379"/>
        <v>0</v>
      </c>
      <c r="AR296" s="312">
        <f t="shared" si="379"/>
        <v>0</v>
      </c>
      <c r="AS296" s="312">
        <f t="shared" si="379"/>
        <v>0</v>
      </c>
    </row>
    <row r="297" spans="1:45" ht="14.4" x14ac:dyDescent="0.3">
      <c r="A297"/>
      <c r="B297"/>
      <c r="C297" s="351"/>
      <c r="D297" s="351"/>
      <c r="E297" s="351" t="s">
        <v>221</v>
      </c>
      <c r="F297" s="351"/>
      <c r="G297" s="351" t="s">
        <v>346</v>
      </c>
      <c r="H297" s="351"/>
      <c r="I297" s="351"/>
      <c r="J297" s="42"/>
      <c r="K297" s="351">
        <f t="shared" ref="K297:O297" si="380">K294 + K295 -K296</f>
        <v>0</v>
      </c>
      <c r="L297" s="351">
        <f t="shared" si="380"/>
        <v>0</v>
      </c>
      <c r="M297" s="351">
        <f t="shared" si="380"/>
        <v>0</v>
      </c>
      <c r="N297" s="351">
        <f t="shared" si="380"/>
        <v>0</v>
      </c>
      <c r="O297" s="351">
        <f t="shared" si="380"/>
        <v>0</v>
      </c>
      <c r="P297" s="351">
        <f t="shared" ref="P297:R297" si="381">P294 + P295 -P296</f>
        <v>0</v>
      </c>
      <c r="Q297" s="351">
        <f t="shared" si="381"/>
        <v>0</v>
      </c>
      <c r="R297" s="351">
        <f t="shared" si="381"/>
        <v>0</v>
      </c>
      <c r="S297" s="351">
        <f t="shared" ref="S297:AP297" si="382">S294 + S295 -S296</f>
        <v>0</v>
      </c>
      <c r="T297" s="351">
        <f t="shared" si="382"/>
        <v>0</v>
      </c>
      <c r="U297" s="351">
        <f t="shared" si="382"/>
        <v>0</v>
      </c>
      <c r="V297" s="351">
        <f t="shared" si="382"/>
        <v>0</v>
      </c>
      <c r="W297" s="351">
        <f t="shared" si="382"/>
        <v>111.33372773000001</v>
      </c>
      <c r="X297" s="351">
        <f t="shared" si="382"/>
        <v>259.62343665000003</v>
      </c>
      <c r="Y297" s="351">
        <f t="shared" si="382"/>
        <v>264.41119935</v>
      </c>
      <c r="Z297" s="351">
        <f t="shared" si="382"/>
        <v>346.22348975</v>
      </c>
      <c r="AA297" s="351">
        <f t="shared" si="382"/>
        <v>446.52962559000002</v>
      </c>
      <c r="AB297" s="351">
        <f t="shared" si="382"/>
        <v>546.29522558999997</v>
      </c>
      <c r="AC297" s="351">
        <f t="shared" si="382"/>
        <v>579.69372558999999</v>
      </c>
      <c r="AD297" s="351">
        <f t="shared" si="382"/>
        <v>579.69372558999999</v>
      </c>
      <c r="AE297" s="351">
        <f t="shared" si="382"/>
        <v>579.69372558999999</v>
      </c>
      <c r="AF297" s="351">
        <f t="shared" si="382"/>
        <v>579.69372558999999</v>
      </c>
      <c r="AG297" s="351">
        <f t="shared" si="382"/>
        <v>468.35999785999996</v>
      </c>
      <c r="AH297" s="351">
        <f t="shared" si="382"/>
        <v>320.07028893999995</v>
      </c>
      <c r="AI297" s="351">
        <f t="shared" si="382"/>
        <v>315.28252623999998</v>
      </c>
      <c r="AJ297" s="351">
        <f t="shared" si="382"/>
        <v>233.47023583999999</v>
      </c>
      <c r="AK297" s="351">
        <f t="shared" si="382"/>
        <v>133.16409999999999</v>
      </c>
      <c r="AL297" s="351">
        <f t="shared" si="382"/>
        <v>33.398499999999984</v>
      </c>
      <c r="AM297" s="351">
        <f t="shared" si="382"/>
        <v>0</v>
      </c>
      <c r="AN297" s="351">
        <f t="shared" si="382"/>
        <v>0</v>
      </c>
      <c r="AO297" s="351">
        <f t="shared" si="382"/>
        <v>0</v>
      </c>
      <c r="AP297" s="351">
        <f t="shared" si="382"/>
        <v>0</v>
      </c>
      <c r="AQ297" s="351">
        <f t="shared" ref="AQ297:AS297" si="383">AQ294 + AQ295 -AQ296</f>
        <v>0</v>
      </c>
      <c r="AR297" s="351">
        <f t="shared" si="383"/>
        <v>0</v>
      </c>
      <c r="AS297" s="351">
        <f t="shared" si="383"/>
        <v>0</v>
      </c>
    </row>
    <row r="298" spans="1:45" ht="15" customHeight="1" x14ac:dyDescent="0.3">
      <c r="I298" s="291"/>
      <c r="J298" s="42"/>
      <c r="AL298" s="290"/>
      <c r="AM298" s="290"/>
      <c r="AN298" s="290"/>
      <c r="AO298" s="290"/>
      <c r="AP298" s="290"/>
      <c r="AQ298" s="290"/>
      <c r="AR298" s="290"/>
      <c r="AS298" s="290"/>
    </row>
    <row r="299" spans="1:45" ht="14.4" x14ac:dyDescent="0.3">
      <c r="A299" s="88"/>
      <c r="B299" s="88"/>
      <c r="C299" s="168"/>
      <c r="D299" s="168"/>
      <c r="E299" s="168" t="s">
        <v>222</v>
      </c>
      <c r="F299" s="168"/>
      <c r="G299" s="312" t="s">
        <v>346</v>
      </c>
      <c r="H299" s="168"/>
      <c r="I299" s="168">
        <f>SUM(K299:AS299)</f>
        <v>579.69372558999999</v>
      </c>
      <c r="J299" s="42"/>
      <c r="K299" s="168">
        <f t="shared" ref="K299:O299" si="384" xml:space="preserve"> IFERROR(K297 / $F290, 0)</f>
        <v>0</v>
      </c>
      <c r="L299" s="168">
        <f t="shared" si="384"/>
        <v>0</v>
      </c>
      <c r="M299" s="168">
        <f t="shared" si="384"/>
        <v>0</v>
      </c>
      <c r="N299" s="168">
        <f t="shared" si="384"/>
        <v>0</v>
      </c>
      <c r="O299" s="168">
        <f t="shared" si="384"/>
        <v>0</v>
      </c>
      <c r="P299" s="168">
        <f t="shared" ref="P299:AS299" si="385" xml:space="preserve"> IFERROR(P297 / $F290, 0)</f>
        <v>0</v>
      </c>
      <c r="Q299" s="168">
        <f t="shared" si="385"/>
        <v>0</v>
      </c>
      <c r="R299" s="168">
        <f t="shared" si="385"/>
        <v>0</v>
      </c>
      <c r="S299" s="168">
        <f t="shared" si="385"/>
        <v>0</v>
      </c>
      <c r="T299" s="168">
        <f t="shared" si="385"/>
        <v>0</v>
      </c>
      <c r="U299" s="168">
        <f t="shared" si="385"/>
        <v>0</v>
      </c>
      <c r="V299" s="168">
        <f t="shared" si="385"/>
        <v>0</v>
      </c>
      <c r="W299" s="168">
        <f t="shared" si="385"/>
        <v>11.133372773000001</v>
      </c>
      <c r="X299" s="168">
        <f t="shared" si="385"/>
        <v>25.962343665000002</v>
      </c>
      <c r="Y299" s="168">
        <f t="shared" si="385"/>
        <v>26.441119935</v>
      </c>
      <c r="Z299" s="168">
        <f t="shared" si="385"/>
        <v>34.622348975000001</v>
      </c>
      <c r="AA299" s="168">
        <f t="shared" si="385"/>
        <v>44.652962559000002</v>
      </c>
      <c r="AB299" s="168">
        <f t="shared" si="385"/>
        <v>54.629522558999994</v>
      </c>
      <c r="AC299" s="168">
        <f t="shared" si="385"/>
        <v>57.969372559</v>
      </c>
      <c r="AD299" s="168">
        <f t="shared" si="385"/>
        <v>57.969372559</v>
      </c>
      <c r="AE299" s="168">
        <f t="shared" si="385"/>
        <v>57.969372559</v>
      </c>
      <c r="AF299" s="168">
        <f t="shared" si="385"/>
        <v>57.969372559</v>
      </c>
      <c r="AG299" s="168">
        <f t="shared" si="385"/>
        <v>46.835999785999995</v>
      </c>
      <c r="AH299" s="168">
        <f t="shared" si="385"/>
        <v>32.007028893999994</v>
      </c>
      <c r="AI299" s="168">
        <f t="shared" si="385"/>
        <v>31.528252623999997</v>
      </c>
      <c r="AJ299" s="168">
        <f t="shared" si="385"/>
        <v>23.347023583999999</v>
      </c>
      <c r="AK299" s="168">
        <f t="shared" si="385"/>
        <v>13.316409999999999</v>
      </c>
      <c r="AL299" s="168">
        <f t="shared" si="385"/>
        <v>3.3398499999999984</v>
      </c>
      <c r="AM299" s="168">
        <f t="shared" si="385"/>
        <v>0</v>
      </c>
      <c r="AN299" s="168">
        <f t="shared" si="385"/>
        <v>0</v>
      </c>
      <c r="AO299" s="168">
        <f t="shared" si="385"/>
        <v>0</v>
      </c>
      <c r="AP299" s="168">
        <f t="shared" si="385"/>
        <v>0</v>
      </c>
      <c r="AQ299" s="168">
        <f t="shared" si="385"/>
        <v>0</v>
      </c>
      <c r="AR299" s="168">
        <f t="shared" si="385"/>
        <v>0</v>
      </c>
      <c r="AS299" s="168">
        <f t="shared" si="385"/>
        <v>0</v>
      </c>
    </row>
    <row r="300" spans="1:45" ht="15" customHeight="1" x14ac:dyDescent="0.3">
      <c r="I300" s="291"/>
      <c r="J300" s="42"/>
      <c r="AL300" s="290"/>
      <c r="AM300" s="290"/>
      <c r="AN300" s="290"/>
      <c r="AO300" s="290"/>
      <c r="AP300" s="290"/>
      <c r="AQ300" s="290"/>
      <c r="AR300" s="290"/>
      <c r="AS300" s="290"/>
    </row>
    <row r="301" spans="1:45" ht="15" customHeight="1" x14ac:dyDescent="0.3">
      <c r="E301" s="169" t="str">
        <f xml:space="preserve"> E$283</f>
        <v>Capital allowance 2014-2017</v>
      </c>
      <c r="F301" s="169">
        <f t="shared" ref="F301:I301" si="386" xml:space="preserve"> F$283</f>
        <v>0</v>
      </c>
      <c r="G301" s="169" t="str">
        <f t="shared" si="386"/>
        <v>$ mn</v>
      </c>
      <c r="H301" s="169">
        <f t="shared" si="386"/>
        <v>0</v>
      </c>
      <c r="I301" s="169">
        <f t="shared" si="386"/>
        <v>245.00136889114006</v>
      </c>
      <c r="J301" s="42"/>
      <c r="K301" s="169">
        <f t="shared" ref="K301:O301" si="387" xml:space="preserve"> K$283</f>
        <v>0</v>
      </c>
      <c r="L301" s="169">
        <f t="shared" si="387"/>
        <v>0</v>
      </c>
      <c r="M301" s="169">
        <f t="shared" si="387"/>
        <v>0</v>
      </c>
      <c r="N301" s="169">
        <f t="shared" si="387"/>
        <v>0</v>
      </c>
      <c r="O301" s="169">
        <f t="shared" si="387"/>
        <v>0</v>
      </c>
      <c r="P301" s="169">
        <f t="shared" ref="P301:AS301" si="388" xml:space="preserve"> P$283</f>
        <v>0</v>
      </c>
      <c r="Q301" s="169">
        <f t="shared" si="388"/>
        <v>0</v>
      </c>
      <c r="R301" s="169">
        <f t="shared" si="388"/>
        <v>0</v>
      </c>
      <c r="S301" s="169">
        <f t="shared" si="388"/>
        <v>0</v>
      </c>
      <c r="T301" s="169">
        <f t="shared" si="388"/>
        <v>0</v>
      </c>
      <c r="U301" s="169">
        <f t="shared" si="388"/>
        <v>0</v>
      </c>
      <c r="V301" s="169">
        <f t="shared" si="388"/>
        <v>147.01691600999999</v>
      </c>
      <c r="W301" s="169">
        <f t="shared" si="388"/>
        <v>29.403383202000004</v>
      </c>
      <c r="X301" s="169">
        <f t="shared" si="388"/>
        <v>20.582368241400005</v>
      </c>
      <c r="Y301" s="169">
        <f t="shared" si="388"/>
        <v>14.407657768980004</v>
      </c>
      <c r="Z301" s="169">
        <f t="shared" si="388"/>
        <v>10.085360438286004</v>
      </c>
      <c r="AA301" s="169">
        <f t="shared" si="388"/>
        <v>7.0597523068002035</v>
      </c>
      <c r="AB301" s="169">
        <f t="shared" si="388"/>
        <v>4.9418266147601422</v>
      </c>
      <c r="AC301" s="169">
        <f t="shared" si="388"/>
        <v>3.4592786303320997</v>
      </c>
      <c r="AD301" s="169">
        <f t="shared" si="388"/>
        <v>2.4214950412324696</v>
      </c>
      <c r="AE301" s="169">
        <f t="shared" si="388"/>
        <v>1.6950465288627286</v>
      </c>
      <c r="AF301" s="169">
        <f t="shared" si="388"/>
        <v>1.1865325702039102</v>
      </c>
      <c r="AG301" s="169">
        <f t="shared" si="388"/>
        <v>0.83057279914273707</v>
      </c>
      <c r="AH301" s="169">
        <f t="shared" si="388"/>
        <v>0.58140095939991598</v>
      </c>
      <c r="AI301" s="169">
        <f t="shared" si="388"/>
        <v>0.40698067157994117</v>
      </c>
      <c r="AJ301" s="169">
        <f t="shared" si="388"/>
        <v>0.28488647010595886</v>
      </c>
      <c r="AK301" s="169">
        <f t="shared" si="388"/>
        <v>0.19942052907417121</v>
      </c>
      <c r="AL301" s="169">
        <f t="shared" si="388"/>
        <v>0.13959437035191988</v>
      </c>
      <c r="AM301" s="169">
        <f t="shared" si="388"/>
        <v>9.7716059246343898E-2</v>
      </c>
      <c r="AN301" s="169">
        <f t="shared" si="388"/>
        <v>6.8401241472440727E-2</v>
      </c>
      <c r="AO301" s="169">
        <f t="shared" si="388"/>
        <v>4.7880869030708505E-2</v>
      </c>
      <c r="AP301" s="169">
        <f t="shared" si="388"/>
        <v>3.3516608321495951E-2</v>
      </c>
      <c r="AQ301" s="169">
        <f t="shared" si="388"/>
        <v>2.3461625825047173E-2</v>
      </c>
      <c r="AR301" s="169">
        <f t="shared" si="388"/>
        <v>1.6423138077533022E-2</v>
      </c>
      <c r="AS301" s="169">
        <f t="shared" si="388"/>
        <v>1.1496196654273113E-2</v>
      </c>
    </row>
    <row r="302" spans="1:45" ht="15" customHeight="1" x14ac:dyDescent="0.3">
      <c r="E302" s="169" t="str">
        <f xml:space="preserve"> E$299</f>
        <v>Capital allowance deduction 2018+</v>
      </c>
      <c r="F302" s="169">
        <f t="shared" ref="F302:I302" si="389" xml:space="preserve"> F$299</f>
        <v>0</v>
      </c>
      <c r="G302" s="169" t="str">
        <f t="shared" si="389"/>
        <v>$ mn</v>
      </c>
      <c r="H302" s="169">
        <f t="shared" si="389"/>
        <v>0</v>
      </c>
      <c r="I302" s="169">
        <f t="shared" si="389"/>
        <v>579.69372558999999</v>
      </c>
      <c r="J302" s="42"/>
      <c r="K302" s="169">
        <f t="shared" ref="K302:O302" si="390" xml:space="preserve"> K$299</f>
        <v>0</v>
      </c>
      <c r="L302" s="169">
        <f t="shared" si="390"/>
        <v>0</v>
      </c>
      <c r="M302" s="169">
        <f t="shared" si="390"/>
        <v>0</v>
      </c>
      <c r="N302" s="169">
        <f t="shared" si="390"/>
        <v>0</v>
      </c>
      <c r="O302" s="169">
        <f t="shared" si="390"/>
        <v>0</v>
      </c>
      <c r="P302" s="169">
        <f t="shared" ref="P302:AS302" si="391" xml:space="preserve"> P$299</f>
        <v>0</v>
      </c>
      <c r="Q302" s="169">
        <f t="shared" si="391"/>
        <v>0</v>
      </c>
      <c r="R302" s="169">
        <f t="shared" si="391"/>
        <v>0</v>
      </c>
      <c r="S302" s="169">
        <f t="shared" si="391"/>
        <v>0</v>
      </c>
      <c r="T302" s="169">
        <f t="shared" si="391"/>
        <v>0</v>
      </c>
      <c r="U302" s="169">
        <f t="shared" si="391"/>
        <v>0</v>
      </c>
      <c r="V302" s="169">
        <f t="shared" si="391"/>
        <v>0</v>
      </c>
      <c r="W302" s="169">
        <f t="shared" si="391"/>
        <v>11.133372773000001</v>
      </c>
      <c r="X302" s="169">
        <f t="shared" si="391"/>
        <v>25.962343665000002</v>
      </c>
      <c r="Y302" s="169">
        <f t="shared" si="391"/>
        <v>26.441119935</v>
      </c>
      <c r="Z302" s="169">
        <f t="shared" si="391"/>
        <v>34.622348975000001</v>
      </c>
      <c r="AA302" s="169">
        <f t="shared" si="391"/>
        <v>44.652962559000002</v>
      </c>
      <c r="AB302" s="169">
        <f t="shared" si="391"/>
        <v>54.629522558999994</v>
      </c>
      <c r="AC302" s="169">
        <f t="shared" si="391"/>
        <v>57.969372559</v>
      </c>
      <c r="AD302" s="169">
        <f t="shared" si="391"/>
        <v>57.969372559</v>
      </c>
      <c r="AE302" s="169">
        <f t="shared" si="391"/>
        <v>57.969372559</v>
      </c>
      <c r="AF302" s="169">
        <f t="shared" si="391"/>
        <v>57.969372559</v>
      </c>
      <c r="AG302" s="169">
        <f t="shared" si="391"/>
        <v>46.835999785999995</v>
      </c>
      <c r="AH302" s="169">
        <f t="shared" si="391"/>
        <v>32.007028893999994</v>
      </c>
      <c r="AI302" s="169">
        <f t="shared" si="391"/>
        <v>31.528252623999997</v>
      </c>
      <c r="AJ302" s="169">
        <f t="shared" si="391"/>
        <v>23.347023583999999</v>
      </c>
      <c r="AK302" s="169">
        <f t="shared" si="391"/>
        <v>13.316409999999999</v>
      </c>
      <c r="AL302" s="169">
        <f t="shared" si="391"/>
        <v>3.3398499999999984</v>
      </c>
      <c r="AM302" s="169">
        <f t="shared" si="391"/>
        <v>0</v>
      </c>
      <c r="AN302" s="169">
        <f t="shared" si="391"/>
        <v>0</v>
      </c>
      <c r="AO302" s="169">
        <f t="shared" si="391"/>
        <v>0</v>
      </c>
      <c r="AP302" s="169">
        <f t="shared" si="391"/>
        <v>0</v>
      </c>
      <c r="AQ302" s="169">
        <f t="shared" si="391"/>
        <v>0</v>
      </c>
      <c r="AR302" s="169">
        <f t="shared" si="391"/>
        <v>0</v>
      </c>
      <c r="AS302" s="169">
        <f t="shared" si="391"/>
        <v>0</v>
      </c>
    </row>
    <row r="303" spans="1:45" ht="15" customHeight="1" x14ac:dyDescent="0.3">
      <c r="A303" s="303"/>
      <c r="B303" s="303"/>
      <c r="C303" s="304"/>
      <c r="D303" s="305"/>
      <c r="E303" s="317" t="s">
        <v>458</v>
      </c>
      <c r="F303" s="317"/>
      <c r="G303" s="317" t="s">
        <v>346</v>
      </c>
      <c r="H303" s="317"/>
      <c r="I303" s="317">
        <f>SUM(P303:AS303)</f>
        <v>824.6950944811399</v>
      </c>
      <c r="J303" s="42"/>
      <c r="K303" s="317">
        <f t="shared" ref="K303:O303" si="392">K301 + K302</f>
        <v>0</v>
      </c>
      <c r="L303" s="317">
        <f t="shared" si="392"/>
        <v>0</v>
      </c>
      <c r="M303" s="317">
        <f t="shared" si="392"/>
        <v>0</v>
      </c>
      <c r="N303" s="317">
        <f t="shared" si="392"/>
        <v>0</v>
      </c>
      <c r="O303" s="317">
        <f t="shared" si="392"/>
        <v>0</v>
      </c>
      <c r="P303" s="317">
        <f t="shared" ref="P303:R303" si="393">P301 + P302</f>
        <v>0</v>
      </c>
      <c r="Q303" s="317">
        <f t="shared" si="393"/>
        <v>0</v>
      </c>
      <c r="R303" s="317">
        <f t="shared" si="393"/>
        <v>0</v>
      </c>
      <c r="S303" s="317">
        <f>S301 + S302</f>
        <v>0</v>
      </c>
      <c r="T303" s="317">
        <f t="shared" ref="T303:AP303" si="394">T301 + T302</f>
        <v>0</v>
      </c>
      <c r="U303" s="317">
        <f t="shared" si="394"/>
        <v>0</v>
      </c>
      <c r="V303" s="317">
        <f t="shared" si="394"/>
        <v>147.01691600999999</v>
      </c>
      <c r="W303" s="317">
        <f t="shared" si="394"/>
        <v>40.536755975000005</v>
      </c>
      <c r="X303" s="317">
        <f t="shared" si="394"/>
        <v>46.544711906400011</v>
      </c>
      <c r="Y303" s="317">
        <f t="shared" si="394"/>
        <v>40.848777703980005</v>
      </c>
      <c r="Z303" s="317">
        <f t="shared" si="394"/>
        <v>44.707709413286004</v>
      </c>
      <c r="AA303" s="317">
        <f t="shared" si="394"/>
        <v>51.712714865800208</v>
      </c>
      <c r="AB303" s="317">
        <f t="shared" si="394"/>
        <v>59.57134917376014</v>
      </c>
      <c r="AC303" s="317">
        <f t="shared" si="394"/>
        <v>61.428651189332101</v>
      </c>
      <c r="AD303" s="317">
        <f t="shared" si="394"/>
        <v>60.390867600232468</v>
      </c>
      <c r="AE303" s="317">
        <f t="shared" si="394"/>
        <v>59.664419087862726</v>
      </c>
      <c r="AF303" s="317">
        <f t="shared" si="394"/>
        <v>59.155905129203909</v>
      </c>
      <c r="AG303" s="317">
        <f t="shared" si="394"/>
        <v>47.666572585142731</v>
      </c>
      <c r="AH303" s="317">
        <f t="shared" si="394"/>
        <v>32.588429853399909</v>
      </c>
      <c r="AI303" s="317">
        <f t="shared" si="394"/>
        <v>31.935233295579938</v>
      </c>
      <c r="AJ303" s="317">
        <f t="shared" si="394"/>
        <v>23.631910054105958</v>
      </c>
      <c r="AK303" s="317">
        <f t="shared" si="394"/>
        <v>13.51583052907417</v>
      </c>
      <c r="AL303" s="317">
        <f t="shared" si="394"/>
        <v>3.4794443703519184</v>
      </c>
      <c r="AM303" s="317">
        <f t="shared" si="394"/>
        <v>9.7716059246343898E-2</v>
      </c>
      <c r="AN303" s="317">
        <f t="shared" si="394"/>
        <v>6.8401241472440727E-2</v>
      </c>
      <c r="AO303" s="317">
        <f t="shared" si="394"/>
        <v>4.7880869030708505E-2</v>
      </c>
      <c r="AP303" s="317">
        <f t="shared" si="394"/>
        <v>3.3516608321495951E-2</v>
      </c>
      <c r="AQ303" s="317">
        <f t="shared" ref="AQ303:AS303" si="395">AQ301 + AQ302</f>
        <v>2.3461625825047173E-2</v>
      </c>
      <c r="AR303" s="317">
        <f t="shared" si="395"/>
        <v>1.6423138077533022E-2</v>
      </c>
      <c r="AS303" s="317">
        <f t="shared" si="395"/>
        <v>1.1496196654273113E-2</v>
      </c>
    </row>
    <row r="304" spans="1:45" ht="15" customHeight="1" x14ac:dyDescent="0.3">
      <c r="I304" s="291"/>
      <c r="J304" s="42"/>
      <c r="AL304" s="290"/>
      <c r="AM304" s="290"/>
      <c r="AN304" s="290"/>
      <c r="AO304" s="290"/>
      <c r="AP304" s="290"/>
      <c r="AQ304" s="290"/>
      <c r="AR304" s="290"/>
      <c r="AS304" s="290"/>
    </row>
    <row r="305" spans="1:45" ht="15" customHeight="1" x14ac:dyDescent="0.3">
      <c r="C305" s="289" t="s">
        <v>459</v>
      </c>
      <c r="I305" s="291"/>
      <c r="J305" s="42"/>
      <c r="AL305" s="290"/>
      <c r="AM305" s="290"/>
      <c r="AN305" s="290"/>
      <c r="AO305" s="290"/>
      <c r="AP305" s="290"/>
      <c r="AQ305" s="290"/>
      <c r="AR305" s="290"/>
      <c r="AS305" s="290"/>
    </row>
    <row r="306" spans="1:45" ht="15" customHeight="1" x14ac:dyDescent="0.3">
      <c r="A306" s="143"/>
      <c r="B306" s="143"/>
      <c r="E306" s="362" t="str">
        <f xml:space="preserve"> 'Inputs_ FS'!E$50</f>
        <v>Depreciation and amortisation</v>
      </c>
      <c r="F306" s="362">
        <f xml:space="preserve"> 'Inputs_ FS'!F$50</f>
        <v>776.39499999999998</v>
      </c>
      <c r="G306" s="362" t="str">
        <f xml:space="preserve"> 'Inputs_ FS'!G$50</f>
        <v>$ mn</v>
      </c>
      <c r="H306" s="362" t="str">
        <f xml:space="preserve"> 'Inputs_ FS'!H$50</f>
        <v>M</v>
      </c>
      <c r="I306" s="362">
        <f xml:space="preserve"> 'Inputs_ FS'!I$50</f>
        <v>359.27599999999995</v>
      </c>
      <c r="J306" s="362">
        <f xml:space="preserve"> 'Inputs_ FS'!J$50</f>
        <v>0</v>
      </c>
      <c r="K306" s="362">
        <f xml:space="preserve"> 'Inputs_ FS'!K$50</f>
        <v>0</v>
      </c>
      <c r="L306" s="362">
        <f xml:space="preserve"> 'Inputs_ FS'!L$50</f>
        <v>0</v>
      </c>
      <c r="M306" s="362">
        <f xml:space="preserve"> 'Inputs_ FS'!M$50</f>
        <v>0</v>
      </c>
      <c r="N306" s="362">
        <f xml:space="preserve"> 'Inputs_ FS'!N$50</f>
        <v>0</v>
      </c>
      <c r="O306" s="362">
        <f xml:space="preserve"> 'Inputs_ FS'!O$50</f>
        <v>0</v>
      </c>
      <c r="P306" s="362">
        <f xml:space="preserve"> 'Inputs_ FS'!P$50</f>
        <v>0</v>
      </c>
      <c r="Q306" s="362">
        <f xml:space="preserve"> 'Inputs_ FS'!Q$50</f>
        <v>0</v>
      </c>
      <c r="R306" s="362">
        <f xml:space="preserve"> 'Inputs_ FS'!R$50</f>
        <v>0</v>
      </c>
      <c r="S306" s="362">
        <f xml:space="preserve"> 'Inputs_ FS'!S$50</f>
        <v>0</v>
      </c>
      <c r="T306" s="362">
        <f xml:space="preserve"> 'Inputs_ FS'!T$50</f>
        <v>0</v>
      </c>
      <c r="U306" s="362">
        <f xml:space="preserve"> 'Inputs_ FS'!U$50</f>
        <v>0</v>
      </c>
      <c r="V306" s="362">
        <f xml:space="preserve"> 'Inputs_ FS'!V$50</f>
        <v>15.738</v>
      </c>
      <c r="W306" s="362">
        <f xml:space="preserve"> 'Inputs_ FS'!W$50</f>
        <v>24.262</v>
      </c>
      <c r="X306" s="362">
        <f xml:space="preserve"> 'Inputs_ FS'!X$50</f>
        <v>15.31</v>
      </c>
      <c r="Y306" s="362">
        <f xml:space="preserve"> 'Inputs_ FS'!Y$50</f>
        <v>57.999000000000002</v>
      </c>
      <c r="Z306" s="362">
        <f xml:space="preserve"> 'Inputs_ FS'!Z$50</f>
        <v>61.484000000000002</v>
      </c>
      <c r="AA306" s="362">
        <f xml:space="preserve"> 'Inputs_ FS'!AA$50</f>
        <v>59.591999999999999</v>
      </c>
      <c r="AB306" s="362">
        <f xml:space="preserve"> 'Inputs_ FS'!AB$50</f>
        <v>72.381</v>
      </c>
      <c r="AC306" s="362">
        <f xml:space="preserve"> 'Inputs_ FS'!AC$50</f>
        <v>0</v>
      </c>
      <c r="AD306" s="362">
        <f xml:space="preserve"> 'Inputs_ FS'!AD$50</f>
        <v>0</v>
      </c>
      <c r="AE306" s="362">
        <f xml:space="preserve"> 'Inputs_ FS'!AE$50</f>
        <v>0</v>
      </c>
      <c r="AF306" s="362">
        <f xml:space="preserve"> 'Inputs_ FS'!AF$50</f>
        <v>0</v>
      </c>
      <c r="AG306" s="362">
        <f xml:space="preserve"> 'Inputs_ FS'!AG$50</f>
        <v>0</v>
      </c>
      <c r="AH306" s="362">
        <f xml:space="preserve"> 'Inputs_ FS'!AH$50</f>
        <v>0</v>
      </c>
      <c r="AI306" s="362">
        <f xml:space="preserve"> 'Inputs_ FS'!AI$50</f>
        <v>0</v>
      </c>
      <c r="AJ306" s="362">
        <f xml:space="preserve"> 'Inputs_ FS'!AJ$50</f>
        <v>29.106000000000002</v>
      </c>
      <c r="AK306" s="362">
        <f xml:space="preserve"> 'Inputs_ FS'!AK$50</f>
        <v>23.404</v>
      </c>
      <c r="AL306" s="362">
        <f xml:space="preserve"> 'Inputs_ FS'!AL$50</f>
        <v>0</v>
      </c>
      <c r="AM306" s="362">
        <f xml:space="preserve"> 'Inputs_ FS'!AM$50</f>
        <v>0</v>
      </c>
      <c r="AN306" s="362">
        <f xml:space="preserve"> 'Inputs_ FS'!AN$50</f>
        <v>0</v>
      </c>
      <c r="AO306" s="362">
        <f xml:space="preserve"> 'Inputs_ FS'!AO$50</f>
        <v>0</v>
      </c>
      <c r="AP306" s="362">
        <f xml:space="preserve"> 'Inputs_ FS'!AP$50</f>
        <v>0</v>
      </c>
      <c r="AQ306" s="362">
        <f xml:space="preserve"> 'Inputs_ FS'!AQ$50</f>
        <v>0</v>
      </c>
      <c r="AR306" s="362">
        <f xml:space="preserve"> 'Inputs_ FS'!AR$50</f>
        <v>0</v>
      </c>
      <c r="AS306" s="362">
        <f xml:space="preserve"> 'Inputs_ FS'!AS$50</f>
        <v>0</v>
      </c>
    </row>
    <row r="307" spans="1:45" ht="15" customHeight="1" x14ac:dyDescent="0.3">
      <c r="A307" s="143"/>
      <c r="B307" s="143"/>
      <c r="E307" s="362" t="str">
        <f xml:space="preserve"> 'Inputs_ FS'!E$51</f>
        <v>Depreciation and R&amp;D expenses</v>
      </c>
      <c r="F307" s="362">
        <f xml:space="preserve"> 'Inputs_ FS'!F$51</f>
        <v>7.4690000000000003</v>
      </c>
      <c r="G307" s="362" t="str">
        <f xml:space="preserve"> 'Inputs_ FS'!G$51</f>
        <v>$ mn</v>
      </c>
      <c r="H307" s="362" t="str">
        <f xml:space="preserve"> 'Inputs_ FS'!H$51</f>
        <v>M</v>
      </c>
      <c r="I307" s="362">
        <f xml:space="preserve"> 'Inputs_ FS'!I$51</f>
        <v>6.3520000000000003</v>
      </c>
      <c r="J307" s="362">
        <f xml:space="preserve"> 'Inputs_ FS'!J$51</f>
        <v>0</v>
      </c>
      <c r="K307" s="362">
        <f xml:space="preserve"> 'Inputs_ FS'!K$51</f>
        <v>0</v>
      </c>
      <c r="L307" s="362">
        <f xml:space="preserve"> 'Inputs_ FS'!L$51</f>
        <v>0</v>
      </c>
      <c r="M307" s="362">
        <f xml:space="preserve"> 'Inputs_ FS'!M$51</f>
        <v>0</v>
      </c>
      <c r="N307" s="362">
        <f xml:space="preserve"> 'Inputs_ FS'!N$51</f>
        <v>0</v>
      </c>
      <c r="O307" s="362">
        <f xml:space="preserve"> 'Inputs_ FS'!O$51</f>
        <v>0</v>
      </c>
      <c r="P307" s="362">
        <f xml:space="preserve"> 'Inputs_ FS'!P$51</f>
        <v>0</v>
      </c>
      <c r="Q307" s="362">
        <f xml:space="preserve"> 'Inputs_ FS'!Q$51</f>
        <v>0</v>
      </c>
      <c r="R307" s="362">
        <f xml:space="preserve"> 'Inputs_ FS'!R$51</f>
        <v>0</v>
      </c>
      <c r="S307" s="362">
        <f xml:space="preserve"> 'Inputs_ FS'!S$51</f>
        <v>0</v>
      </c>
      <c r="T307" s="362">
        <f xml:space="preserve"> 'Inputs_ FS'!T$51</f>
        <v>0</v>
      </c>
      <c r="U307" s="362">
        <f xml:space="preserve"> 'Inputs_ FS'!U$51</f>
        <v>0</v>
      </c>
      <c r="V307" s="362">
        <f xml:space="preserve"> 'Inputs_ FS'!V$51</f>
        <v>0</v>
      </c>
      <c r="W307" s="362">
        <f xml:space="preserve"> 'Inputs_ FS'!W$51</f>
        <v>2.024</v>
      </c>
      <c r="X307" s="362">
        <f xml:space="preserve"> 'Inputs_ FS'!X$51</f>
        <v>2.024</v>
      </c>
      <c r="Y307" s="362">
        <f xml:space="preserve"> 'Inputs_ FS'!Y$51</f>
        <v>2.024</v>
      </c>
      <c r="Z307" s="362">
        <f xml:space="preserve"> 'Inputs_ FS'!Z$51</f>
        <v>0</v>
      </c>
      <c r="AA307" s="362">
        <f xml:space="preserve"> 'Inputs_ FS'!AA$51</f>
        <v>0</v>
      </c>
      <c r="AB307" s="362">
        <f xml:space="preserve"> 'Inputs_ FS'!AB$51</f>
        <v>0.28000000000000003</v>
      </c>
      <c r="AC307" s="362">
        <f xml:space="preserve"> 'Inputs_ FS'!AC$51</f>
        <v>0</v>
      </c>
      <c r="AD307" s="362">
        <f xml:space="preserve"> 'Inputs_ FS'!AD$51</f>
        <v>0</v>
      </c>
      <c r="AE307" s="362">
        <f xml:space="preserve"> 'Inputs_ FS'!AE$51</f>
        <v>0</v>
      </c>
      <c r="AF307" s="362">
        <f xml:space="preserve"> 'Inputs_ FS'!AF$51</f>
        <v>0</v>
      </c>
      <c r="AG307" s="362">
        <f xml:space="preserve"> 'Inputs_ FS'!AG$51</f>
        <v>0</v>
      </c>
      <c r="AH307" s="362">
        <f xml:space="preserve"> 'Inputs_ FS'!AH$51</f>
        <v>0</v>
      </c>
      <c r="AI307" s="362">
        <f xml:space="preserve"> 'Inputs_ FS'!AI$51</f>
        <v>0</v>
      </c>
      <c r="AJ307" s="362">
        <f xml:space="preserve"> 'Inputs_ FS'!AJ$51</f>
        <v>0</v>
      </c>
      <c r="AK307" s="362">
        <f xml:space="preserve"> 'Inputs_ FS'!AK$51</f>
        <v>0</v>
      </c>
      <c r="AL307" s="362">
        <f xml:space="preserve"> 'Inputs_ FS'!AL$51</f>
        <v>0</v>
      </c>
      <c r="AM307" s="362">
        <f xml:space="preserve"> 'Inputs_ FS'!AM$51</f>
        <v>0</v>
      </c>
      <c r="AN307" s="362">
        <f xml:space="preserve"> 'Inputs_ FS'!AN$51</f>
        <v>0</v>
      </c>
      <c r="AO307" s="362">
        <f xml:space="preserve"> 'Inputs_ FS'!AO$51</f>
        <v>0</v>
      </c>
      <c r="AP307" s="362">
        <f xml:space="preserve"> 'Inputs_ FS'!AP$51</f>
        <v>0</v>
      </c>
      <c r="AQ307" s="362">
        <f xml:space="preserve"> 'Inputs_ FS'!AQ$51</f>
        <v>0</v>
      </c>
      <c r="AR307" s="362">
        <f xml:space="preserve"> 'Inputs_ FS'!AR$51</f>
        <v>0</v>
      </c>
      <c r="AS307" s="362">
        <f xml:space="preserve"> 'Inputs_ FS'!AS$51</f>
        <v>0</v>
      </c>
    </row>
    <row r="308" spans="1:45" ht="15" customHeight="1" x14ac:dyDescent="0.3">
      <c r="A308" s="214"/>
      <c r="B308" s="214"/>
      <c r="C308" s="320"/>
      <c r="D308" s="321"/>
      <c r="E308" s="323"/>
      <c r="F308" s="299"/>
      <c r="G308" s="323"/>
      <c r="H308" s="325"/>
      <c r="I308" s="325"/>
      <c r="J308" s="42"/>
      <c r="K308" s="299"/>
      <c r="L308" s="299"/>
      <c r="M308" s="299"/>
      <c r="N308" s="299"/>
      <c r="O308" s="299"/>
      <c r="P308" s="299"/>
      <c r="Q308" s="299"/>
      <c r="R308" s="299"/>
      <c r="S308" s="299"/>
      <c r="T308" s="299"/>
      <c r="U308" s="299"/>
      <c r="V308" s="299"/>
      <c r="W308" s="299"/>
      <c r="X308" s="299"/>
      <c r="Y308" s="299"/>
      <c r="Z308" s="299"/>
      <c r="AA308" s="299"/>
      <c r="AB308" s="299"/>
      <c r="AC308" s="299"/>
      <c r="AD308" s="299"/>
      <c r="AE308" s="299"/>
      <c r="AF308" s="299"/>
      <c r="AG308" s="299"/>
      <c r="AH308" s="299"/>
      <c r="AI308" s="299"/>
      <c r="AJ308" s="299"/>
      <c r="AK308" s="299"/>
      <c r="AL308" s="299"/>
      <c r="AM308" s="299"/>
      <c r="AN308" s="299"/>
      <c r="AO308" s="299"/>
      <c r="AP308" s="299"/>
      <c r="AQ308" s="299"/>
      <c r="AR308" s="299"/>
      <c r="AS308" s="299"/>
    </row>
    <row r="309" spans="1:45" ht="15" customHeight="1" x14ac:dyDescent="0.3">
      <c r="C309" s="289" t="s">
        <v>461</v>
      </c>
      <c r="I309" s="291"/>
      <c r="J309" s="42"/>
      <c r="AL309" s="290"/>
      <c r="AM309" s="290"/>
      <c r="AN309" s="290"/>
      <c r="AO309" s="290"/>
      <c r="AP309" s="290"/>
      <c r="AQ309" s="290"/>
      <c r="AR309" s="290"/>
      <c r="AS309" s="290"/>
    </row>
    <row r="310" spans="1:45" ht="15" customHeight="1" x14ac:dyDescent="0.3">
      <c r="E310" s="362" t="str">
        <f xml:space="preserve"> 'Inputs_ FS'!E$54</f>
        <v>Asset depreciation</v>
      </c>
      <c r="F310" s="362">
        <f xml:space="preserve"> 'Inputs_ FS'!F$54</f>
        <v>709.63099999999997</v>
      </c>
      <c r="G310" s="362" t="str">
        <f xml:space="preserve"> 'Inputs_ FS'!G$54</f>
        <v>$ mn</v>
      </c>
      <c r="H310" s="362" t="str">
        <f xml:space="preserve"> 'Inputs_ FS'!H$54</f>
        <v>M</v>
      </c>
      <c r="I310" s="362">
        <f xml:space="preserve"> 'Inputs_ FS'!I$54</f>
        <v>709.63399999999979</v>
      </c>
      <c r="J310" s="362">
        <f xml:space="preserve"> 'Inputs_ FS'!J$54</f>
        <v>0</v>
      </c>
      <c r="K310" s="362">
        <f xml:space="preserve"> 'Inputs_ FS'!K$54</f>
        <v>0</v>
      </c>
      <c r="L310" s="362">
        <f xml:space="preserve"> 'Inputs_ FS'!L$54</f>
        <v>0</v>
      </c>
      <c r="M310" s="362">
        <f xml:space="preserve"> 'Inputs_ FS'!M$54</f>
        <v>0</v>
      </c>
      <c r="N310" s="362">
        <f xml:space="preserve"> 'Inputs_ FS'!N$54</f>
        <v>0</v>
      </c>
      <c r="O310" s="362">
        <f xml:space="preserve"> 'Inputs_ FS'!O$54</f>
        <v>0</v>
      </c>
      <c r="P310" s="362">
        <f xml:space="preserve"> 'Inputs_ FS'!P$54</f>
        <v>0</v>
      </c>
      <c r="Q310" s="362">
        <f xml:space="preserve"> 'Inputs_ FS'!Q$54</f>
        <v>0</v>
      </c>
      <c r="R310" s="362">
        <f xml:space="preserve"> 'Inputs_ FS'!R$54</f>
        <v>0</v>
      </c>
      <c r="S310" s="362">
        <f xml:space="preserve"> 'Inputs_ FS'!S$54</f>
        <v>0</v>
      </c>
      <c r="T310" s="362">
        <f xml:space="preserve"> 'Inputs_ FS'!T$54</f>
        <v>0</v>
      </c>
      <c r="U310" s="362">
        <f xml:space="preserve"> 'Inputs_ FS'!U$54</f>
        <v>0</v>
      </c>
      <c r="V310" s="362">
        <f xml:space="preserve"> 'Inputs_ FS'!V$54</f>
        <v>15.738</v>
      </c>
      <c r="W310" s="362">
        <f xml:space="preserve"> 'Inputs_ FS'!W$54</f>
        <v>24.262</v>
      </c>
      <c r="X310" s="362">
        <f xml:space="preserve"> 'Inputs_ FS'!X$54</f>
        <v>38.244</v>
      </c>
      <c r="Y310" s="362">
        <f xml:space="preserve"> 'Inputs_ FS'!Y$54</f>
        <v>60.023000000000003</v>
      </c>
      <c r="Z310" s="362">
        <f xml:space="preserve"> 'Inputs_ FS'!Z$54</f>
        <v>63.703000000000003</v>
      </c>
      <c r="AA310" s="362">
        <f xml:space="preserve"> 'Inputs_ FS'!AA$54</f>
        <v>63.457999999999998</v>
      </c>
      <c r="AB310" s="362">
        <f xml:space="preserve"> 'Inputs_ FS'!AB$54</f>
        <v>63.457999999999998</v>
      </c>
      <c r="AC310" s="362">
        <f xml:space="preserve"> 'Inputs_ FS'!AC$54</f>
        <v>63.457999999999998</v>
      </c>
      <c r="AD310" s="362">
        <f xml:space="preserve"> 'Inputs_ FS'!AD$54</f>
        <v>63.457999999999998</v>
      </c>
      <c r="AE310" s="362">
        <f xml:space="preserve"> 'Inputs_ FS'!AE$54</f>
        <v>63.457999999999998</v>
      </c>
      <c r="AF310" s="362">
        <f xml:space="preserve"> 'Inputs_ FS'!AF$54</f>
        <v>63.457999999999998</v>
      </c>
      <c r="AG310" s="362">
        <f xml:space="preserve"> 'Inputs_ FS'!AG$54</f>
        <v>63.457999999999998</v>
      </c>
      <c r="AH310" s="362">
        <f xml:space="preserve"> 'Inputs_ FS'!AH$54</f>
        <v>63.457999999999998</v>
      </c>
      <c r="AI310" s="362">
        <f xml:space="preserve"> 'Inputs_ FS'!AI$54</f>
        <v>0</v>
      </c>
      <c r="AJ310" s="362">
        <f xml:space="preserve"> 'Inputs_ FS'!AJ$54</f>
        <v>0</v>
      </c>
      <c r="AK310" s="362">
        <f xml:space="preserve"> 'Inputs_ FS'!AK$54</f>
        <v>0</v>
      </c>
      <c r="AL310" s="362">
        <f xml:space="preserve"> 'Inputs_ FS'!AL$54</f>
        <v>0</v>
      </c>
      <c r="AM310" s="362">
        <f xml:space="preserve"> 'Inputs_ FS'!AM$54</f>
        <v>0</v>
      </c>
      <c r="AN310" s="362">
        <f xml:space="preserve"> 'Inputs_ FS'!AN$54</f>
        <v>0</v>
      </c>
      <c r="AO310" s="362">
        <f xml:space="preserve"> 'Inputs_ FS'!AO$54</f>
        <v>0</v>
      </c>
      <c r="AP310" s="362">
        <f xml:space="preserve"> 'Inputs_ FS'!AP$54</f>
        <v>0</v>
      </c>
      <c r="AQ310" s="362">
        <f xml:space="preserve"> 'Inputs_ FS'!AQ$54</f>
        <v>0</v>
      </c>
      <c r="AR310" s="362">
        <f xml:space="preserve"> 'Inputs_ FS'!AR$54</f>
        <v>0</v>
      </c>
      <c r="AS310" s="362">
        <f xml:space="preserve"> 'Inputs_ FS'!AS$54</f>
        <v>0</v>
      </c>
    </row>
    <row r="311" spans="1:45" ht="15" customHeight="1" x14ac:dyDescent="0.3">
      <c r="E311" s="362" t="str">
        <f xml:space="preserve"> 'Inputs_ FS'!E$55</f>
        <v>Additional investment depreciation</v>
      </c>
      <c r="F311" s="362">
        <f xml:space="preserve"> 'Inputs_ FS'!F$55</f>
        <v>20.378</v>
      </c>
      <c r="G311" s="362" t="str">
        <f xml:space="preserve"> 'Inputs_ FS'!G$55</f>
        <v>$ mn</v>
      </c>
      <c r="H311" s="362" t="str">
        <f xml:space="preserve"> 'Inputs_ FS'!H$55</f>
        <v>M</v>
      </c>
      <c r="I311" s="362">
        <f xml:space="preserve"> 'Inputs_ FS'!I$55</f>
        <v>20.376999999999999</v>
      </c>
      <c r="J311" s="362">
        <f xml:space="preserve"> 'Inputs_ FS'!J$55</f>
        <v>0</v>
      </c>
      <c r="K311" s="362">
        <f xml:space="preserve"> 'Inputs_ FS'!K$55</f>
        <v>0</v>
      </c>
      <c r="L311" s="362">
        <f xml:space="preserve"> 'Inputs_ FS'!L$55</f>
        <v>0</v>
      </c>
      <c r="M311" s="362">
        <f xml:space="preserve"> 'Inputs_ FS'!M$55</f>
        <v>0</v>
      </c>
      <c r="N311" s="362">
        <f xml:space="preserve"> 'Inputs_ FS'!N$55</f>
        <v>0</v>
      </c>
      <c r="O311" s="362">
        <f xml:space="preserve"> 'Inputs_ FS'!O$55</f>
        <v>0</v>
      </c>
      <c r="P311" s="362">
        <f xml:space="preserve"> 'Inputs_ FS'!P$55</f>
        <v>0</v>
      </c>
      <c r="Q311" s="362">
        <f xml:space="preserve"> 'Inputs_ FS'!Q$55</f>
        <v>0</v>
      </c>
      <c r="R311" s="362">
        <f xml:space="preserve"> 'Inputs_ FS'!R$55</f>
        <v>0</v>
      </c>
      <c r="S311" s="362">
        <f xml:space="preserve"> 'Inputs_ FS'!S$55</f>
        <v>0</v>
      </c>
      <c r="T311" s="362">
        <f xml:space="preserve"> 'Inputs_ FS'!T$55</f>
        <v>0</v>
      </c>
      <c r="U311" s="362">
        <f xml:space="preserve"> 'Inputs_ FS'!U$55</f>
        <v>0</v>
      </c>
      <c r="V311" s="362">
        <f xml:space="preserve"> 'Inputs_ FS'!V$55</f>
        <v>0</v>
      </c>
      <c r="W311" s="362">
        <f xml:space="preserve"> 'Inputs_ FS'!W$55</f>
        <v>2.024</v>
      </c>
      <c r="X311" s="362">
        <f xml:space="preserve"> 'Inputs_ FS'!X$55</f>
        <v>9.5690000000000008</v>
      </c>
      <c r="Y311" s="362">
        <f xml:space="preserve"> 'Inputs_ FS'!Y$55</f>
        <v>4.3920000000000003</v>
      </c>
      <c r="Z311" s="362">
        <f xml:space="preserve"> 'Inputs_ FS'!Z$55</f>
        <v>4.3920000000000003</v>
      </c>
      <c r="AA311" s="362">
        <f xml:space="preserve"> 'Inputs_ FS'!AA$55</f>
        <v>0</v>
      </c>
      <c r="AB311" s="362">
        <f xml:space="preserve"> 'Inputs_ FS'!AB$55</f>
        <v>0</v>
      </c>
      <c r="AC311" s="362">
        <f xml:space="preserve"> 'Inputs_ FS'!AC$55</f>
        <v>0</v>
      </c>
      <c r="AD311" s="362">
        <f xml:space="preserve"> 'Inputs_ FS'!AD$55</f>
        <v>0</v>
      </c>
      <c r="AE311" s="362">
        <f xml:space="preserve"> 'Inputs_ FS'!AE$55</f>
        <v>0</v>
      </c>
      <c r="AF311" s="362">
        <f xml:space="preserve"> 'Inputs_ FS'!AF$55</f>
        <v>0</v>
      </c>
      <c r="AG311" s="362">
        <f xml:space="preserve"> 'Inputs_ FS'!AG$55</f>
        <v>0</v>
      </c>
      <c r="AH311" s="362">
        <f xml:space="preserve"> 'Inputs_ FS'!AH$55</f>
        <v>0</v>
      </c>
      <c r="AI311" s="362">
        <f xml:space="preserve"> 'Inputs_ FS'!AI$55</f>
        <v>0</v>
      </c>
      <c r="AJ311" s="362">
        <f xml:space="preserve"> 'Inputs_ FS'!AJ$55</f>
        <v>0</v>
      </c>
      <c r="AK311" s="362">
        <f xml:space="preserve"> 'Inputs_ FS'!AK$55</f>
        <v>0</v>
      </c>
      <c r="AL311" s="362">
        <f xml:space="preserve"> 'Inputs_ FS'!AL$55</f>
        <v>0</v>
      </c>
      <c r="AM311" s="362">
        <f xml:space="preserve"> 'Inputs_ FS'!AM$55</f>
        <v>0</v>
      </c>
      <c r="AN311" s="362">
        <f xml:space="preserve"> 'Inputs_ FS'!AN$55</f>
        <v>0</v>
      </c>
      <c r="AO311" s="362">
        <f xml:space="preserve"> 'Inputs_ FS'!AO$55</f>
        <v>0</v>
      </c>
      <c r="AP311" s="362">
        <f xml:space="preserve"> 'Inputs_ FS'!AP$55</f>
        <v>0</v>
      </c>
      <c r="AQ311" s="362">
        <f xml:space="preserve"> 'Inputs_ FS'!AQ$55</f>
        <v>0</v>
      </c>
      <c r="AR311" s="362">
        <f xml:space="preserve"> 'Inputs_ FS'!AR$55</f>
        <v>0</v>
      </c>
      <c r="AS311" s="362">
        <f xml:space="preserve"> 'Inputs_ FS'!AS$55</f>
        <v>0</v>
      </c>
    </row>
    <row r="312" spans="1:45" ht="15" customHeight="1" x14ac:dyDescent="0.3">
      <c r="A312" s="511"/>
      <c r="B312" s="511"/>
      <c r="C312" s="512"/>
      <c r="D312" s="513"/>
      <c r="E312" s="513" t="s">
        <v>560</v>
      </c>
      <c r="F312" s="513" t="s">
        <v>552</v>
      </c>
      <c r="G312" s="513" t="s">
        <v>346</v>
      </c>
      <c r="H312" s="514"/>
      <c r="I312" s="514">
        <f>SUM(P312:AS312)</f>
        <v>730.01099999999985</v>
      </c>
      <c r="J312" s="34"/>
      <c r="K312" s="513">
        <f t="shared" ref="K312:O312" si="396">K310 + K311</f>
        <v>0</v>
      </c>
      <c r="L312" s="513">
        <f t="shared" si="396"/>
        <v>0</v>
      </c>
      <c r="M312" s="513">
        <f t="shared" si="396"/>
        <v>0</v>
      </c>
      <c r="N312" s="513">
        <f t="shared" si="396"/>
        <v>0</v>
      </c>
      <c r="O312" s="513">
        <f t="shared" si="396"/>
        <v>0</v>
      </c>
      <c r="P312" s="513">
        <f t="shared" ref="P312:R312" si="397">P310 + P311</f>
        <v>0</v>
      </c>
      <c r="Q312" s="513">
        <f t="shared" si="397"/>
        <v>0</v>
      </c>
      <c r="R312" s="513">
        <f t="shared" si="397"/>
        <v>0</v>
      </c>
      <c r="S312" s="513">
        <f>S310 + S311</f>
        <v>0</v>
      </c>
      <c r="T312" s="513">
        <f t="shared" ref="T312:AN312" si="398">T310 + T311</f>
        <v>0</v>
      </c>
      <c r="U312" s="513">
        <f t="shared" si="398"/>
        <v>0</v>
      </c>
      <c r="V312" s="513">
        <f t="shared" si="398"/>
        <v>15.738</v>
      </c>
      <c r="W312" s="513">
        <f t="shared" si="398"/>
        <v>26.286000000000001</v>
      </c>
      <c r="X312" s="513">
        <f t="shared" si="398"/>
        <v>47.813000000000002</v>
      </c>
      <c r="Y312" s="513">
        <f t="shared" si="398"/>
        <v>64.415000000000006</v>
      </c>
      <c r="Z312" s="513">
        <f t="shared" si="398"/>
        <v>68.094999999999999</v>
      </c>
      <c r="AA312" s="513">
        <f t="shared" si="398"/>
        <v>63.457999999999998</v>
      </c>
      <c r="AB312" s="513">
        <f t="shared" si="398"/>
        <v>63.457999999999998</v>
      </c>
      <c r="AC312" s="513">
        <f t="shared" si="398"/>
        <v>63.457999999999998</v>
      </c>
      <c r="AD312" s="513">
        <f t="shared" si="398"/>
        <v>63.457999999999998</v>
      </c>
      <c r="AE312" s="513">
        <f t="shared" si="398"/>
        <v>63.457999999999998</v>
      </c>
      <c r="AF312" s="513">
        <f t="shared" si="398"/>
        <v>63.457999999999998</v>
      </c>
      <c r="AG312" s="513">
        <f t="shared" si="398"/>
        <v>63.457999999999998</v>
      </c>
      <c r="AH312" s="513">
        <f t="shared" si="398"/>
        <v>63.457999999999998</v>
      </c>
      <c r="AI312" s="513">
        <f t="shared" si="398"/>
        <v>0</v>
      </c>
      <c r="AJ312" s="513">
        <f t="shared" si="398"/>
        <v>0</v>
      </c>
      <c r="AK312" s="513">
        <f t="shared" si="398"/>
        <v>0</v>
      </c>
      <c r="AL312" s="513">
        <f t="shared" si="398"/>
        <v>0</v>
      </c>
      <c r="AM312" s="513">
        <f t="shared" si="398"/>
        <v>0</v>
      </c>
      <c r="AN312" s="513">
        <f t="shared" si="398"/>
        <v>0</v>
      </c>
      <c r="AO312" s="513">
        <f t="shared" ref="AO312:AP312" si="399">AO310 + AO311</f>
        <v>0</v>
      </c>
      <c r="AP312" s="513">
        <f t="shared" si="399"/>
        <v>0</v>
      </c>
      <c r="AQ312" s="513">
        <f t="shared" ref="AQ312:AS312" si="400">AQ310 + AQ311</f>
        <v>0</v>
      </c>
      <c r="AR312" s="513">
        <f t="shared" si="400"/>
        <v>0</v>
      </c>
      <c r="AS312" s="513">
        <f t="shared" si="400"/>
        <v>0</v>
      </c>
    </row>
    <row r="313" spans="1:45" ht="15" customHeight="1" x14ac:dyDescent="0.3">
      <c r="I313" s="291"/>
      <c r="J313" s="42"/>
      <c r="AI313" s="282"/>
      <c r="AJ313" s="282"/>
      <c r="AK313" s="282"/>
      <c r="AL313" s="282"/>
      <c r="AM313" s="282"/>
      <c r="AN313" s="282"/>
      <c r="AO313" s="282"/>
      <c r="AP313" s="282"/>
      <c r="AQ313" s="282"/>
      <c r="AR313" s="282"/>
      <c r="AS313" s="282"/>
    </row>
    <row r="314" spans="1:45" ht="15" customHeight="1" collapsed="1" x14ac:dyDescent="0.3">
      <c r="A314" s="283" t="s">
        <v>293</v>
      </c>
      <c r="B314" s="284"/>
      <c r="C314" s="285"/>
      <c r="D314" s="286"/>
      <c r="E314" s="284"/>
      <c r="F314" s="284"/>
      <c r="G314" s="284"/>
      <c r="H314" s="284"/>
      <c r="I314" s="284"/>
      <c r="J314" s="42"/>
      <c r="K314" s="284"/>
      <c r="L314" s="284"/>
      <c r="M314" s="284"/>
      <c r="N314" s="284"/>
      <c r="O314" s="284"/>
      <c r="P314" s="284"/>
      <c r="Q314" s="284"/>
      <c r="R314" s="284"/>
      <c r="S314" s="284"/>
      <c r="T314" s="284"/>
      <c r="U314" s="284"/>
      <c r="V314" s="284"/>
      <c r="W314" s="284"/>
      <c r="X314" s="284"/>
      <c r="Y314" s="284"/>
      <c r="Z314" s="284"/>
      <c r="AA314" s="284"/>
      <c r="AB314" s="284"/>
      <c r="AC314" s="284"/>
      <c r="AD314" s="284"/>
      <c r="AE314" s="284"/>
      <c r="AF314" s="284"/>
      <c r="AG314" s="284"/>
      <c r="AH314" s="284"/>
      <c r="AI314" s="284"/>
      <c r="AJ314" s="284"/>
      <c r="AK314" s="284"/>
      <c r="AL314" s="284"/>
      <c r="AM314" s="284"/>
      <c r="AN314" s="284"/>
      <c r="AO314" s="284"/>
      <c r="AP314" s="284"/>
      <c r="AQ314" s="284"/>
      <c r="AR314" s="284"/>
      <c r="AS314" s="284"/>
    </row>
    <row r="315" spans="1:45" ht="15" customHeight="1" x14ac:dyDescent="0.3">
      <c r="I315" s="291"/>
      <c r="J315" s="42"/>
      <c r="AL315" s="290"/>
      <c r="AM315" s="290"/>
      <c r="AN315" s="290"/>
      <c r="AO315" s="290"/>
      <c r="AP315" s="290"/>
      <c r="AQ315" s="290"/>
      <c r="AR315" s="290"/>
      <c r="AS315" s="290"/>
    </row>
    <row r="316" spans="1:45" ht="15" customHeight="1" x14ac:dyDescent="0.3">
      <c r="C316" s="289" t="s">
        <v>223</v>
      </c>
      <c r="I316" s="291"/>
      <c r="J316" s="42"/>
      <c r="AL316" s="290"/>
      <c r="AM316" s="290"/>
      <c r="AN316" s="290"/>
      <c r="AO316" s="290"/>
      <c r="AP316" s="290"/>
      <c r="AQ316" s="290"/>
      <c r="AR316" s="290"/>
      <c r="AS316" s="290"/>
    </row>
    <row r="317" spans="1:45" ht="15" customHeight="1" x14ac:dyDescent="0.3">
      <c r="E317" s="299" t="str">
        <f xml:space="preserve"> E$112</f>
        <v>Total revenue</v>
      </c>
      <c r="F317" s="299">
        <f t="shared" ref="F317:I317" si="401" xml:space="preserve"> F$112</f>
        <v>0</v>
      </c>
      <c r="G317" s="290" t="str">
        <f t="shared" si="401"/>
        <v>$ mn</v>
      </c>
      <c r="H317" s="291">
        <f t="shared" si="401"/>
        <v>0</v>
      </c>
      <c r="I317" s="291">
        <f t="shared" si="401"/>
        <v>11910.175160496599</v>
      </c>
      <c r="J317" s="42"/>
      <c r="K317" s="299">
        <f t="shared" ref="K317:O317" si="402" xml:space="preserve"> K$112</f>
        <v>0</v>
      </c>
      <c r="L317" s="299">
        <f t="shared" si="402"/>
        <v>0</v>
      </c>
      <c r="M317" s="299">
        <f t="shared" si="402"/>
        <v>0</v>
      </c>
      <c r="N317" s="299">
        <f t="shared" si="402"/>
        <v>0</v>
      </c>
      <c r="O317" s="299">
        <f t="shared" si="402"/>
        <v>0</v>
      </c>
      <c r="P317" s="299">
        <f t="shared" ref="P317:AS317" si="403" xml:space="preserve"> P$112</f>
        <v>0</v>
      </c>
      <c r="Q317" s="299">
        <f t="shared" si="403"/>
        <v>0</v>
      </c>
      <c r="R317" s="299">
        <f t="shared" si="403"/>
        <v>0</v>
      </c>
      <c r="S317" s="299">
        <f t="shared" si="403"/>
        <v>0</v>
      </c>
      <c r="T317" s="299">
        <f t="shared" si="403"/>
        <v>0</v>
      </c>
      <c r="U317" s="299">
        <f t="shared" si="403"/>
        <v>0</v>
      </c>
      <c r="V317" s="299">
        <f t="shared" si="403"/>
        <v>104.68060499999999</v>
      </c>
      <c r="W317" s="299">
        <f t="shared" si="403"/>
        <v>275.12210800000003</v>
      </c>
      <c r="X317" s="299">
        <f t="shared" si="403"/>
        <v>434.33181950432004</v>
      </c>
      <c r="Y317" s="299">
        <f t="shared" si="403"/>
        <v>668.71459861080007</v>
      </c>
      <c r="Z317" s="299">
        <f t="shared" si="403"/>
        <v>1118.6990542788799</v>
      </c>
      <c r="AA317" s="299">
        <f t="shared" si="403"/>
        <v>1042.87854002524</v>
      </c>
      <c r="AB317" s="299">
        <f t="shared" si="403"/>
        <v>901.78862325527996</v>
      </c>
      <c r="AC317" s="299">
        <f t="shared" si="403"/>
        <v>919.50006854717333</v>
      </c>
      <c r="AD317" s="299">
        <f t="shared" si="403"/>
        <v>919.50006854717333</v>
      </c>
      <c r="AE317" s="299">
        <f t="shared" si="403"/>
        <v>919.50006854717333</v>
      </c>
      <c r="AF317" s="299">
        <f t="shared" si="403"/>
        <v>919.50006854717333</v>
      </c>
      <c r="AG317" s="299">
        <f t="shared" si="403"/>
        <v>919.50006854717333</v>
      </c>
      <c r="AH317" s="299">
        <f t="shared" si="403"/>
        <v>919.50006854717333</v>
      </c>
      <c r="AI317" s="299">
        <f t="shared" si="403"/>
        <v>769.33476321383989</v>
      </c>
      <c r="AJ317" s="299">
        <f t="shared" si="403"/>
        <v>762.28556572091998</v>
      </c>
      <c r="AK317" s="299">
        <f t="shared" si="403"/>
        <v>315.33907160427998</v>
      </c>
      <c r="AL317" s="299">
        <f t="shared" si="403"/>
        <v>0</v>
      </c>
      <c r="AM317" s="299">
        <f t="shared" si="403"/>
        <v>0</v>
      </c>
      <c r="AN317" s="299">
        <f t="shared" si="403"/>
        <v>0</v>
      </c>
      <c r="AO317" s="299">
        <f t="shared" si="403"/>
        <v>0</v>
      </c>
      <c r="AP317" s="299">
        <f t="shared" si="403"/>
        <v>0</v>
      </c>
      <c r="AQ317" s="299">
        <f t="shared" si="403"/>
        <v>0</v>
      </c>
      <c r="AR317" s="299">
        <f t="shared" si="403"/>
        <v>0</v>
      </c>
      <c r="AS317" s="299">
        <f t="shared" si="403"/>
        <v>0</v>
      </c>
    </row>
    <row r="318" spans="1:45" ht="15" customHeight="1" x14ac:dyDescent="0.3">
      <c r="I318" s="291"/>
      <c r="J318" s="42"/>
      <c r="AL318" s="290"/>
      <c r="AM318" s="290"/>
      <c r="AN318" s="290"/>
      <c r="AO318" s="290"/>
      <c r="AP318" s="290"/>
      <c r="AQ318" s="290"/>
      <c r="AR318" s="290"/>
      <c r="AS318" s="290"/>
    </row>
    <row r="319" spans="1:45" ht="15" customHeight="1" x14ac:dyDescent="0.3">
      <c r="C319" s="289" t="s">
        <v>224</v>
      </c>
      <c r="I319" s="291"/>
      <c r="J319" s="42"/>
      <c r="AL319" s="290"/>
      <c r="AM319" s="290"/>
      <c r="AN319" s="290"/>
      <c r="AO319" s="290"/>
      <c r="AP319" s="290"/>
      <c r="AQ319" s="290"/>
      <c r="AR319" s="290"/>
      <c r="AS319" s="290"/>
    </row>
    <row r="320" spans="1:45" ht="15" customHeight="1" x14ac:dyDescent="0.3">
      <c r="A320" s="394"/>
      <c r="B320" s="394"/>
      <c r="C320" s="395"/>
      <c r="D320" s="34"/>
      <c r="E320" s="430" t="str">
        <f xml:space="preserve"> E$141</f>
        <v>Surface rights</v>
      </c>
      <c r="F320" s="430">
        <f t="shared" ref="F320:O320" si="404" xml:space="preserve"> F$141</f>
        <v>64</v>
      </c>
      <c r="G320" s="430" t="str">
        <f t="shared" si="404"/>
        <v>$ mn</v>
      </c>
      <c r="H320" s="430" t="str">
        <f t="shared" si="404"/>
        <v>M</v>
      </c>
      <c r="I320" s="430">
        <f t="shared" si="404"/>
        <v>64</v>
      </c>
      <c r="J320" s="430">
        <f t="shared" si="404"/>
        <v>0</v>
      </c>
      <c r="K320" s="430">
        <f t="shared" si="404"/>
        <v>0</v>
      </c>
      <c r="L320" s="430">
        <f t="shared" si="404"/>
        <v>0</v>
      </c>
      <c r="M320" s="430">
        <f t="shared" si="404"/>
        <v>0</v>
      </c>
      <c r="N320" s="430">
        <f t="shared" si="404"/>
        <v>0</v>
      </c>
      <c r="O320" s="430">
        <f t="shared" si="404"/>
        <v>0</v>
      </c>
      <c r="P320" s="430">
        <f t="shared" ref="P320:AS320" si="405" xml:space="preserve"> P$141</f>
        <v>0</v>
      </c>
      <c r="Q320" s="430">
        <f t="shared" si="405"/>
        <v>0</v>
      </c>
      <c r="R320" s="430">
        <f t="shared" si="405"/>
        <v>0</v>
      </c>
      <c r="S320" s="430">
        <f t="shared" si="405"/>
        <v>0</v>
      </c>
      <c r="T320" s="430">
        <f t="shared" si="405"/>
        <v>0</v>
      </c>
      <c r="U320" s="430">
        <f t="shared" si="405"/>
        <v>0</v>
      </c>
      <c r="V320" s="430">
        <f t="shared" si="405"/>
        <v>4</v>
      </c>
      <c r="W320" s="430">
        <f t="shared" si="405"/>
        <v>4</v>
      </c>
      <c r="X320" s="430">
        <f t="shared" si="405"/>
        <v>4</v>
      </c>
      <c r="Y320" s="430">
        <f t="shared" si="405"/>
        <v>4</v>
      </c>
      <c r="Z320" s="430">
        <f t="shared" si="405"/>
        <v>4</v>
      </c>
      <c r="AA320" s="430">
        <f t="shared" si="405"/>
        <v>4</v>
      </c>
      <c r="AB320" s="430">
        <f t="shared" si="405"/>
        <v>4</v>
      </c>
      <c r="AC320" s="430">
        <f t="shared" si="405"/>
        <v>4</v>
      </c>
      <c r="AD320" s="430">
        <f t="shared" si="405"/>
        <v>4</v>
      </c>
      <c r="AE320" s="430">
        <f t="shared" si="405"/>
        <v>4</v>
      </c>
      <c r="AF320" s="430">
        <f t="shared" si="405"/>
        <v>4</v>
      </c>
      <c r="AG320" s="430">
        <f t="shared" si="405"/>
        <v>4</v>
      </c>
      <c r="AH320" s="430">
        <f t="shared" si="405"/>
        <v>4</v>
      </c>
      <c r="AI320" s="430">
        <f t="shared" si="405"/>
        <v>4</v>
      </c>
      <c r="AJ320" s="430">
        <f t="shared" si="405"/>
        <v>4</v>
      </c>
      <c r="AK320" s="430">
        <f t="shared" si="405"/>
        <v>4</v>
      </c>
      <c r="AL320" s="430">
        <f t="shared" si="405"/>
        <v>0</v>
      </c>
      <c r="AM320" s="430">
        <f t="shared" si="405"/>
        <v>0</v>
      </c>
      <c r="AN320" s="430">
        <f t="shared" si="405"/>
        <v>0</v>
      </c>
      <c r="AO320" s="430">
        <f t="shared" si="405"/>
        <v>0</v>
      </c>
      <c r="AP320" s="430">
        <f t="shared" si="405"/>
        <v>0</v>
      </c>
      <c r="AQ320" s="430">
        <f t="shared" si="405"/>
        <v>0</v>
      </c>
      <c r="AR320" s="430">
        <f t="shared" si="405"/>
        <v>0</v>
      </c>
      <c r="AS320" s="430">
        <f t="shared" si="405"/>
        <v>0</v>
      </c>
    </row>
    <row r="321" spans="1:45" ht="15" customHeight="1" x14ac:dyDescent="0.3">
      <c r="A321" s="394"/>
      <c r="B321" s="394"/>
      <c r="C321" s="395"/>
      <c r="D321" s="34"/>
      <c r="E321" s="430" t="str">
        <f xml:space="preserve"> E$142</f>
        <v>Entry fee</v>
      </c>
      <c r="F321" s="430">
        <f t="shared" ref="F321:O321" si="406" xml:space="preserve"> F$142</f>
        <v>15.164</v>
      </c>
      <c r="G321" s="430" t="str">
        <f t="shared" si="406"/>
        <v>$ mn</v>
      </c>
      <c r="H321" s="430" t="str">
        <f t="shared" si="406"/>
        <v>M</v>
      </c>
      <c r="I321" s="430">
        <f t="shared" si="406"/>
        <v>15.164000000000001</v>
      </c>
      <c r="J321" s="430">
        <f t="shared" si="406"/>
        <v>0</v>
      </c>
      <c r="K321" s="430">
        <f t="shared" si="406"/>
        <v>0</v>
      </c>
      <c r="L321" s="430">
        <f t="shared" si="406"/>
        <v>0</v>
      </c>
      <c r="M321" s="430">
        <f t="shared" si="406"/>
        <v>0</v>
      </c>
      <c r="N321" s="430">
        <f t="shared" si="406"/>
        <v>0</v>
      </c>
      <c r="O321" s="430">
        <f t="shared" si="406"/>
        <v>0</v>
      </c>
      <c r="P321" s="430">
        <f t="shared" ref="P321:AS321" si="407" xml:space="preserve"> P$142</f>
        <v>0</v>
      </c>
      <c r="Q321" s="430">
        <f t="shared" si="407"/>
        <v>0</v>
      </c>
      <c r="R321" s="430">
        <f t="shared" si="407"/>
        <v>0</v>
      </c>
      <c r="S321" s="430">
        <f t="shared" si="407"/>
        <v>0</v>
      </c>
      <c r="T321" s="430">
        <f t="shared" si="407"/>
        <v>0</v>
      </c>
      <c r="U321" s="430">
        <f t="shared" si="407"/>
        <v>0</v>
      </c>
      <c r="V321" s="430">
        <f t="shared" si="407"/>
        <v>9.0980000000000008</v>
      </c>
      <c r="W321" s="430">
        <f t="shared" si="407"/>
        <v>6.0659999999999998</v>
      </c>
      <c r="X321" s="430">
        <f t="shared" si="407"/>
        <v>0</v>
      </c>
      <c r="Y321" s="430">
        <f t="shared" si="407"/>
        <v>0</v>
      </c>
      <c r="Z321" s="430">
        <f t="shared" si="407"/>
        <v>0</v>
      </c>
      <c r="AA321" s="430">
        <f t="shared" si="407"/>
        <v>0</v>
      </c>
      <c r="AB321" s="430">
        <f t="shared" si="407"/>
        <v>0</v>
      </c>
      <c r="AC321" s="430">
        <f t="shared" si="407"/>
        <v>0</v>
      </c>
      <c r="AD321" s="430">
        <f t="shared" si="407"/>
        <v>0</v>
      </c>
      <c r="AE321" s="430">
        <f t="shared" si="407"/>
        <v>0</v>
      </c>
      <c r="AF321" s="430">
        <f t="shared" si="407"/>
        <v>0</v>
      </c>
      <c r="AG321" s="430">
        <f t="shared" si="407"/>
        <v>0</v>
      </c>
      <c r="AH321" s="430">
        <f t="shared" si="407"/>
        <v>0</v>
      </c>
      <c r="AI321" s="430">
        <f t="shared" si="407"/>
        <v>0</v>
      </c>
      <c r="AJ321" s="430">
        <f t="shared" si="407"/>
        <v>0</v>
      </c>
      <c r="AK321" s="430">
        <f t="shared" si="407"/>
        <v>0</v>
      </c>
      <c r="AL321" s="430">
        <f t="shared" si="407"/>
        <v>0</v>
      </c>
      <c r="AM321" s="430">
        <f t="shared" si="407"/>
        <v>0</v>
      </c>
      <c r="AN321" s="430">
        <f t="shared" si="407"/>
        <v>0</v>
      </c>
      <c r="AO321" s="430">
        <f t="shared" si="407"/>
        <v>0</v>
      </c>
      <c r="AP321" s="430">
        <f t="shared" si="407"/>
        <v>0</v>
      </c>
      <c r="AQ321" s="430">
        <f t="shared" si="407"/>
        <v>0</v>
      </c>
      <c r="AR321" s="430">
        <f t="shared" si="407"/>
        <v>0</v>
      </c>
      <c r="AS321" s="430">
        <f t="shared" si="407"/>
        <v>0</v>
      </c>
    </row>
    <row r="322" spans="1:45" ht="15" customHeight="1" x14ac:dyDescent="0.3">
      <c r="A322" s="394"/>
      <c r="B322" s="394"/>
      <c r="C322" s="395"/>
      <c r="D322" s="34"/>
      <c r="E322" s="430" t="str">
        <f xml:space="preserve"> E$143</f>
        <v>Mining concession tax</v>
      </c>
      <c r="F322" s="430">
        <f t="shared" ref="F322:O322" si="408" xml:space="preserve"> F$143</f>
        <v>106.309</v>
      </c>
      <c r="G322" s="430" t="str">
        <f t="shared" si="408"/>
        <v>$ mn</v>
      </c>
      <c r="H322" s="430" t="str">
        <f t="shared" si="408"/>
        <v>M</v>
      </c>
      <c r="I322" s="430">
        <f t="shared" si="408"/>
        <v>106.30400000000003</v>
      </c>
      <c r="J322" s="430">
        <f t="shared" si="408"/>
        <v>0</v>
      </c>
      <c r="K322" s="430">
        <f t="shared" si="408"/>
        <v>0</v>
      </c>
      <c r="L322" s="430">
        <f t="shared" si="408"/>
        <v>0</v>
      </c>
      <c r="M322" s="430">
        <f t="shared" si="408"/>
        <v>0</v>
      </c>
      <c r="N322" s="430">
        <f t="shared" si="408"/>
        <v>0</v>
      </c>
      <c r="O322" s="430">
        <f t="shared" si="408"/>
        <v>0</v>
      </c>
      <c r="P322" s="430">
        <f t="shared" ref="P322:AS322" si="409" xml:space="preserve"> P$143</f>
        <v>0</v>
      </c>
      <c r="Q322" s="430">
        <f t="shared" si="409"/>
        <v>0</v>
      </c>
      <c r="R322" s="430">
        <f t="shared" si="409"/>
        <v>0</v>
      </c>
      <c r="S322" s="430">
        <f t="shared" si="409"/>
        <v>0</v>
      </c>
      <c r="T322" s="430">
        <f t="shared" si="409"/>
        <v>0</v>
      </c>
      <c r="U322" s="430">
        <f t="shared" si="409"/>
        <v>0</v>
      </c>
      <c r="V322" s="430">
        <f t="shared" si="409"/>
        <v>6.6440000000000001</v>
      </c>
      <c r="W322" s="430">
        <f t="shared" si="409"/>
        <v>6.6440000000000001</v>
      </c>
      <c r="X322" s="430">
        <f t="shared" si="409"/>
        <v>6.6440000000000001</v>
      </c>
      <c r="Y322" s="430">
        <f t="shared" si="409"/>
        <v>6.6440000000000001</v>
      </c>
      <c r="Z322" s="430">
        <f t="shared" si="409"/>
        <v>6.6440000000000001</v>
      </c>
      <c r="AA322" s="430">
        <f t="shared" si="409"/>
        <v>6.6440000000000001</v>
      </c>
      <c r="AB322" s="430">
        <f t="shared" si="409"/>
        <v>6.6440000000000001</v>
      </c>
      <c r="AC322" s="430">
        <f t="shared" si="409"/>
        <v>6.6440000000000001</v>
      </c>
      <c r="AD322" s="430">
        <f t="shared" si="409"/>
        <v>6.6440000000000001</v>
      </c>
      <c r="AE322" s="430">
        <f t="shared" si="409"/>
        <v>6.6440000000000001</v>
      </c>
      <c r="AF322" s="430">
        <f t="shared" si="409"/>
        <v>6.6440000000000001</v>
      </c>
      <c r="AG322" s="430">
        <f t="shared" si="409"/>
        <v>6.6440000000000001</v>
      </c>
      <c r="AH322" s="430">
        <f t="shared" si="409"/>
        <v>6.6440000000000001</v>
      </c>
      <c r="AI322" s="430">
        <f t="shared" si="409"/>
        <v>6.6440000000000001</v>
      </c>
      <c r="AJ322" s="430">
        <f t="shared" si="409"/>
        <v>6.6440000000000001</v>
      </c>
      <c r="AK322" s="430">
        <f t="shared" si="409"/>
        <v>6.6440000000000001</v>
      </c>
      <c r="AL322" s="430">
        <f t="shared" si="409"/>
        <v>0</v>
      </c>
      <c r="AM322" s="430">
        <f t="shared" si="409"/>
        <v>0</v>
      </c>
      <c r="AN322" s="430">
        <f t="shared" si="409"/>
        <v>0</v>
      </c>
      <c r="AO322" s="430">
        <f t="shared" si="409"/>
        <v>0</v>
      </c>
      <c r="AP322" s="430">
        <f t="shared" si="409"/>
        <v>0</v>
      </c>
      <c r="AQ322" s="430">
        <f t="shared" si="409"/>
        <v>0</v>
      </c>
      <c r="AR322" s="430">
        <f t="shared" si="409"/>
        <v>0</v>
      </c>
      <c r="AS322" s="430">
        <f t="shared" si="409"/>
        <v>0</v>
      </c>
    </row>
    <row r="323" spans="1:45" ht="15" customHeight="1" x14ac:dyDescent="0.3">
      <c r="A323" s="394"/>
      <c r="B323" s="394"/>
      <c r="C323" s="395"/>
      <c r="D323" s="34"/>
      <c r="E323" s="430" t="str">
        <f xml:space="preserve"> E$144</f>
        <v>Royalties and Fees for export services</v>
      </c>
      <c r="F323" s="430">
        <f t="shared" ref="F323:O323" si="410" xml:space="preserve"> F$144</f>
        <v>119.10599999999999</v>
      </c>
      <c r="G323" s="430" t="str">
        <f t="shared" si="410"/>
        <v>$ mn</v>
      </c>
      <c r="H323" s="430" t="str">
        <f t="shared" si="410"/>
        <v>M</v>
      </c>
      <c r="I323" s="430">
        <f t="shared" si="410"/>
        <v>119.22500000000001</v>
      </c>
      <c r="J323" s="430">
        <f t="shared" si="410"/>
        <v>0</v>
      </c>
      <c r="K323" s="430">
        <f t="shared" si="410"/>
        <v>0</v>
      </c>
      <c r="L323" s="430">
        <f t="shared" si="410"/>
        <v>0</v>
      </c>
      <c r="M323" s="430">
        <f t="shared" si="410"/>
        <v>0</v>
      </c>
      <c r="N323" s="430">
        <f t="shared" si="410"/>
        <v>0</v>
      </c>
      <c r="O323" s="430">
        <f t="shared" si="410"/>
        <v>0</v>
      </c>
      <c r="P323" s="430">
        <f t="shared" ref="P323:AS323" si="411" xml:space="preserve"> P$144</f>
        <v>0</v>
      </c>
      <c r="Q323" s="430">
        <f t="shared" si="411"/>
        <v>0</v>
      </c>
      <c r="R323" s="430">
        <f t="shared" si="411"/>
        <v>0</v>
      </c>
      <c r="S323" s="430">
        <f t="shared" si="411"/>
        <v>0</v>
      </c>
      <c r="T323" s="430">
        <f t="shared" si="411"/>
        <v>0</v>
      </c>
      <c r="U323" s="430">
        <f t="shared" si="411"/>
        <v>0</v>
      </c>
      <c r="V323" s="430">
        <f t="shared" si="411"/>
        <v>1.0469999999999999</v>
      </c>
      <c r="W323" s="430">
        <f t="shared" si="411"/>
        <v>2.7509999999999999</v>
      </c>
      <c r="X323" s="430">
        <f t="shared" si="411"/>
        <v>4.3440000000000003</v>
      </c>
      <c r="Y323" s="430">
        <f t="shared" si="411"/>
        <v>6.694</v>
      </c>
      <c r="Z323" s="430">
        <f t="shared" si="411"/>
        <v>11.183999999999999</v>
      </c>
      <c r="AA323" s="430">
        <f t="shared" si="411"/>
        <v>10.429</v>
      </c>
      <c r="AB323" s="430">
        <f t="shared" si="411"/>
        <v>9</v>
      </c>
      <c r="AC323" s="430">
        <f t="shared" si="411"/>
        <v>9</v>
      </c>
      <c r="AD323" s="430">
        <f t="shared" si="411"/>
        <v>9</v>
      </c>
      <c r="AE323" s="430">
        <f t="shared" si="411"/>
        <v>9</v>
      </c>
      <c r="AF323" s="430">
        <f t="shared" si="411"/>
        <v>9</v>
      </c>
      <c r="AG323" s="430">
        <f t="shared" si="411"/>
        <v>9</v>
      </c>
      <c r="AH323" s="430">
        <f t="shared" si="411"/>
        <v>9</v>
      </c>
      <c r="AI323" s="430">
        <f t="shared" si="411"/>
        <v>9</v>
      </c>
      <c r="AJ323" s="430">
        <f t="shared" si="411"/>
        <v>7.6230000000000002</v>
      </c>
      <c r="AK323" s="430">
        <f t="shared" si="411"/>
        <v>3.153</v>
      </c>
      <c r="AL323" s="430">
        <f t="shared" si="411"/>
        <v>0</v>
      </c>
      <c r="AM323" s="430">
        <f t="shared" si="411"/>
        <v>0</v>
      </c>
      <c r="AN323" s="430">
        <f t="shared" si="411"/>
        <v>0</v>
      </c>
      <c r="AO323" s="430">
        <f t="shared" si="411"/>
        <v>0</v>
      </c>
      <c r="AP323" s="430">
        <f t="shared" si="411"/>
        <v>0</v>
      </c>
      <c r="AQ323" s="430">
        <f t="shared" si="411"/>
        <v>0</v>
      </c>
      <c r="AR323" s="430">
        <f t="shared" si="411"/>
        <v>0</v>
      </c>
      <c r="AS323" s="430">
        <f t="shared" si="411"/>
        <v>0</v>
      </c>
    </row>
    <row r="324" spans="1:45" ht="15" customHeight="1" x14ac:dyDescent="0.3">
      <c r="A324" s="394"/>
      <c r="B324" s="394"/>
      <c r="C324" s="395"/>
      <c r="D324" s="34"/>
      <c r="E324" s="430" t="str">
        <f xml:space="preserve"> E$145</f>
        <v>IPR</v>
      </c>
      <c r="F324" s="430">
        <f t="shared" ref="F324:O324" si="412" xml:space="preserve"> F$145</f>
        <v>12.8</v>
      </c>
      <c r="G324" s="430" t="str">
        <f t="shared" si="412"/>
        <v>$ mn</v>
      </c>
      <c r="H324" s="430" t="str">
        <f t="shared" si="412"/>
        <v>M</v>
      </c>
      <c r="I324" s="430">
        <f t="shared" si="412"/>
        <v>12.800000000000002</v>
      </c>
      <c r="J324" s="430">
        <f t="shared" si="412"/>
        <v>0</v>
      </c>
      <c r="K324" s="430">
        <f t="shared" si="412"/>
        <v>0</v>
      </c>
      <c r="L324" s="430">
        <f t="shared" si="412"/>
        <v>0</v>
      </c>
      <c r="M324" s="430">
        <f t="shared" si="412"/>
        <v>0</v>
      </c>
      <c r="N324" s="430">
        <f t="shared" si="412"/>
        <v>0</v>
      </c>
      <c r="O324" s="430">
        <f t="shared" si="412"/>
        <v>0</v>
      </c>
      <c r="P324" s="430">
        <f t="shared" ref="P324:AS324" si="413" xml:space="preserve"> P$145</f>
        <v>0</v>
      </c>
      <c r="Q324" s="430">
        <f t="shared" si="413"/>
        <v>0</v>
      </c>
      <c r="R324" s="430">
        <f t="shared" si="413"/>
        <v>0</v>
      </c>
      <c r="S324" s="430">
        <f t="shared" si="413"/>
        <v>0</v>
      </c>
      <c r="T324" s="430">
        <f t="shared" si="413"/>
        <v>0</v>
      </c>
      <c r="U324" s="430">
        <f t="shared" si="413"/>
        <v>0</v>
      </c>
      <c r="V324" s="430">
        <f t="shared" si="413"/>
        <v>0.8</v>
      </c>
      <c r="W324" s="430">
        <f t="shared" si="413"/>
        <v>0.8</v>
      </c>
      <c r="X324" s="430">
        <f t="shared" si="413"/>
        <v>0.8</v>
      </c>
      <c r="Y324" s="430">
        <f t="shared" si="413"/>
        <v>0.8</v>
      </c>
      <c r="Z324" s="430">
        <f t="shared" si="413"/>
        <v>0.8</v>
      </c>
      <c r="AA324" s="430">
        <f t="shared" si="413"/>
        <v>0.8</v>
      </c>
      <c r="AB324" s="430">
        <f t="shared" si="413"/>
        <v>0.8</v>
      </c>
      <c r="AC324" s="430">
        <f t="shared" si="413"/>
        <v>0.8</v>
      </c>
      <c r="AD324" s="430">
        <f t="shared" si="413"/>
        <v>0.8</v>
      </c>
      <c r="AE324" s="430">
        <f t="shared" si="413"/>
        <v>0.8</v>
      </c>
      <c r="AF324" s="430">
        <f t="shared" si="413"/>
        <v>0.8</v>
      </c>
      <c r="AG324" s="430">
        <f t="shared" si="413"/>
        <v>0.8</v>
      </c>
      <c r="AH324" s="430">
        <f t="shared" si="413"/>
        <v>0.8</v>
      </c>
      <c r="AI324" s="430">
        <f t="shared" si="413"/>
        <v>0.8</v>
      </c>
      <c r="AJ324" s="430">
        <f t="shared" si="413"/>
        <v>0.8</v>
      </c>
      <c r="AK324" s="430">
        <f t="shared" si="413"/>
        <v>0.8</v>
      </c>
      <c r="AL324" s="430">
        <f t="shared" si="413"/>
        <v>0</v>
      </c>
      <c r="AM324" s="430">
        <f t="shared" si="413"/>
        <v>0</v>
      </c>
      <c r="AN324" s="430">
        <f t="shared" si="413"/>
        <v>0</v>
      </c>
      <c r="AO324" s="430">
        <f t="shared" si="413"/>
        <v>0</v>
      </c>
      <c r="AP324" s="430">
        <f t="shared" si="413"/>
        <v>0</v>
      </c>
      <c r="AQ324" s="430">
        <f t="shared" si="413"/>
        <v>0</v>
      </c>
      <c r="AR324" s="430">
        <f t="shared" si="413"/>
        <v>0</v>
      </c>
      <c r="AS324" s="430">
        <f t="shared" si="413"/>
        <v>0</v>
      </c>
    </row>
    <row r="325" spans="1:45" ht="15" customHeight="1" x14ac:dyDescent="0.3">
      <c r="A325" s="394"/>
      <c r="B325" s="394"/>
      <c r="C325" s="395"/>
      <c r="D325" s="34"/>
      <c r="E325" s="430" t="str">
        <f xml:space="preserve"> E$146</f>
        <v>Other taxes</v>
      </c>
      <c r="F325" s="430">
        <f t="shared" ref="F325:O325" si="414" xml:space="preserve"> F$146</f>
        <v>16</v>
      </c>
      <c r="G325" s="430" t="str">
        <f t="shared" si="414"/>
        <v>$ mn</v>
      </c>
      <c r="H325" s="430" t="str">
        <f t="shared" si="414"/>
        <v>M</v>
      </c>
      <c r="I325" s="430">
        <f t="shared" si="414"/>
        <v>16</v>
      </c>
      <c r="J325" s="430">
        <f t="shared" si="414"/>
        <v>0</v>
      </c>
      <c r="K325" s="430">
        <f t="shared" si="414"/>
        <v>0</v>
      </c>
      <c r="L325" s="430">
        <f t="shared" si="414"/>
        <v>0</v>
      </c>
      <c r="M325" s="430">
        <f t="shared" si="414"/>
        <v>0</v>
      </c>
      <c r="N325" s="430">
        <f t="shared" si="414"/>
        <v>0</v>
      </c>
      <c r="O325" s="430">
        <f t="shared" si="414"/>
        <v>0</v>
      </c>
      <c r="P325" s="430">
        <f t="shared" ref="P325:AS325" si="415" xml:space="preserve"> P$146</f>
        <v>0</v>
      </c>
      <c r="Q325" s="430">
        <f t="shared" si="415"/>
        <v>0</v>
      </c>
      <c r="R325" s="430">
        <f t="shared" si="415"/>
        <v>0</v>
      </c>
      <c r="S325" s="430">
        <f t="shared" si="415"/>
        <v>0</v>
      </c>
      <c r="T325" s="430">
        <f t="shared" si="415"/>
        <v>0</v>
      </c>
      <c r="U325" s="430">
        <f t="shared" si="415"/>
        <v>0</v>
      </c>
      <c r="V325" s="430">
        <f t="shared" si="415"/>
        <v>1</v>
      </c>
      <c r="W325" s="430">
        <f t="shared" si="415"/>
        <v>1</v>
      </c>
      <c r="X325" s="430">
        <f t="shared" si="415"/>
        <v>1</v>
      </c>
      <c r="Y325" s="430">
        <f t="shared" si="415"/>
        <v>1</v>
      </c>
      <c r="Z325" s="430">
        <f t="shared" si="415"/>
        <v>1</v>
      </c>
      <c r="AA325" s="430">
        <f t="shared" si="415"/>
        <v>1</v>
      </c>
      <c r="AB325" s="430">
        <f t="shared" si="415"/>
        <v>1</v>
      </c>
      <c r="AC325" s="430">
        <f t="shared" si="415"/>
        <v>1</v>
      </c>
      <c r="AD325" s="430">
        <f t="shared" si="415"/>
        <v>1</v>
      </c>
      <c r="AE325" s="430">
        <f t="shared" si="415"/>
        <v>1</v>
      </c>
      <c r="AF325" s="430">
        <f t="shared" si="415"/>
        <v>1</v>
      </c>
      <c r="AG325" s="430">
        <f t="shared" si="415"/>
        <v>1</v>
      </c>
      <c r="AH325" s="430">
        <f t="shared" si="415"/>
        <v>1</v>
      </c>
      <c r="AI325" s="430">
        <f t="shared" si="415"/>
        <v>1</v>
      </c>
      <c r="AJ325" s="430">
        <f t="shared" si="415"/>
        <v>1</v>
      </c>
      <c r="AK325" s="430">
        <f t="shared" si="415"/>
        <v>1</v>
      </c>
      <c r="AL325" s="430">
        <f t="shared" si="415"/>
        <v>0</v>
      </c>
      <c r="AM325" s="430">
        <f t="shared" si="415"/>
        <v>0</v>
      </c>
      <c r="AN325" s="430">
        <f t="shared" si="415"/>
        <v>0</v>
      </c>
      <c r="AO325" s="430">
        <f t="shared" si="415"/>
        <v>0</v>
      </c>
      <c r="AP325" s="430">
        <f t="shared" si="415"/>
        <v>0</v>
      </c>
      <c r="AQ325" s="430">
        <f t="shared" si="415"/>
        <v>0</v>
      </c>
      <c r="AR325" s="430">
        <f t="shared" si="415"/>
        <v>0</v>
      </c>
      <c r="AS325" s="430">
        <f t="shared" si="415"/>
        <v>0</v>
      </c>
    </row>
    <row r="326" spans="1:45" ht="15" customHeight="1" x14ac:dyDescent="0.3">
      <c r="A326" s="394"/>
      <c r="B326" s="394"/>
      <c r="C326" s="395"/>
      <c r="D326" s="34"/>
      <c r="E326" s="430" t="str">
        <f xml:space="preserve"> E$147</f>
        <v>Customs duties and other taxes</v>
      </c>
      <c r="F326" s="430">
        <f t="shared" ref="F326:O326" si="416" xml:space="preserve"> F$147</f>
        <v>739.43899999999996</v>
      </c>
      <c r="G326" s="430" t="str">
        <f t="shared" si="416"/>
        <v>$ mn</v>
      </c>
      <c r="H326" s="430" t="str">
        <f t="shared" si="416"/>
        <v>M</v>
      </c>
      <c r="I326" s="430">
        <f t="shared" si="416"/>
        <v>739.43900000000031</v>
      </c>
      <c r="J326" s="430">
        <f t="shared" si="416"/>
        <v>0</v>
      </c>
      <c r="K326" s="430">
        <f t="shared" si="416"/>
        <v>0</v>
      </c>
      <c r="L326" s="430">
        <f t="shared" si="416"/>
        <v>0</v>
      </c>
      <c r="M326" s="430">
        <f t="shared" si="416"/>
        <v>0</v>
      </c>
      <c r="N326" s="430">
        <f t="shared" si="416"/>
        <v>0</v>
      </c>
      <c r="O326" s="430">
        <f t="shared" si="416"/>
        <v>0</v>
      </c>
      <c r="P326" s="430">
        <f t="shared" ref="P326:AS326" si="417" xml:space="preserve"> P$147</f>
        <v>0</v>
      </c>
      <c r="Q326" s="430">
        <f t="shared" si="417"/>
        <v>0</v>
      </c>
      <c r="R326" s="430">
        <f t="shared" si="417"/>
        <v>0</v>
      </c>
      <c r="S326" s="430">
        <f t="shared" si="417"/>
        <v>0</v>
      </c>
      <c r="T326" s="430">
        <f t="shared" si="417"/>
        <v>0</v>
      </c>
      <c r="U326" s="430">
        <f t="shared" si="417"/>
        <v>0</v>
      </c>
      <c r="V326" s="430">
        <f t="shared" si="417"/>
        <v>29.366</v>
      </c>
      <c r="W326" s="430">
        <f t="shared" si="417"/>
        <v>14.458</v>
      </c>
      <c r="X326" s="430">
        <f t="shared" si="417"/>
        <v>96.558999999999997</v>
      </c>
      <c r="Y326" s="430">
        <f t="shared" si="417"/>
        <v>143.32300000000001</v>
      </c>
      <c r="Z326" s="430">
        <f t="shared" si="417"/>
        <v>78.591999999999999</v>
      </c>
      <c r="AA326" s="430">
        <f t="shared" si="417"/>
        <v>100.86499999999999</v>
      </c>
      <c r="AB326" s="430">
        <f t="shared" si="417"/>
        <v>28.867500000000007</v>
      </c>
      <c r="AC326" s="430">
        <f t="shared" si="417"/>
        <v>28.867500000000007</v>
      </c>
      <c r="AD326" s="430">
        <f t="shared" si="417"/>
        <v>28.867500000000007</v>
      </c>
      <c r="AE326" s="430">
        <f t="shared" si="417"/>
        <v>28.867500000000007</v>
      </c>
      <c r="AF326" s="430">
        <f t="shared" si="417"/>
        <v>28.867500000000007</v>
      </c>
      <c r="AG326" s="430">
        <f t="shared" si="417"/>
        <v>28.867500000000007</v>
      </c>
      <c r="AH326" s="430">
        <f t="shared" si="417"/>
        <v>28.867500000000007</v>
      </c>
      <c r="AI326" s="430">
        <f t="shared" si="417"/>
        <v>28.867500000000007</v>
      </c>
      <c r="AJ326" s="430">
        <f t="shared" si="417"/>
        <v>27.332999999999998</v>
      </c>
      <c r="AK326" s="430">
        <f t="shared" si="417"/>
        <v>18.003</v>
      </c>
      <c r="AL326" s="430">
        <f t="shared" si="417"/>
        <v>0</v>
      </c>
      <c r="AM326" s="430">
        <f t="shared" si="417"/>
        <v>0</v>
      </c>
      <c r="AN326" s="430">
        <f t="shared" si="417"/>
        <v>0</v>
      </c>
      <c r="AO326" s="430">
        <f t="shared" si="417"/>
        <v>0</v>
      </c>
      <c r="AP326" s="430">
        <f t="shared" si="417"/>
        <v>0</v>
      </c>
      <c r="AQ326" s="430">
        <f t="shared" si="417"/>
        <v>0</v>
      </c>
      <c r="AR326" s="430">
        <f t="shared" si="417"/>
        <v>0</v>
      </c>
      <c r="AS326" s="430">
        <f t="shared" si="417"/>
        <v>0</v>
      </c>
    </row>
    <row r="327" spans="1:45" ht="15" customHeight="1" x14ac:dyDescent="0.3">
      <c r="E327" s="169" t="str">
        <f xml:space="preserve"> E$227</f>
        <v>Total royalty</v>
      </c>
      <c r="F327" s="169">
        <f t="shared" ref="F327:I327" si="418" xml:space="preserve"> F$227</f>
        <v>0</v>
      </c>
      <c r="G327" s="169" t="str">
        <f t="shared" si="418"/>
        <v>$ mn</v>
      </c>
      <c r="H327" s="169">
        <f t="shared" si="418"/>
        <v>0</v>
      </c>
      <c r="I327" s="169">
        <f t="shared" si="418"/>
        <v>455.87740629965998</v>
      </c>
      <c r="J327" s="42"/>
      <c r="K327" s="169">
        <f t="shared" ref="K327:O327" si="419" xml:space="preserve"> K$227</f>
        <v>0</v>
      </c>
      <c r="L327" s="169">
        <f t="shared" si="419"/>
        <v>0</v>
      </c>
      <c r="M327" s="169">
        <f t="shared" si="419"/>
        <v>0</v>
      </c>
      <c r="N327" s="169">
        <f t="shared" si="419"/>
        <v>0</v>
      </c>
      <c r="O327" s="169">
        <f t="shared" si="419"/>
        <v>0</v>
      </c>
      <c r="P327" s="169">
        <f t="shared" ref="P327:AS327" si="420" xml:space="preserve"> P$227</f>
        <v>0</v>
      </c>
      <c r="Q327" s="169">
        <f t="shared" si="420"/>
        <v>0</v>
      </c>
      <c r="R327" s="169">
        <f t="shared" si="420"/>
        <v>0</v>
      </c>
      <c r="S327" s="169">
        <f t="shared" si="420"/>
        <v>0</v>
      </c>
      <c r="T327" s="169">
        <f t="shared" si="420"/>
        <v>0</v>
      </c>
      <c r="U327" s="169">
        <f t="shared" si="420"/>
        <v>0</v>
      </c>
      <c r="V327" s="169">
        <f t="shared" si="420"/>
        <v>2.0936120999999996</v>
      </c>
      <c r="W327" s="169">
        <f t="shared" si="420"/>
        <v>7.5658579700000015</v>
      </c>
      <c r="X327" s="169">
        <f t="shared" si="420"/>
        <v>16.337975890432002</v>
      </c>
      <c r="Y327" s="169">
        <f t="shared" si="420"/>
        <v>25.546252756080001</v>
      </c>
      <c r="Z327" s="169">
        <f t="shared" si="420"/>
        <v>43.023062557887997</v>
      </c>
      <c r="AA327" s="169">
        <f t="shared" si="420"/>
        <v>43.288425837524002</v>
      </c>
      <c r="AB327" s="169">
        <f t="shared" si="420"/>
        <v>34.594068645528004</v>
      </c>
      <c r="AC327" s="169">
        <f t="shared" si="420"/>
        <v>35.312801728050673</v>
      </c>
      <c r="AD327" s="169">
        <f t="shared" si="420"/>
        <v>35.312801728050673</v>
      </c>
      <c r="AE327" s="169">
        <f t="shared" si="420"/>
        <v>35.312801728050673</v>
      </c>
      <c r="AF327" s="169">
        <f t="shared" si="420"/>
        <v>35.312801728050673</v>
      </c>
      <c r="AG327" s="169">
        <f t="shared" si="420"/>
        <v>35.312801728050673</v>
      </c>
      <c r="AH327" s="169">
        <f t="shared" si="420"/>
        <v>35.312801728050673</v>
      </c>
      <c r="AI327" s="169">
        <f t="shared" si="420"/>
        <v>30.057016041384003</v>
      </c>
      <c r="AJ327" s="169">
        <f t="shared" si="420"/>
        <v>29.352096292092003</v>
      </c>
      <c r="AK327" s="169">
        <f t="shared" si="420"/>
        <v>12.142227840428001</v>
      </c>
      <c r="AL327" s="169">
        <f t="shared" si="420"/>
        <v>0</v>
      </c>
      <c r="AM327" s="169">
        <f t="shared" si="420"/>
        <v>0</v>
      </c>
      <c r="AN327" s="169">
        <f t="shared" si="420"/>
        <v>0</v>
      </c>
      <c r="AO327" s="169">
        <f t="shared" si="420"/>
        <v>0</v>
      </c>
      <c r="AP327" s="169">
        <f t="shared" si="420"/>
        <v>0</v>
      </c>
      <c r="AQ327" s="169">
        <f t="shared" si="420"/>
        <v>0</v>
      </c>
      <c r="AR327" s="169">
        <f t="shared" si="420"/>
        <v>0</v>
      </c>
      <c r="AS327" s="169">
        <f t="shared" si="420"/>
        <v>0</v>
      </c>
    </row>
    <row r="328" spans="1:45" ht="15" customHeight="1" x14ac:dyDescent="0.3">
      <c r="E328" s="299" t="str">
        <f xml:space="preserve"> E$155</f>
        <v>Operating costs: FS</v>
      </c>
      <c r="F328" s="299" t="str">
        <f t="shared" ref="F328:I328" si="421" xml:space="preserve"> F$155</f>
        <v>FS</v>
      </c>
      <c r="G328" s="290" t="str">
        <f t="shared" si="421"/>
        <v>$ mn</v>
      </c>
      <c r="H328" s="291">
        <f t="shared" si="421"/>
        <v>0</v>
      </c>
      <c r="I328" s="291">
        <f t="shared" si="421"/>
        <v>5671.6441637003409</v>
      </c>
      <c r="J328" s="42"/>
      <c r="K328" s="299">
        <f t="shared" ref="K328:O328" si="422" xml:space="preserve"> K$155</f>
        <v>0</v>
      </c>
      <c r="L328" s="299">
        <f t="shared" si="422"/>
        <v>0</v>
      </c>
      <c r="M328" s="299">
        <f t="shared" si="422"/>
        <v>0</v>
      </c>
      <c r="N328" s="299">
        <f t="shared" si="422"/>
        <v>0</v>
      </c>
      <c r="O328" s="299">
        <f t="shared" si="422"/>
        <v>0</v>
      </c>
      <c r="P328" s="299">
        <f t="shared" ref="P328:AS328" si="423" xml:space="preserve"> P$155</f>
        <v>0</v>
      </c>
      <c r="Q328" s="299">
        <f t="shared" si="423"/>
        <v>0</v>
      </c>
      <c r="R328" s="299">
        <f t="shared" si="423"/>
        <v>0</v>
      </c>
      <c r="S328" s="299">
        <f t="shared" si="423"/>
        <v>0</v>
      </c>
      <c r="T328" s="299">
        <f t="shared" si="423"/>
        <v>0</v>
      </c>
      <c r="U328" s="299">
        <f t="shared" si="423"/>
        <v>0</v>
      </c>
      <c r="V328" s="299">
        <f t="shared" si="423"/>
        <v>58.864257899999998</v>
      </c>
      <c r="W328" s="299">
        <f t="shared" si="423"/>
        <v>128.08996202999998</v>
      </c>
      <c r="X328" s="299">
        <f t="shared" si="423"/>
        <v>177.35473410956803</v>
      </c>
      <c r="Y328" s="299">
        <f t="shared" si="423"/>
        <v>188.68425724392</v>
      </c>
      <c r="Z328" s="299">
        <f t="shared" si="423"/>
        <v>241.54856744211202</v>
      </c>
      <c r="AA328" s="299">
        <f t="shared" si="423"/>
        <v>479.85668416247591</v>
      </c>
      <c r="AB328" s="299">
        <f t="shared" si="423"/>
        <v>462.19492135447194</v>
      </c>
      <c r="AC328" s="299">
        <f t="shared" si="423"/>
        <v>468.16242827194935</v>
      </c>
      <c r="AD328" s="299">
        <f t="shared" si="423"/>
        <v>468.16242827194935</v>
      </c>
      <c r="AE328" s="299">
        <f t="shared" si="423"/>
        <v>468.16242827194935</v>
      </c>
      <c r="AF328" s="299">
        <f t="shared" si="423"/>
        <v>468.16242827194935</v>
      </c>
      <c r="AG328" s="299">
        <f t="shared" si="423"/>
        <v>468.16242827194935</v>
      </c>
      <c r="AH328" s="299">
        <f t="shared" si="423"/>
        <v>468.16242827194935</v>
      </c>
      <c r="AI328" s="299">
        <f t="shared" si="423"/>
        <v>473.41821395861609</v>
      </c>
      <c r="AJ328" s="299">
        <f t="shared" si="423"/>
        <v>424.92129370790803</v>
      </c>
      <c r="AK328" s="299">
        <f t="shared" si="423"/>
        <v>227.73670215957202</v>
      </c>
      <c r="AL328" s="299">
        <f t="shared" si="423"/>
        <v>0</v>
      </c>
      <c r="AM328" s="299">
        <f t="shared" si="423"/>
        <v>0</v>
      </c>
      <c r="AN328" s="299">
        <f t="shared" si="423"/>
        <v>0</v>
      </c>
      <c r="AO328" s="299">
        <f t="shared" si="423"/>
        <v>0</v>
      </c>
      <c r="AP328" s="299">
        <f t="shared" si="423"/>
        <v>0</v>
      </c>
      <c r="AQ328" s="299">
        <f t="shared" si="423"/>
        <v>0</v>
      </c>
      <c r="AR328" s="299">
        <f t="shared" si="423"/>
        <v>0</v>
      </c>
      <c r="AS328" s="299">
        <f t="shared" si="423"/>
        <v>0</v>
      </c>
    </row>
    <row r="329" spans="1:45" ht="15" customHeight="1" x14ac:dyDescent="0.3">
      <c r="E329" s="169" t="str">
        <f xml:space="preserve"> E$312</f>
        <v>Depreciation: FS</v>
      </c>
      <c r="F329" s="169" t="str">
        <f t="shared" ref="F329:I329" si="424" xml:space="preserve"> F$312</f>
        <v>FS</v>
      </c>
      <c r="G329" s="169" t="str">
        <f t="shared" si="424"/>
        <v>$ mn</v>
      </c>
      <c r="H329" s="169">
        <f t="shared" si="424"/>
        <v>0</v>
      </c>
      <c r="I329" s="169">
        <f t="shared" si="424"/>
        <v>730.01099999999985</v>
      </c>
      <c r="J329" s="42"/>
      <c r="K329" s="169">
        <f t="shared" ref="K329:O329" si="425" xml:space="preserve"> K$312</f>
        <v>0</v>
      </c>
      <c r="L329" s="169">
        <f t="shared" si="425"/>
        <v>0</v>
      </c>
      <c r="M329" s="169">
        <f t="shared" si="425"/>
        <v>0</v>
      </c>
      <c r="N329" s="169">
        <f t="shared" si="425"/>
        <v>0</v>
      </c>
      <c r="O329" s="169">
        <f t="shared" si="425"/>
        <v>0</v>
      </c>
      <c r="P329" s="169">
        <f t="shared" ref="P329:AS329" si="426" xml:space="preserve"> P$312</f>
        <v>0</v>
      </c>
      <c r="Q329" s="169">
        <f t="shared" si="426"/>
        <v>0</v>
      </c>
      <c r="R329" s="169">
        <f t="shared" si="426"/>
        <v>0</v>
      </c>
      <c r="S329" s="169">
        <f t="shared" si="426"/>
        <v>0</v>
      </c>
      <c r="T329" s="169">
        <f t="shared" si="426"/>
        <v>0</v>
      </c>
      <c r="U329" s="169">
        <f t="shared" si="426"/>
        <v>0</v>
      </c>
      <c r="V329" s="169">
        <f t="shared" si="426"/>
        <v>15.738</v>
      </c>
      <c r="W329" s="169">
        <f t="shared" si="426"/>
        <v>26.286000000000001</v>
      </c>
      <c r="X329" s="169">
        <f t="shared" si="426"/>
        <v>47.813000000000002</v>
      </c>
      <c r="Y329" s="169">
        <f t="shared" si="426"/>
        <v>64.415000000000006</v>
      </c>
      <c r="Z329" s="169">
        <f t="shared" si="426"/>
        <v>68.094999999999999</v>
      </c>
      <c r="AA329" s="169">
        <f t="shared" si="426"/>
        <v>63.457999999999998</v>
      </c>
      <c r="AB329" s="169">
        <f t="shared" si="426"/>
        <v>63.457999999999998</v>
      </c>
      <c r="AC329" s="169">
        <f t="shared" si="426"/>
        <v>63.457999999999998</v>
      </c>
      <c r="AD329" s="169">
        <f t="shared" si="426"/>
        <v>63.457999999999998</v>
      </c>
      <c r="AE329" s="169">
        <f t="shared" si="426"/>
        <v>63.457999999999998</v>
      </c>
      <c r="AF329" s="169">
        <f t="shared" si="426"/>
        <v>63.457999999999998</v>
      </c>
      <c r="AG329" s="169">
        <f t="shared" si="426"/>
        <v>63.457999999999998</v>
      </c>
      <c r="AH329" s="169">
        <f t="shared" si="426"/>
        <v>63.457999999999998</v>
      </c>
      <c r="AI329" s="169">
        <f t="shared" si="426"/>
        <v>0</v>
      </c>
      <c r="AJ329" s="169">
        <f t="shared" si="426"/>
        <v>0</v>
      </c>
      <c r="AK329" s="169">
        <f t="shared" si="426"/>
        <v>0</v>
      </c>
      <c r="AL329" s="169">
        <f t="shared" si="426"/>
        <v>0</v>
      </c>
      <c r="AM329" s="169">
        <f t="shared" si="426"/>
        <v>0</v>
      </c>
      <c r="AN329" s="169">
        <f t="shared" si="426"/>
        <v>0</v>
      </c>
      <c r="AO329" s="169">
        <f t="shared" si="426"/>
        <v>0</v>
      </c>
      <c r="AP329" s="169">
        <f t="shared" si="426"/>
        <v>0</v>
      </c>
      <c r="AQ329" s="169">
        <f t="shared" si="426"/>
        <v>0</v>
      </c>
      <c r="AR329" s="169">
        <f t="shared" si="426"/>
        <v>0</v>
      </c>
      <c r="AS329" s="169">
        <f t="shared" si="426"/>
        <v>0</v>
      </c>
    </row>
    <row r="330" spans="1:45" ht="15" customHeight="1" x14ac:dyDescent="0.3">
      <c r="E330" s="169" t="str">
        <f xml:space="preserve"> E$421</f>
        <v>Interest charge: FS</v>
      </c>
      <c r="F330" s="169">
        <f xml:space="preserve"> F$421</f>
        <v>0</v>
      </c>
      <c r="G330" s="169" t="str">
        <f xml:space="preserve"> G$421</f>
        <v>$ mn</v>
      </c>
      <c r="H330" s="169" t="str">
        <f xml:space="preserve"> H$421</f>
        <v>M</v>
      </c>
      <c r="I330" s="169">
        <f xml:space="preserve"> I$421</f>
        <v>39.111939999999997</v>
      </c>
      <c r="J330" s="42"/>
      <c r="K330" s="169">
        <f t="shared" ref="K330:O330" si="427" xml:space="preserve"> K$421</f>
        <v>0</v>
      </c>
      <c r="L330" s="169">
        <f t="shared" si="427"/>
        <v>0</v>
      </c>
      <c r="M330" s="169">
        <f t="shared" si="427"/>
        <v>0</v>
      </c>
      <c r="N330" s="169">
        <f t="shared" si="427"/>
        <v>0</v>
      </c>
      <c r="O330" s="169">
        <f t="shared" si="427"/>
        <v>0</v>
      </c>
      <c r="P330" s="169">
        <f t="shared" ref="P330:AS330" si="428" xml:space="preserve"> P$421</f>
        <v>0</v>
      </c>
      <c r="Q330" s="169">
        <f t="shared" si="428"/>
        <v>0</v>
      </c>
      <c r="R330" s="169">
        <f t="shared" si="428"/>
        <v>0</v>
      </c>
      <c r="S330" s="169">
        <f t="shared" si="428"/>
        <v>0</v>
      </c>
      <c r="T330" s="169">
        <f t="shared" si="428"/>
        <v>0</v>
      </c>
      <c r="U330" s="169">
        <f t="shared" si="428"/>
        <v>0</v>
      </c>
      <c r="V330" s="169">
        <f t="shared" si="428"/>
        <v>0</v>
      </c>
      <c r="W330" s="169">
        <f t="shared" si="428"/>
        <v>0</v>
      </c>
      <c r="X330" s="169">
        <f t="shared" si="428"/>
        <v>8.7219999999999995</v>
      </c>
      <c r="Y330" s="169">
        <f t="shared" si="428"/>
        <v>12.85872</v>
      </c>
      <c r="Z330" s="169">
        <f t="shared" si="428"/>
        <v>9.1207200000000004</v>
      </c>
      <c r="AA330" s="169">
        <f t="shared" si="428"/>
        <v>2.8035000000000001</v>
      </c>
      <c r="AB330" s="169">
        <f t="shared" si="428"/>
        <v>2.2427999999999999</v>
      </c>
      <c r="AC330" s="169">
        <f t="shared" si="428"/>
        <v>1.6820999999999999</v>
      </c>
      <c r="AD330" s="169">
        <f t="shared" si="428"/>
        <v>1.1214</v>
      </c>
      <c r="AE330" s="169">
        <f t="shared" si="428"/>
        <v>0.56069999999999998</v>
      </c>
      <c r="AF330" s="169">
        <f t="shared" si="428"/>
        <v>0</v>
      </c>
      <c r="AG330" s="169">
        <f t="shared" si="428"/>
        <v>0</v>
      </c>
      <c r="AH330" s="169">
        <f t="shared" si="428"/>
        <v>0</v>
      </c>
      <c r="AI330" s="169">
        <f t="shared" si="428"/>
        <v>0</v>
      </c>
      <c r="AJ330" s="169">
        <f t="shared" si="428"/>
        <v>0</v>
      </c>
      <c r="AK330" s="169">
        <f t="shared" si="428"/>
        <v>0</v>
      </c>
      <c r="AL330" s="169">
        <f t="shared" si="428"/>
        <v>0</v>
      </c>
      <c r="AM330" s="169">
        <f t="shared" si="428"/>
        <v>0</v>
      </c>
      <c r="AN330" s="169">
        <f t="shared" si="428"/>
        <v>0</v>
      </c>
      <c r="AO330" s="169">
        <f t="shared" si="428"/>
        <v>0</v>
      </c>
      <c r="AP330" s="169">
        <f t="shared" si="428"/>
        <v>0</v>
      </c>
      <c r="AQ330" s="169">
        <f t="shared" si="428"/>
        <v>0</v>
      </c>
      <c r="AR330" s="169">
        <f t="shared" si="428"/>
        <v>0</v>
      </c>
      <c r="AS330" s="169">
        <f t="shared" si="428"/>
        <v>0</v>
      </c>
    </row>
    <row r="331" spans="1:45" ht="15" customHeight="1" x14ac:dyDescent="0.3">
      <c r="A331" s="303"/>
      <c r="B331" s="303"/>
      <c r="C331" s="304"/>
      <c r="D331" s="305"/>
      <c r="E331" s="305" t="s">
        <v>225</v>
      </c>
      <c r="F331" s="305"/>
      <c r="G331" s="305" t="s">
        <v>346</v>
      </c>
      <c r="H331" s="307"/>
      <c r="I331" s="307">
        <f>SUM(K331:AS331)</f>
        <v>7969.5765100000008</v>
      </c>
      <c r="J331" s="42"/>
      <c r="K331" s="305">
        <f t="shared" ref="K331:O331" si="429">SUM(K320:K330)</f>
        <v>0</v>
      </c>
      <c r="L331" s="305">
        <f t="shared" si="429"/>
        <v>0</v>
      </c>
      <c r="M331" s="305">
        <f t="shared" si="429"/>
        <v>0</v>
      </c>
      <c r="N331" s="305">
        <f t="shared" si="429"/>
        <v>0</v>
      </c>
      <c r="O331" s="305">
        <f t="shared" si="429"/>
        <v>0</v>
      </c>
      <c r="P331" s="305">
        <f t="shared" ref="P331:R331" si="430">SUM(P320:P330)</f>
        <v>0</v>
      </c>
      <c r="Q331" s="305">
        <f t="shared" si="430"/>
        <v>0</v>
      </c>
      <c r="R331" s="305">
        <f t="shared" si="430"/>
        <v>0</v>
      </c>
      <c r="S331" s="305">
        <f>SUM(S320:S330)</f>
        <v>0</v>
      </c>
      <c r="T331" s="305">
        <f t="shared" ref="T331:AN331" si="431">SUM(T320:T330)</f>
        <v>0</v>
      </c>
      <c r="U331" s="305">
        <f t="shared" si="431"/>
        <v>0</v>
      </c>
      <c r="V331" s="305">
        <f t="shared" si="431"/>
        <v>128.65087</v>
      </c>
      <c r="W331" s="305">
        <f t="shared" si="431"/>
        <v>197.66082</v>
      </c>
      <c r="X331" s="305">
        <f t="shared" si="431"/>
        <v>363.57470999999998</v>
      </c>
      <c r="Y331" s="305">
        <f t="shared" si="431"/>
        <v>453.96523000000002</v>
      </c>
      <c r="Z331" s="305">
        <f t="shared" si="431"/>
        <v>464.00734999999997</v>
      </c>
      <c r="AA331" s="305">
        <f t="shared" si="431"/>
        <v>713.14460999999994</v>
      </c>
      <c r="AB331" s="305">
        <f t="shared" si="431"/>
        <v>612.80128999999988</v>
      </c>
      <c r="AC331" s="305">
        <f t="shared" si="431"/>
        <v>618.92683</v>
      </c>
      <c r="AD331" s="305">
        <f t="shared" si="431"/>
        <v>618.36613</v>
      </c>
      <c r="AE331" s="305">
        <f t="shared" si="431"/>
        <v>617.80543</v>
      </c>
      <c r="AF331" s="305">
        <f t="shared" si="431"/>
        <v>617.24473</v>
      </c>
      <c r="AG331" s="305">
        <f t="shared" si="431"/>
        <v>617.24473</v>
      </c>
      <c r="AH331" s="305">
        <f t="shared" si="431"/>
        <v>617.24473</v>
      </c>
      <c r="AI331" s="305">
        <f t="shared" si="431"/>
        <v>553.78673000000015</v>
      </c>
      <c r="AJ331" s="305">
        <f t="shared" si="431"/>
        <v>501.67339000000004</v>
      </c>
      <c r="AK331" s="305">
        <f t="shared" si="431"/>
        <v>273.47892999999999</v>
      </c>
      <c r="AL331" s="305">
        <f t="shared" si="431"/>
        <v>0</v>
      </c>
      <c r="AM331" s="305">
        <f t="shared" si="431"/>
        <v>0</v>
      </c>
      <c r="AN331" s="305">
        <f t="shared" si="431"/>
        <v>0</v>
      </c>
      <c r="AO331" s="305">
        <f t="shared" ref="AO331:AP331" si="432">SUM(AO320:AO330)</f>
        <v>0</v>
      </c>
      <c r="AP331" s="305">
        <f t="shared" si="432"/>
        <v>0</v>
      </c>
      <c r="AQ331" s="305">
        <f t="shared" ref="AQ331:AS331" si="433">SUM(AQ320:AQ330)</f>
        <v>0</v>
      </c>
      <c r="AR331" s="305">
        <f t="shared" si="433"/>
        <v>0</v>
      </c>
      <c r="AS331" s="305">
        <f t="shared" si="433"/>
        <v>0</v>
      </c>
    </row>
    <row r="332" spans="1:45" ht="15" customHeight="1" x14ac:dyDescent="0.3">
      <c r="I332" s="291"/>
      <c r="J332" s="42"/>
      <c r="AL332" s="290"/>
      <c r="AM332" s="290"/>
      <c r="AN332" s="290"/>
      <c r="AO332" s="290"/>
      <c r="AP332" s="290"/>
      <c r="AQ332" s="290"/>
      <c r="AR332" s="290"/>
      <c r="AS332" s="290"/>
    </row>
    <row r="333" spans="1:45" ht="15" customHeight="1" x14ac:dyDescent="0.3">
      <c r="C333" s="289" t="s">
        <v>462</v>
      </c>
      <c r="I333" s="291"/>
      <c r="J333" s="42"/>
      <c r="AL333" s="290"/>
      <c r="AM333" s="290"/>
      <c r="AN333" s="290"/>
      <c r="AO333" s="290"/>
      <c r="AP333" s="290"/>
      <c r="AQ333" s="290"/>
      <c r="AR333" s="290"/>
      <c r="AS333" s="290"/>
    </row>
    <row r="334" spans="1:45" ht="15" customHeight="1" x14ac:dyDescent="0.3">
      <c r="E334" s="290" t="s">
        <v>226</v>
      </c>
      <c r="G334" s="290" t="s">
        <v>346</v>
      </c>
      <c r="H334" s="290"/>
      <c r="I334" s="290">
        <f>SUM(K334:AS334)</f>
        <v>3940.5986504965995</v>
      </c>
      <c r="J334" s="42"/>
      <c r="K334" s="290">
        <f t="shared" ref="K334:O334" si="434">K317 - K331</f>
        <v>0</v>
      </c>
      <c r="L334" s="290">
        <f t="shared" si="434"/>
        <v>0</v>
      </c>
      <c r="M334" s="290">
        <f t="shared" si="434"/>
        <v>0</v>
      </c>
      <c r="N334" s="290">
        <f t="shared" si="434"/>
        <v>0</v>
      </c>
      <c r="O334" s="290">
        <f t="shared" si="434"/>
        <v>0</v>
      </c>
      <c r="P334" s="290">
        <f t="shared" ref="P334:R334" si="435">P317 - P331</f>
        <v>0</v>
      </c>
      <c r="Q334" s="290">
        <f t="shared" si="435"/>
        <v>0</v>
      </c>
      <c r="R334" s="290">
        <f t="shared" si="435"/>
        <v>0</v>
      </c>
      <c r="S334" s="290">
        <f t="shared" ref="S334:AN334" si="436">S317 - S331</f>
        <v>0</v>
      </c>
      <c r="T334" s="290">
        <f t="shared" si="436"/>
        <v>0</v>
      </c>
      <c r="U334" s="290">
        <f t="shared" si="436"/>
        <v>0</v>
      </c>
      <c r="V334" s="290">
        <f t="shared" si="436"/>
        <v>-23.970265000000012</v>
      </c>
      <c r="W334" s="290">
        <f t="shared" si="436"/>
        <v>77.461288000000025</v>
      </c>
      <c r="X334" s="290">
        <f t="shared" si="436"/>
        <v>70.757109504320056</v>
      </c>
      <c r="Y334" s="290">
        <f t="shared" si="436"/>
        <v>214.74936861080005</v>
      </c>
      <c r="Z334" s="290">
        <f t="shared" si="436"/>
        <v>654.69170427887991</v>
      </c>
      <c r="AA334" s="290">
        <f t="shared" si="436"/>
        <v>329.73393002524006</v>
      </c>
      <c r="AB334" s="290">
        <f t="shared" si="436"/>
        <v>288.98733325528008</v>
      </c>
      <c r="AC334" s="290">
        <f t="shared" si="436"/>
        <v>300.57323854717333</v>
      </c>
      <c r="AD334" s="290">
        <f t="shared" si="436"/>
        <v>301.13393854717333</v>
      </c>
      <c r="AE334" s="290">
        <f t="shared" si="436"/>
        <v>301.69463854717333</v>
      </c>
      <c r="AF334" s="290">
        <f t="shared" si="436"/>
        <v>302.25533854717332</v>
      </c>
      <c r="AG334" s="290">
        <f t="shared" si="436"/>
        <v>302.25533854717332</v>
      </c>
      <c r="AH334" s="290">
        <f t="shared" si="436"/>
        <v>302.25533854717332</v>
      </c>
      <c r="AI334" s="290">
        <f t="shared" si="436"/>
        <v>215.54803321383974</v>
      </c>
      <c r="AJ334" s="290">
        <f t="shared" si="436"/>
        <v>260.61217572091994</v>
      </c>
      <c r="AK334" s="290">
        <f t="shared" si="436"/>
        <v>41.860141604279988</v>
      </c>
      <c r="AL334" s="290">
        <f t="shared" si="436"/>
        <v>0</v>
      </c>
      <c r="AM334" s="290">
        <f t="shared" si="436"/>
        <v>0</v>
      </c>
      <c r="AN334" s="290">
        <f t="shared" si="436"/>
        <v>0</v>
      </c>
      <c r="AO334" s="290">
        <f t="shared" ref="AO334:AP334" si="437">AO317 - AO331</f>
        <v>0</v>
      </c>
      <c r="AP334" s="290">
        <f t="shared" si="437"/>
        <v>0</v>
      </c>
      <c r="AQ334" s="290">
        <f t="shared" ref="AQ334:AS334" si="438">AQ317 - AQ331</f>
        <v>0</v>
      </c>
      <c r="AR334" s="290">
        <f t="shared" si="438"/>
        <v>0</v>
      </c>
      <c r="AS334" s="290">
        <f t="shared" si="438"/>
        <v>0</v>
      </c>
    </row>
    <row r="335" spans="1:45" ht="15" customHeight="1" x14ac:dyDescent="0.3">
      <c r="A335" s="332"/>
      <c r="B335" s="332"/>
      <c r="C335" s="333"/>
      <c r="D335" s="299"/>
      <c r="E335" s="299" t="s">
        <v>227</v>
      </c>
      <c r="F335" s="299"/>
      <c r="G335" s="299" t="s">
        <v>346</v>
      </c>
      <c r="H335" s="314"/>
      <c r="I335" s="314"/>
      <c r="J335" s="42"/>
      <c r="K335" s="299">
        <f>J336 * (J336 &lt; 0)</f>
        <v>0</v>
      </c>
      <c r="L335" s="299">
        <f t="shared" ref="L335:AS335" si="439">K336 * (K336 &lt; 0)</f>
        <v>0</v>
      </c>
      <c r="M335" s="299">
        <f t="shared" si="439"/>
        <v>0</v>
      </c>
      <c r="N335" s="299">
        <f t="shared" si="439"/>
        <v>0</v>
      </c>
      <c r="O335" s="299">
        <f t="shared" si="439"/>
        <v>0</v>
      </c>
      <c r="P335" s="299">
        <f t="shared" si="439"/>
        <v>0</v>
      </c>
      <c r="Q335" s="299">
        <f t="shared" si="439"/>
        <v>0</v>
      </c>
      <c r="R335" s="299">
        <f t="shared" si="439"/>
        <v>0</v>
      </c>
      <c r="S335" s="299">
        <f t="shared" si="439"/>
        <v>0</v>
      </c>
      <c r="T335" s="299">
        <f t="shared" si="439"/>
        <v>0</v>
      </c>
      <c r="U335" s="299">
        <f t="shared" si="439"/>
        <v>0</v>
      </c>
      <c r="V335" s="299">
        <f t="shared" si="439"/>
        <v>0</v>
      </c>
      <c r="W335" s="299">
        <f t="shared" si="439"/>
        <v>-23.970265000000012</v>
      </c>
      <c r="X335" s="299">
        <f t="shared" si="439"/>
        <v>0</v>
      </c>
      <c r="Y335" s="299">
        <f t="shared" si="439"/>
        <v>0</v>
      </c>
      <c r="Z335" s="299">
        <f t="shared" si="439"/>
        <v>0</v>
      </c>
      <c r="AA335" s="299">
        <f t="shared" si="439"/>
        <v>0</v>
      </c>
      <c r="AB335" s="299">
        <f t="shared" si="439"/>
        <v>0</v>
      </c>
      <c r="AC335" s="299">
        <f t="shared" si="439"/>
        <v>0</v>
      </c>
      <c r="AD335" s="299">
        <f t="shared" si="439"/>
        <v>0</v>
      </c>
      <c r="AE335" s="299">
        <f t="shared" si="439"/>
        <v>0</v>
      </c>
      <c r="AF335" s="299">
        <f t="shared" si="439"/>
        <v>0</v>
      </c>
      <c r="AG335" s="299">
        <f t="shared" si="439"/>
        <v>0</v>
      </c>
      <c r="AH335" s="299">
        <f t="shared" si="439"/>
        <v>0</v>
      </c>
      <c r="AI335" s="299">
        <f t="shared" si="439"/>
        <v>0</v>
      </c>
      <c r="AJ335" s="299">
        <f t="shared" si="439"/>
        <v>0</v>
      </c>
      <c r="AK335" s="299">
        <f t="shared" si="439"/>
        <v>0</v>
      </c>
      <c r="AL335" s="299">
        <f t="shared" si="439"/>
        <v>0</v>
      </c>
      <c r="AM335" s="299">
        <f t="shared" si="439"/>
        <v>0</v>
      </c>
      <c r="AN335" s="299">
        <f t="shared" si="439"/>
        <v>0</v>
      </c>
      <c r="AO335" s="299">
        <f t="shared" si="439"/>
        <v>0</v>
      </c>
      <c r="AP335" s="299">
        <f t="shared" si="439"/>
        <v>0</v>
      </c>
      <c r="AQ335" s="299">
        <f t="shared" si="439"/>
        <v>0</v>
      </c>
      <c r="AR335" s="299">
        <f t="shared" si="439"/>
        <v>0</v>
      </c>
      <c r="AS335" s="299">
        <f t="shared" si="439"/>
        <v>0</v>
      </c>
    </row>
    <row r="336" spans="1:45" ht="15" customHeight="1" x14ac:dyDescent="0.3">
      <c r="A336" s="332"/>
      <c r="B336" s="332"/>
      <c r="C336" s="333"/>
      <c r="D336" s="299"/>
      <c r="E336" s="299" t="s">
        <v>228</v>
      </c>
      <c r="F336" s="299"/>
      <c r="G336" s="299" t="s">
        <v>346</v>
      </c>
      <c r="H336" s="314"/>
      <c r="I336" s="314">
        <f>SUM(K336:AS336)</f>
        <v>3916.6283854965995</v>
      </c>
      <c r="J336" s="42"/>
      <c r="K336" s="299">
        <f t="shared" ref="K336:O336" si="440">K334 + K335</f>
        <v>0</v>
      </c>
      <c r="L336" s="299">
        <f t="shared" si="440"/>
        <v>0</v>
      </c>
      <c r="M336" s="299">
        <f t="shared" si="440"/>
        <v>0</v>
      </c>
      <c r="N336" s="299">
        <f t="shared" si="440"/>
        <v>0</v>
      </c>
      <c r="O336" s="299">
        <f t="shared" si="440"/>
        <v>0</v>
      </c>
      <c r="P336" s="299">
        <f t="shared" ref="P336:R336" si="441">P334 + P335</f>
        <v>0</v>
      </c>
      <c r="Q336" s="299">
        <f t="shared" si="441"/>
        <v>0</v>
      </c>
      <c r="R336" s="299">
        <f t="shared" si="441"/>
        <v>0</v>
      </c>
      <c r="S336" s="299">
        <f t="shared" ref="S336:AN336" si="442">S334 + S335</f>
        <v>0</v>
      </c>
      <c r="T336" s="299">
        <f t="shared" si="442"/>
        <v>0</v>
      </c>
      <c r="U336" s="299">
        <f t="shared" si="442"/>
        <v>0</v>
      </c>
      <c r="V336" s="299">
        <f t="shared" si="442"/>
        <v>-23.970265000000012</v>
      </c>
      <c r="W336" s="299">
        <f t="shared" si="442"/>
        <v>53.491023000000013</v>
      </c>
      <c r="X336" s="299">
        <f t="shared" si="442"/>
        <v>70.757109504320056</v>
      </c>
      <c r="Y336" s="299">
        <f t="shared" si="442"/>
        <v>214.74936861080005</v>
      </c>
      <c r="Z336" s="299">
        <f t="shared" si="442"/>
        <v>654.69170427887991</v>
      </c>
      <c r="AA336" s="299">
        <f t="shared" si="442"/>
        <v>329.73393002524006</v>
      </c>
      <c r="AB336" s="299">
        <f t="shared" si="442"/>
        <v>288.98733325528008</v>
      </c>
      <c r="AC336" s="299">
        <f t="shared" si="442"/>
        <v>300.57323854717333</v>
      </c>
      <c r="AD336" s="299">
        <f t="shared" si="442"/>
        <v>301.13393854717333</v>
      </c>
      <c r="AE336" s="299">
        <f t="shared" si="442"/>
        <v>301.69463854717333</v>
      </c>
      <c r="AF336" s="299">
        <f t="shared" si="442"/>
        <v>302.25533854717332</v>
      </c>
      <c r="AG336" s="299">
        <f t="shared" si="442"/>
        <v>302.25533854717332</v>
      </c>
      <c r="AH336" s="299">
        <f t="shared" si="442"/>
        <v>302.25533854717332</v>
      </c>
      <c r="AI336" s="299">
        <f t="shared" si="442"/>
        <v>215.54803321383974</v>
      </c>
      <c r="AJ336" s="299">
        <f t="shared" si="442"/>
        <v>260.61217572091994</v>
      </c>
      <c r="AK336" s="299">
        <f t="shared" si="442"/>
        <v>41.860141604279988</v>
      </c>
      <c r="AL336" s="299">
        <f t="shared" si="442"/>
        <v>0</v>
      </c>
      <c r="AM336" s="299">
        <f t="shared" si="442"/>
        <v>0</v>
      </c>
      <c r="AN336" s="299">
        <f t="shared" si="442"/>
        <v>0</v>
      </c>
      <c r="AO336" s="299">
        <f t="shared" ref="AO336:AP336" si="443">AO334 + AO335</f>
        <v>0</v>
      </c>
      <c r="AP336" s="299">
        <f t="shared" si="443"/>
        <v>0</v>
      </c>
      <c r="AQ336" s="299">
        <f t="shared" ref="AQ336:AS336" si="444">AQ334 + AQ335</f>
        <v>0</v>
      </c>
      <c r="AR336" s="299">
        <f t="shared" si="444"/>
        <v>0</v>
      </c>
      <c r="AS336" s="299">
        <f t="shared" si="444"/>
        <v>0</v>
      </c>
    </row>
    <row r="337" spans="1:45" ht="15" customHeight="1" x14ac:dyDescent="0.3">
      <c r="I337" s="291"/>
      <c r="J337" s="42"/>
      <c r="AL337" s="290"/>
      <c r="AM337" s="290"/>
      <c r="AN337" s="290"/>
      <c r="AO337" s="290"/>
      <c r="AP337" s="290"/>
      <c r="AQ337" s="290"/>
      <c r="AR337" s="290"/>
      <c r="AS337" s="290"/>
    </row>
    <row r="338" spans="1:45" ht="15" customHeight="1" x14ac:dyDescent="0.3">
      <c r="A338" s="332"/>
      <c r="B338" s="332"/>
      <c r="C338" s="333"/>
      <c r="D338" s="299"/>
      <c r="E338" s="299" t="s">
        <v>229</v>
      </c>
      <c r="F338" s="73">
        <v>0.3</v>
      </c>
      <c r="G338" s="299"/>
      <c r="H338" s="104" t="str">
        <f xml:space="preserve"> Sources!I$39</f>
        <v>M</v>
      </c>
      <c r="I338" s="104"/>
      <c r="J338" s="42"/>
      <c r="K338" s="299"/>
      <c r="L338" s="299"/>
      <c r="M338" s="299"/>
      <c r="N338" s="299"/>
      <c r="O338" s="299"/>
      <c r="P338" s="299"/>
      <c r="Q338" s="299"/>
      <c r="R338" s="299"/>
      <c r="S338" s="299"/>
      <c r="T338" s="299"/>
      <c r="U338" s="299"/>
      <c r="V338" s="299"/>
      <c r="W338" s="299"/>
      <c r="X338" s="299"/>
      <c r="Y338" s="299"/>
      <c r="Z338" s="299"/>
      <c r="AA338" s="299"/>
      <c r="AB338" s="299"/>
      <c r="AC338" s="299"/>
      <c r="AD338" s="299"/>
      <c r="AE338" s="299"/>
      <c r="AF338" s="299"/>
      <c r="AG338" s="299"/>
      <c r="AH338" s="299"/>
      <c r="AI338" s="299"/>
      <c r="AJ338" s="299"/>
      <c r="AK338" s="299"/>
      <c r="AL338" s="299"/>
      <c r="AM338" s="299"/>
      <c r="AN338" s="299"/>
      <c r="AO338" s="299"/>
      <c r="AP338" s="299"/>
      <c r="AQ338" s="299"/>
      <c r="AR338" s="299"/>
      <c r="AS338" s="299"/>
    </row>
    <row r="339" spans="1:45" ht="15" customHeight="1" x14ac:dyDescent="0.3">
      <c r="E339" s="290" t="s">
        <v>230</v>
      </c>
      <c r="G339" s="290" t="s">
        <v>346</v>
      </c>
      <c r="I339" s="291">
        <f>SUM(K339:AS339)</f>
        <v>1182.1795951489798</v>
      </c>
      <c r="J339" s="42"/>
      <c r="K339" s="354">
        <f t="shared" ref="K339:O339" si="445" xml:space="preserve"> K336 * $F338 * (K336 &gt; 0)</f>
        <v>0</v>
      </c>
      <c r="L339" s="354">
        <f t="shared" si="445"/>
        <v>0</v>
      </c>
      <c r="M339" s="354">
        <f t="shared" si="445"/>
        <v>0</v>
      </c>
      <c r="N339" s="354">
        <f t="shared" si="445"/>
        <v>0</v>
      </c>
      <c r="O339" s="354">
        <f t="shared" si="445"/>
        <v>0</v>
      </c>
      <c r="P339" s="354">
        <f t="shared" ref="P339:AS339" si="446" xml:space="preserve"> P336 * $F338 * (P336 &gt; 0)</f>
        <v>0</v>
      </c>
      <c r="Q339" s="354">
        <f t="shared" si="446"/>
        <v>0</v>
      </c>
      <c r="R339" s="354">
        <f t="shared" si="446"/>
        <v>0</v>
      </c>
      <c r="S339" s="354">
        <f t="shared" si="446"/>
        <v>0</v>
      </c>
      <c r="T339" s="354">
        <f t="shared" si="446"/>
        <v>0</v>
      </c>
      <c r="U339" s="354">
        <f t="shared" si="446"/>
        <v>0</v>
      </c>
      <c r="V339" s="354">
        <f t="shared" si="446"/>
        <v>0</v>
      </c>
      <c r="W339" s="354">
        <f t="shared" si="446"/>
        <v>16.047306900000002</v>
      </c>
      <c r="X339" s="354">
        <f t="shared" si="446"/>
        <v>21.227132851296016</v>
      </c>
      <c r="Y339" s="354">
        <f t="shared" si="446"/>
        <v>64.424810583240017</v>
      </c>
      <c r="Z339" s="354">
        <f t="shared" si="446"/>
        <v>196.40751128366398</v>
      </c>
      <c r="AA339" s="354">
        <f t="shared" si="446"/>
        <v>98.920179007572017</v>
      </c>
      <c r="AB339" s="354">
        <f t="shared" si="446"/>
        <v>86.696199976584026</v>
      </c>
      <c r="AC339" s="354">
        <f t="shared" si="446"/>
        <v>90.171971564152003</v>
      </c>
      <c r="AD339" s="354">
        <f t="shared" si="446"/>
        <v>90.34018156415199</v>
      </c>
      <c r="AE339" s="354">
        <f t="shared" si="446"/>
        <v>90.508391564151992</v>
      </c>
      <c r="AF339" s="354">
        <f t="shared" si="446"/>
        <v>90.676601564151994</v>
      </c>
      <c r="AG339" s="354">
        <f t="shared" si="446"/>
        <v>90.676601564151994</v>
      </c>
      <c r="AH339" s="354">
        <f t="shared" si="446"/>
        <v>90.676601564151994</v>
      </c>
      <c r="AI339" s="354">
        <f t="shared" si="446"/>
        <v>64.664409964151915</v>
      </c>
      <c r="AJ339" s="354">
        <f t="shared" si="446"/>
        <v>78.183652716275972</v>
      </c>
      <c r="AK339" s="354">
        <f t="shared" si="446"/>
        <v>12.558042481283996</v>
      </c>
      <c r="AL339" s="354">
        <f t="shared" si="446"/>
        <v>0</v>
      </c>
      <c r="AM339" s="354">
        <f t="shared" si="446"/>
        <v>0</v>
      </c>
      <c r="AN339" s="354">
        <f t="shared" si="446"/>
        <v>0</v>
      </c>
      <c r="AO339" s="354">
        <f t="shared" si="446"/>
        <v>0</v>
      </c>
      <c r="AP339" s="354">
        <f t="shared" si="446"/>
        <v>0</v>
      </c>
      <c r="AQ339" s="354">
        <f t="shared" si="446"/>
        <v>0</v>
      </c>
      <c r="AR339" s="354">
        <f t="shared" si="446"/>
        <v>0</v>
      </c>
      <c r="AS339" s="354">
        <f t="shared" si="446"/>
        <v>0</v>
      </c>
    </row>
    <row r="340" spans="1:45" ht="15" customHeight="1" x14ac:dyDescent="0.3">
      <c r="I340" s="291"/>
      <c r="J340" s="42"/>
      <c r="AL340" s="290"/>
      <c r="AM340" s="290"/>
      <c r="AN340" s="290"/>
      <c r="AO340" s="290"/>
      <c r="AP340" s="290"/>
      <c r="AQ340" s="290"/>
      <c r="AR340" s="290"/>
      <c r="AS340" s="290"/>
    </row>
    <row r="341" spans="1:45" ht="15" customHeight="1" collapsed="1" x14ac:dyDescent="0.3">
      <c r="A341" s="283" t="s">
        <v>294</v>
      </c>
      <c r="B341" s="284"/>
      <c r="C341" s="285"/>
      <c r="D341" s="286"/>
      <c r="E341" s="284"/>
      <c r="F341" s="284"/>
      <c r="G341" s="284"/>
      <c r="H341" s="284"/>
      <c r="I341" s="284"/>
      <c r="J341" s="42"/>
      <c r="K341" s="284"/>
      <c r="L341" s="284"/>
      <c r="M341" s="284"/>
      <c r="N341" s="284"/>
      <c r="O341" s="284"/>
      <c r="P341" s="284"/>
      <c r="Q341" s="284"/>
      <c r="R341" s="284"/>
      <c r="S341" s="284"/>
      <c r="T341" s="284"/>
      <c r="U341" s="284"/>
      <c r="V341" s="284"/>
      <c r="W341" s="284"/>
      <c r="X341" s="284"/>
      <c r="Y341" s="284"/>
      <c r="Z341" s="284"/>
      <c r="AA341" s="284"/>
      <c r="AB341" s="284"/>
      <c r="AC341" s="284"/>
      <c r="AD341" s="284"/>
      <c r="AE341" s="284"/>
      <c r="AF341" s="284"/>
      <c r="AG341" s="284"/>
      <c r="AH341" s="284"/>
      <c r="AI341" s="284"/>
      <c r="AJ341" s="284"/>
      <c r="AK341" s="284"/>
      <c r="AL341" s="284"/>
      <c r="AM341" s="284"/>
      <c r="AN341" s="284"/>
      <c r="AO341" s="284"/>
      <c r="AP341" s="284"/>
      <c r="AQ341" s="284"/>
      <c r="AR341" s="284"/>
      <c r="AS341" s="284"/>
    </row>
    <row r="342" spans="1:45" ht="15" customHeight="1" x14ac:dyDescent="0.3">
      <c r="I342" s="291"/>
      <c r="J342" s="42"/>
      <c r="AL342" s="290"/>
      <c r="AM342" s="290"/>
      <c r="AN342" s="290"/>
      <c r="AO342" s="290"/>
      <c r="AP342" s="290"/>
      <c r="AQ342" s="290"/>
      <c r="AR342" s="290"/>
      <c r="AS342" s="290"/>
    </row>
    <row r="343" spans="1:45" ht="15" customHeight="1" x14ac:dyDescent="0.3">
      <c r="E343" s="290" t="str">
        <f xml:space="preserve"> E$112</f>
        <v>Total revenue</v>
      </c>
      <c r="F343" s="290">
        <f xml:space="preserve"> F$112</f>
        <v>0</v>
      </c>
      <c r="G343" s="290" t="str">
        <f xml:space="preserve"> G$112</f>
        <v>$ mn</v>
      </c>
      <c r="H343" s="356">
        <f xml:space="preserve"> H$112</f>
        <v>0</v>
      </c>
      <c r="I343" s="356">
        <f xml:space="preserve"> I$112</f>
        <v>11910.175160496599</v>
      </c>
      <c r="J343" s="42"/>
      <c r="K343" s="290">
        <f t="shared" ref="K343:O343" si="447" xml:space="preserve"> K$112</f>
        <v>0</v>
      </c>
      <c r="L343" s="290">
        <f t="shared" si="447"/>
        <v>0</v>
      </c>
      <c r="M343" s="290">
        <f t="shared" si="447"/>
        <v>0</v>
      </c>
      <c r="N343" s="290">
        <f t="shared" si="447"/>
        <v>0</v>
      </c>
      <c r="O343" s="290">
        <f t="shared" si="447"/>
        <v>0</v>
      </c>
      <c r="P343" s="290">
        <f t="shared" ref="P343:AS343" si="448" xml:space="preserve"> P$112</f>
        <v>0</v>
      </c>
      <c r="Q343" s="290">
        <f t="shared" si="448"/>
        <v>0</v>
      </c>
      <c r="R343" s="290">
        <f t="shared" si="448"/>
        <v>0</v>
      </c>
      <c r="S343" s="290">
        <f t="shared" si="448"/>
        <v>0</v>
      </c>
      <c r="T343" s="290">
        <f t="shared" si="448"/>
        <v>0</v>
      </c>
      <c r="U343" s="290">
        <f t="shared" si="448"/>
        <v>0</v>
      </c>
      <c r="V343" s="290">
        <f t="shared" si="448"/>
        <v>104.68060499999999</v>
      </c>
      <c r="W343" s="290">
        <f t="shared" si="448"/>
        <v>275.12210800000003</v>
      </c>
      <c r="X343" s="290">
        <f t="shared" si="448"/>
        <v>434.33181950432004</v>
      </c>
      <c r="Y343" s="290">
        <f t="shared" si="448"/>
        <v>668.71459861080007</v>
      </c>
      <c r="Z343" s="290">
        <f t="shared" si="448"/>
        <v>1118.6990542788799</v>
      </c>
      <c r="AA343" s="290">
        <f t="shared" si="448"/>
        <v>1042.87854002524</v>
      </c>
      <c r="AB343" s="290">
        <f t="shared" si="448"/>
        <v>901.78862325527996</v>
      </c>
      <c r="AC343" s="290">
        <f t="shared" si="448"/>
        <v>919.50006854717333</v>
      </c>
      <c r="AD343" s="290">
        <f t="shared" si="448"/>
        <v>919.50006854717333</v>
      </c>
      <c r="AE343" s="290">
        <f t="shared" si="448"/>
        <v>919.50006854717333</v>
      </c>
      <c r="AF343" s="290">
        <f t="shared" si="448"/>
        <v>919.50006854717333</v>
      </c>
      <c r="AG343" s="290">
        <f t="shared" si="448"/>
        <v>919.50006854717333</v>
      </c>
      <c r="AH343" s="290">
        <f t="shared" si="448"/>
        <v>919.50006854717333</v>
      </c>
      <c r="AI343" s="290">
        <f t="shared" si="448"/>
        <v>769.33476321383989</v>
      </c>
      <c r="AJ343" s="290">
        <f t="shared" si="448"/>
        <v>762.28556572091998</v>
      </c>
      <c r="AK343" s="290">
        <f t="shared" si="448"/>
        <v>315.33907160427998</v>
      </c>
      <c r="AL343" s="290">
        <f t="shared" si="448"/>
        <v>0</v>
      </c>
      <c r="AM343" s="290">
        <f t="shared" si="448"/>
        <v>0</v>
      </c>
      <c r="AN343" s="290">
        <f t="shared" si="448"/>
        <v>0</v>
      </c>
      <c r="AO343" s="290">
        <f t="shared" si="448"/>
        <v>0</v>
      </c>
      <c r="AP343" s="290">
        <f t="shared" si="448"/>
        <v>0</v>
      </c>
      <c r="AQ343" s="290">
        <f t="shared" si="448"/>
        <v>0</v>
      </c>
      <c r="AR343" s="290">
        <f t="shared" si="448"/>
        <v>0</v>
      </c>
      <c r="AS343" s="290">
        <f t="shared" si="448"/>
        <v>0</v>
      </c>
    </row>
    <row r="344" spans="1:45" ht="15" customHeight="1" x14ac:dyDescent="0.3">
      <c r="A344" s="112"/>
      <c r="B344" s="112"/>
      <c r="C344" s="113"/>
      <c r="D344" s="42"/>
      <c r="E344" s="340" t="str">
        <f xml:space="preserve"> E$141</f>
        <v>Surface rights</v>
      </c>
      <c r="F344" s="340">
        <f t="shared" ref="F344:O344" si="449" xml:space="preserve"> F$141</f>
        <v>64</v>
      </c>
      <c r="G344" s="340" t="str">
        <f t="shared" si="449"/>
        <v>$ mn</v>
      </c>
      <c r="H344" s="340" t="str">
        <f t="shared" si="449"/>
        <v>M</v>
      </c>
      <c r="I344" s="340">
        <f t="shared" si="449"/>
        <v>64</v>
      </c>
      <c r="J344" s="340">
        <f t="shared" si="449"/>
        <v>0</v>
      </c>
      <c r="K344" s="340">
        <f t="shared" si="449"/>
        <v>0</v>
      </c>
      <c r="L344" s="340">
        <f t="shared" si="449"/>
        <v>0</v>
      </c>
      <c r="M344" s="340">
        <f t="shared" si="449"/>
        <v>0</v>
      </c>
      <c r="N344" s="340">
        <f t="shared" si="449"/>
        <v>0</v>
      </c>
      <c r="O344" s="340">
        <f t="shared" si="449"/>
        <v>0</v>
      </c>
      <c r="P344" s="340">
        <f t="shared" ref="P344:AS344" si="450" xml:space="preserve"> P$141</f>
        <v>0</v>
      </c>
      <c r="Q344" s="340">
        <f t="shared" si="450"/>
        <v>0</v>
      </c>
      <c r="R344" s="340">
        <f t="shared" si="450"/>
        <v>0</v>
      </c>
      <c r="S344" s="340">
        <f t="shared" si="450"/>
        <v>0</v>
      </c>
      <c r="T344" s="340">
        <f t="shared" si="450"/>
        <v>0</v>
      </c>
      <c r="U344" s="340">
        <f t="shared" si="450"/>
        <v>0</v>
      </c>
      <c r="V344" s="340">
        <f t="shared" si="450"/>
        <v>4</v>
      </c>
      <c r="W344" s="340">
        <f t="shared" si="450"/>
        <v>4</v>
      </c>
      <c r="X344" s="340">
        <f t="shared" si="450"/>
        <v>4</v>
      </c>
      <c r="Y344" s="340">
        <f t="shared" si="450"/>
        <v>4</v>
      </c>
      <c r="Z344" s="340">
        <f t="shared" si="450"/>
        <v>4</v>
      </c>
      <c r="AA344" s="340">
        <f t="shared" si="450"/>
        <v>4</v>
      </c>
      <c r="AB344" s="340">
        <f t="shared" si="450"/>
        <v>4</v>
      </c>
      <c r="AC344" s="340">
        <f t="shared" si="450"/>
        <v>4</v>
      </c>
      <c r="AD344" s="340">
        <f t="shared" si="450"/>
        <v>4</v>
      </c>
      <c r="AE344" s="340">
        <f t="shared" si="450"/>
        <v>4</v>
      </c>
      <c r="AF344" s="340">
        <f t="shared" si="450"/>
        <v>4</v>
      </c>
      <c r="AG344" s="340">
        <f t="shared" si="450"/>
        <v>4</v>
      </c>
      <c r="AH344" s="340">
        <f t="shared" si="450"/>
        <v>4</v>
      </c>
      <c r="AI344" s="340">
        <f t="shared" si="450"/>
        <v>4</v>
      </c>
      <c r="AJ344" s="340">
        <f t="shared" si="450"/>
        <v>4</v>
      </c>
      <c r="AK344" s="340">
        <f t="shared" si="450"/>
        <v>4</v>
      </c>
      <c r="AL344" s="340">
        <f t="shared" si="450"/>
        <v>0</v>
      </c>
      <c r="AM344" s="340">
        <f t="shared" si="450"/>
        <v>0</v>
      </c>
      <c r="AN344" s="340">
        <f t="shared" si="450"/>
        <v>0</v>
      </c>
      <c r="AO344" s="340">
        <f t="shared" si="450"/>
        <v>0</v>
      </c>
      <c r="AP344" s="340">
        <f t="shared" si="450"/>
        <v>0</v>
      </c>
      <c r="AQ344" s="340">
        <f t="shared" si="450"/>
        <v>0</v>
      </c>
      <c r="AR344" s="340">
        <f t="shared" si="450"/>
        <v>0</v>
      </c>
      <c r="AS344" s="340">
        <f t="shared" si="450"/>
        <v>0</v>
      </c>
    </row>
    <row r="345" spans="1:45" ht="15" customHeight="1" x14ac:dyDescent="0.3">
      <c r="A345" s="112"/>
      <c r="B345" s="112"/>
      <c r="C345" s="113"/>
      <c r="D345" s="42"/>
      <c r="E345" s="340" t="str">
        <f xml:space="preserve"> E$142</f>
        <v>Entry fee</v>
      </c>
      <c r="F345" s="340">
        <f t="shared" ref="F345:O345" si="451" xml:space="preserve"> F$142</f>
        <v>15.164</v>
      </c>
      <c r="G345" s="340" t="str">
        <f t="shared" si="451"/>
        <v>$ mn</v>
      </c>
      <c r="H345" s="340" t="str">
        <f t="shared" si="451"/>
        <v>M</v>
      </c>
      <c r="I345" s="340">
        <f t="shared" si="451"/>
        <v>15.164000000000001</v>
      </c>
      <c r="J345" s="340">
        <f t="shared" si="451"/>
        <v>0</v>
      </c>
      <c r="K345" s="340">
        <f t="shared" si="451"/>
        <v>0</v>
      </c>
      <c r="L345" s="340">
        <f t="shared" si="451"/>
        <v>0</v>
      </c>
      <c r="M345" s="340">
        <f t="shared" si="451"/>
        <v>0</v>
      </c>
      <c r="N345" s="340">
        <f t="shared" si="451"/>
        <v>0</v>
      </c>
      <c r="O345" s="340">
        <f t="shared" si="451"/>
        <v>0</v>
      </c>
      <c r="P345" s="340">
        <f t="shared" ref="P345:AS345" si="452" xml:space="preserve"> P$142</f>
        <v>0</v>
      </c>
      <c r="Q345" s="340">
        <f t="shared" si="452"/>
        <v>0</v>
      </c>
      <c r="R345" s="340">
        <f t="shared" si="452"/>
        <v>0</v>
      </c>
      <c r="S345" s="340">
        <f t="shared" si="452"/>
        <v>0</v>
      </c>
      <c r="T345" s="340">
        <f t="shared" si="452"/>
        <v>0</v>
      </c>
      <c r="U345" s="340">
        <f t="shared" si="452"/>
        <v>0</v>
      </c>
      <c r="V345" s="340">
        <f t="shared" si="452"/>
        <v>9.0980000000000008</v>
      </c>
      <c r="W345" s="340">
        <f t="shared" si="452"/>
        <v>6.0659999999999998</v>
      </c>
      <c r="X345" s="340">
        <f t="shared" si="452"/>
        <v>0</v>
      </c>
      <c r="Y345" s="340">
        <f t="shared" si="452"/>
        <v>0</v>
      </c>
      <c r="Z345" s="340">
        <f t="shared" si="452"/>
        <v>0</v>
      </c>
      <c r="AA345" s="340">
        <f t="shared" si="452"/>
        <v>0</v>
      </c>
      <c r="AB345" s="340">
        <f t="shared" si="452"/>
        <v>0</v>
      </c>
      <c r="AC345" s="340">
        <f t="shared" si="452"/>
        <v>0</v>
      </c>
      <c r="AD345" s="340">
        <f t="shared" si="452"/>
        <v>0</v>
      </c>
      <c r="AE345" s="340">
        <f t="shared" si="452"/>
        <v>0</v>
      </c>
      <c r="AF345" s="340">
        <f t="shared" si="452"/>
        <v>0</v>
      </c>
      <c r="AG345" s="340">
        <f t="shared" si="452"/>
        <v>0</v>
      </c>
      <c r="AH345" s="340">
        <f t="shared" si="452"/>
        <v>0</v>
      </c>
      <c r="AI345" s="340">
        <f t="shared" si="452"/>
        <v>0</v>
      </c>
      <c r="AJ345" s="340">
        <f t="shared" si="452"/>
        <v>0</v>
      </c>
      <c r="AK345" s="340">
        <f t="shared" si="452"/>
        <v>0</v>
      </c>
      <c r="AL345" s="340">
        <f t="shared" si="452"/>
        <v>0</v>
      </c>
      <c r="AM345" s="340">
        <f t="shared" si="452"/>
        <v>0</v>
      </c>
      <c r="AN345" s="340">
        <f t="shared" si="452"/>
        <v>0</v>
      </c>
      <c r="AO345" s="340">
        <f t="shared" si="452"/>
        <v>0</v>
      </c>
      <c r="AP345" s="340">
        <f t="shared" si="452"/>
        <v>0</v>
      </c>
      <c r="AQ345" s="340">
        <f t="shared" si="452"/>
        <v>0</v>
      </c>
      <c r="AR345" s="340">
        <f t="shared" si="452"/>
        <v>0</v>
      </c>
      <c r="AS345" s="340">
        <f t="shared" si="452"/>
        <v>0</v>
      </c>
    </row>
    <row r="346" spans="1:45" ht="15" customHeight="1" x14ac:dyDescent="0.3">
      <c r="A346" s="112"/>
      <c r="B346" s="112"/>
      <c r="C346" s="113"/>
      <c r="D346" s="42"/>
      <c r="E346" s="340" t="str">
        <f xml:space="preserve"> E$143</f>
        <v>Mining concession tax</v>
      </c>
      <c r="F346" s="340">
        <f t="shared" ref="F346:O346" si="453" xml:space="preserve"> F$143</f>
        <v>106.309</v>
      </c>
      <c r="G346" s="340" t="str">
        <f t="shared" si="453"/>
        <v>$ mn</v>
      </c>
      <c r="H346" s="340" t="str">
        <f t="shared" si="453"/>
        <v>M</v>
      </c>
      <c r="I346" s="340">
        <f t="shared" si="453"/>
        <v>106.30400000000003</v>
      </c>
      <c r="J346" s="340">
        <f t="shared" si="453"/>
        <v>0</v>
      </c>
      <c r="K346" s="340">
        <f t="shared" si="453"/>
        <v>0</v>
      </c>
      <c r="L346" s="340">
        <f t="shared" si="453"/>
        <v>0</v>
      </c>
      <c r="M346" s="340">
        <f t="shared" si="453"/>
        <v>0</v>
      </c>
      <c r="N346" s="340">
        <f t="shared" si="453"/>
        <v>0</v>
      </c>
      <c r="O346" s="340">
        <f t="shared" si="453"/>
        <v>0</v>
      </c>
      <c r="P346" s="340">
        <f t="shared" ref="P346:AS346" si="454" xml:space="preserve"> P$143</f>
        <v>0</v>
      </c>
      <c r="Q346" s="340">
        <f t="shared" si="454"/>
        <v>0</v>
      </c>
      <c r="R346" s="340">
        <f t="shared" si="454"/>
        <v>0</v>
      </c>
      <c r="S346" s="340">
        <f t="shared" si="454"/>
        <v>0</v>
      </c>
      <c r="T346" s="340">
        <f t="shared" si="454"/>
        <v>0</v>
      </c>
      <c r="U346" s="340">
        <f t="shared" si="454"/>
        <v>0</v>
      </c>
      <c r="V346" s="340">
        <f t="shared" si="454"/>
        <v>6.6440000000000001</v>
      </c>
      <c r="W346" s="340">
        <f t="shared" si="454"/>
        <v>6.6440000000000001</v>
      </c>
      <c r="X346" s="340">
        <f t="shared" si="454"/>
        <v>6.6440000000000001</v>
      </c>
      <c r="Y346" s="340">
        <f t="shared" si="454"/>
        <v>6.6440000000000001</v>
      </c>
      <c r="Z346" s="340">
        <f t="shared" si="454"/>
        <v>6.6440000000000001</v>
      </c>
      <c r="AA346" s="340">
        <f t="shared" si="454"/>
        <v>6.6440000000000001</v>
      </c>
      <c r="AB346" s="340">
        <f t="shared" si="454"/>
        <v>6.6440000000000001</v>
      </c>
      <c r="AC346" s="340">
        <f t="shared" si="454"/>
        <v>6.6440000000000001</v>
      </c>
      <c r="AD346" s="340">
        <f t="shared" si="454"/>
        <v>6.6440000000000001</v>
      </c>
      <c r="AE346" s="340">
        <f t="shared" si="454"/>
        <v>6.6440000000000001</v>
      </c>
      <c r="AF346" s="340">
        <f t="shared" si="454"/>
        <v>6.6440000000000001</v>
      </c>
      <c r="AG346" s="340">
        <f t="shared" si="454"/>
        <v>6.6440000000000001</v>
      </c>
      <c r="AH346" s="340">
        <f t="shared" si="454"/>
        <v>6.6440000000000001</v>
      </c>
      <c r="AI346" s="340">
        <f t="shared" si="454"/>
        <v>6.6440000000000001</v>
      </c>
      <c r="AJ346" s="340">
        <f t="shared" si="454"/>
        <v>6.6440000000000001</v>
      </c>
      <c r="AK346" s="340">
        <f t="shared" si="454"/>
        <v>6.6440000000000001</v>
      </c>
      <c r="AL346" s="340">
        <f t="shared" si="454"/>
        <v>0</v>
      </c>
      <c r="AM346" s="340">
        <f t="shared" si="454"/>
        <v>0</v>
      </c>
      <c r="AN346" s="340">
        <f t="shared" si="454"/>
        <v>0</v>
      </c>
      <c r="AO346" s="340">
        <f t="shared" si="454"/>
        <v>0</v>
      </c>
      <c r="AP346" s="340">
        <f t="shared" si="454"/>
        <v>0</v>
      </c>
      <c r="AQ346" s="340">
        <f t="shared" si="454"/>
        <v>0</v>
      </c>
      <c r="AR346" s="340">
        <f t="shared" si="454"/>
        <v>0</v>
      </c>
      <c r="AS346" s="340">
        <f t="shared" si="454"/>
        <v>0</v>
      </c>
    </row>
    <row r="347" spans="1:45" ht="15" customHeight="1" x14ac:dyDescent="0.3">
      <c r="A347" s="112"/>
      <c r="B347" s="112"/>
      <c r="C347" s="113"/>
      <c r="D347" s="42"/>
      <c r="E347" s="340" t="str">
        <f xml:space="preserve"> E$144</f>
        <v>Royalties and Fees for export services</v>
      </c>
      <c r="F347" s="340">
        <f t="shared" ref="F347:O347" si="455" xml:space="preserve"> F$144</f>
        <v>119.10599999999999</v>
      </c>
      <c r="G347" s="340" t="str">
        <f t="shared" si="455"/>
        <v>$ mn</v>
      </c>
      <c r="H347" s="340" t="str">
        <f t="shared" si="455"/>
        <v>M</v>
      </c>
      <c r="I347" s="340">
        <f t="shared" si="455"/>
        <v>119.22500000000001</v>
      </c>
      <c r="J347" s="340">
        <f t="shared" si="455"/>
        <v>0</v>
      </c>
      <c r="K347" s="340">
        <f t="shared" si="455"/>
        <v>0</v>
      </c>
      <c r="L347" s="340">
        <f t="shared" si="455"/>
        <v>0</v>
      </c>
      <c r="M347" s="340">
        <f t="shared" si="455"/>
        <v>0</v>
      </c>
      <c r="N347" s="340">
        <f t="shared" si="455"/>
        <v>0</v>
      </c>
      <c r="O347" s="340">
        <f t="shared" si="455"/>
        <v>0</v>
      </c>
      <c r="P347" s="340">
        <f t="shared" ref="P347:AS347" si="456" xml:space="preserve"> P$144</f>
        <v>0</v>
      </c>
      <c r="Q347" s="340">
        <f t="shared" si="456"/>
        <v>0</v>
      </c>
      <c r="R347" s="340">
        <f t="shared" si="456"/>
        <v>0</v>
      </c>
      <c r="S347" s="340">
        <f t="shared" si="456"/>
        <v>0</v>
      </c>
      <c r="T347" s="340">
        <f t="shared" si="456"/>
        <v>0</v>
      </c>
      <c r="U347" s="340">
        <f t="shared" si="456"/>
        <v>0</v>
      </c>
      <c r="V347" s="340">
        <f t="shared" si="456"/>
        <v>1.0469999999999999</v>
      </c>
      <c r="W347" s="340">
        <f t="shared" si="456"/>
        <v>2.7509999999999999</v>
      </c>
      <c r="X347" s="340">
        <f t="shared" si="456"/>
        <v>4.3440000000000003</v>
      </c>
      <c r="Y347" s="340">
        <f t="shared" si="456"/>
        <v>6.694</v>
      </c>
      <c r="Z347" s="340">
        <f t="shared" si="456"/>
        <v>11.183999999999999</v>
      </c>
      <c r="AA347" s="340">
        <f t="shared" si="456"/>
        <v>10.429</v>
      </c>
      <c r="AB347" s="340">
        <f t="shared" si="456"/>
        <v>9</v>
      </c>
      <c r="AC347" s="340">
        <f t="shared" si="456"/>
        <v>9</v>
      </c>
      <c r="AD347" s="340">
        <f t="shared" si="456"/>
        <v>9</v>
      </c>
      <c r="AE347" s="340">
        <f t="shared" si="456"/>
        <v>9</v>
      </c>
      <c r="AF347" s="340">
        <f t="shared" si="456"/>
        <v>9</v>
      </c>
      <c r="AG347" s="340">
        <f t="shared" si="456"/>
        <v>9</v>
      </c>
      <c r="AH347" s="340">
        <f t="shared" si="456"/>
        <v>9</v>
      </c>
      <c r="AI347" s="340">
        <f t="shared" si="456"/>
        <v>9</v>
      </c>
      <c r="AJ347" s="340">
        <f t="shared" si="456"/>
        <v>7.6230000000000002</v>
      </c>
      <c r="AK347" s="340">
        <f t="shared" si="456"/>
        <v>3.153</v>
      </c>
      <c r="AL347" s="340">
        <f t="shared" si="456"/>
        <v>0</v>
      </c>
      <c r="AM347" s="340">
        <f t="shared" si="456"/>
        <v>0</v>
      </c>
      <c r="AN347" s="340">
        <f t="shared" si="456"/>
        <v>0</v>
      </c>
      <c r="AO347" s="340">
        <f t="shared" si="456"/>
        <v>0</v>
      </c>
      <c r="AP347" s="340">
        <f t="shared" si="456"/>
        <v>0</v>
      </c>
      <c r="AQ347" s="340">
        <f t="shared" si="456"/>
        <v>0</v>
      </c>
      <c r="AR347" s="340">
        <f t="shared" si="456"/>
        <v>0</v>
      </c>
      <c r="AS347" s="340">
        <f t="shared" si="456"/>
        <v>0</v>
      </c>
    </row>
    <row r="348" spans="1:45" ht="15" customHeight="1" x14ac:dyDescent="0.3">
      <c r="A348" s="112"/>
      <c r="B348" s="112"/>
      <c r="C348" s="113"/>
      <c r="D348" s="42"/>
      <c r="E348" s="340" t="str">
        <f xml:space="preserve"> E$145</f>
        <v>IPR</v>
      </c>
      <c r="F348" s="340">
        <f t="shared" ref="F348:O348" si="457" xml:space="preserve"> F$145</f>
        <v>12.8</v>
      </c>
      <c r="G348" s="340" t="str">
        <f t="shared" si="457"/>
        <v>$ mn</v>
      </c>
      <c r="H348" s="340" t="str">
        <f t="shared" si="457"/>
        <v>M</v>
      </c>
      <c r="I348" s="340">
        <f t="shared" si="457"/>
        <v>12.800000000000002</v>
      </c>
      <c r="J348" s="340">
        <f t="shared" si="457"/>
        <v>0</v>
      </c>
      <c r="K348" s="340">
        <f t="shared" si="457"/>
        <v>0</v>
      </c>
      <c r="L348" s="340">
        <f t="shared" si="457"/>
        <v>0</v>
      </c>
      <c r="M348" s="340">
        <f t="shared" si="457"/>
        <v>0</v>
      </c>
      <c r="N348" s="340">
        <f t="shared" si="457"/>
        <v>0</v>
      </c>
      <c r="O348" s="340">
        <f t="shared" si="457"/>
        <v>0</v>
      </c>
      <c r="P348" s="340">
        <f t="shared" ref="P348:AS348" si="458" xml:space="preserve"> P$145</f>
        <v>0</v>
      </c>
      <c r="Q348" s="340">
        <f t="shared" si="458"/>
        <v>0</v>
      </c>
      <c r="R348" s="340">
        <f t="shared" si="458"/>
        <v>0</v>
      </c>
      <c r="S348" s="340">
        <f t="shared" si="458"/>
        <v>0</v>
      </c>
      <c r="T348" s="340">
        <f t="shared" si="458"/>
        <v>0</v>
      </c>
      <c r="U348" s="340">
        <f t="shared" si="458"/>
        <v>0</v>
      </c>
      <c r="V348" s="340">
        <f t="shared" si="458"/>
        <v>0.8</v>
      </c>
      <c r="W348" s="340">
        <f t="shared" si="458"/>
        <v>0.8</v>
      </c>
      <c r="X348" s="340">
        <f t="shared" si="458"/>
        <v>0.8</v>
      </c>
      <c r="Y348" s="340">
        <f t="shared" si="458"/>
        <v>0.8</v>
      </c>
      <c r="Z348" s="340">
        <f t="shared" si="458"/>
        <v>0.8</v>
      </c>
      <c r="AA348" s="340">
        <f t="shared" si="458"/>
        <v>0.8</v>
      </c>
      <c r="AB348" s="340">
        <f t="shared" si="458"/>
        <v>0.8</v>
      </c>
      <c r="AC348" s="340">
        <f t="shared" si="458"/>
        <v>0.8</v>
      </c>
      <c r="AD348" s="340">
        <f t="shared" si="458"/>
        <v>0.8</v>
      </c>
      <c r="AE348" s="340">
        <f t="shared" si="458"/>
        <v>0.8</v>
      </c>
      <c r="AF348" s="340">
        <f t="shared" si="458"/>
        <v>0.8</v>
      </c>
      <c r="AG348" s="340">
        <f t="shared" si="458"/>
        <v>0.8</v>
      </c>
      <c r="AH348" s="340">
        <f t="shared" si="458"/>
        <v>0.8</v>
      </c>
      <c r="AI348" s="340">
        <f t="shared" si="458"/>
        <v>0.8</v>
      </c>
      <c r="AJ348" s="340">
        <f t="shared" si="458"/>
        <v>0.8</v>
      </c>
      <c r="AK348" s="340">
        <f t="shared" si="458"/>
        <v>0.8</v>
      </c>
      <c r="AL348" s="340">
        <f t="shared" si="458"/>
        <v>0</v>
      </c>
      <c r="AM348" s="340">
        <f t="shared" si="458"/>
        <v>0</v>
      </c>
      <c r="AN348" s="340">
        <f t="shared" si="458"/>
        <v>0</v>
      </c>
      <c r="AO348" s="340">
        <f t="shared" si="458"/>
        <v>0</v>
      </c>
      <c r="AP348" s="340">
        <f t="shared" si="458"/>
        <v>0</v>
      </c>
      <c r="AQ348" s="340">
        <f t="shared" si="458"/>
        <v>0</v>
      </c>
      <c r="AR348" s="340">
        <f t="shared" si="458"/>
        <v>0</v>
      </c>
      <c r="AS348" s="340">
        <f t="shared" si="458"/>
        <v>0</v>
      </c>
    </row>
    <row r="349" spans="1:45" ht="15" customHeight="1" x14ac:dyDescent="0.3">
      <c r="A349" s="112"/>
      <c r="B349" s="112"/>
      <c r="C349" s="113"/>
      <c r="D349" s="42"/>
      <c r="E349" s="340" t="str">
        <f xml:space="preserve"> E$146</f>
        <v>Other taxes</v>
      </c>
      <c r="F349" s="340">
        <f t="shared" ref="F349:O349" si="459" xml:space="preserve"> F$146</f>
        <v>16</v>
      </c>
      <c r="G349" s="340" t="str">
        <f t="shared" si="459"/>
        <v>$ mn</v>
      </c>
      <c r="H349" s="340" t="str">
        <f t="shared" si="459"/>
        <v>M</v>
      </c>
      <c r="I349" s="340">
        <f t="shared" si="459"/>
        <v>16</v>
      </c>
      <c r="J349" s="340">
        <f t="shared" si="459"/>
        <v>0</v>
      </c>
      <c r="K349" s="340">
        <f t="shared" si="459"/>
        <v>0</v>
      </c>
      <c r="L349" s="340">
        <f t="shared" si="459"/>
        <v>0</v>
      </c>
      <c r="M349" s="340">
        <f t="shared" si="459"/>
        <v>0</v>
      </c>
      <c r="N349" s="340">
        <f t="shared" si="459"/>
        <v>0</v>
      </c>
      <c r="O349" s="340">
        <f t="shared" si="459"/>
        <v>0</v>
      </c>
      <c r="P349" s="340">
        <f t="shared" ref="P349:AS349" si="460" xml:space="preserve"> P$146</f>
        <v>0</v>
      </c>
      <c r="Q349" s="340">
        <f t="shared" si="460"/>
        <v>0</v>
      </c>
      <c r="R349" s="340">
        <f t="shared" si="460"/>
        <v>0</v>
      </c>
      <c r="S349" s="340">
        <f t="shared" si="460"/>
        <v>0</v>
      </c>
      <c r="T349" s="340">
        <f t="shared" si="460"/>
        <v>0</v>
      </c>
      <c r="U349" s="340">
        <f t="shared" si="460"/>
        <v>0</v>
      </c>
      <c r="V349" s="340">
        <f t="shared" si="460"/>
        <v>1</v>
      </c>
      <c r="W349" s="340">
        <f t="shared" si="460"/>
        <v>1</v>
      </c>
      <c r="X349" s="340">
        <f t="shared" si="460"/>
        <v>1</v>
      </c>
      <c r="Y349" s="340">
        <f t="shared" si="460"/>
        <v>1</v>
      </c>
      <c r="Z349" s="340">
        <f t="shared" si="460"/>
        <v>1</v>
      </c>
      <c r="AA349" s="340">
        <f t="shared" si="460"/>
        <v>1</v>
      </c>
      <c r="AB349" s="340">
        <f t="shared" si="460"/>
        <v>1</v>
      </c>
      <c r="AC349" s="340">
        <f t="shared" si="460"/>
        <v>1</v>
      </c>
      <c r="AD349" s="340">
        <f t="shared" si="460"/>
        <v>1</v>
      </c>
      <c r="AE349" s="340">
        <f t="shared" si="460"/>
        <v>1</v>
      </c>
      <c r="AF349" s="340">
        <f t="shared" si="460"/>
        <v>1</v>
      </c>
      <c r="AG349" s="340">
        <f t="shared" si="460"/>
        <v>1</v>
      </c>
      <c r="AH349" s="340">
        <f t="shared" si="460"/>
        <v>1</v>
      </c>
      <c r="AI349" s="340">
        <f t="shared" si="460"/>
        <v>1</v>
      </c>
      <c r="AJ349" s="340">
        <f t="shared" si="460"/>
        <v>1</v>
      </c>
      <c r="AK349" s="340">
        <f t="shared" si="460"/>
        <v>1</v>
      </c>
      <c r="AL349" s="340">
        <f t="shared" si="460"/>
        <v>0</v>
      </c>
      <c r="AM349" s="340">
        <f t="shared" si="460"/>
        <v>0</v>
      </c>
      <c r="AN349" s="340">
        <f t="shared" si="460"/>
        <v>0</v>
      </c>
      <c r="AO349" s="340">
        <f t="shared" si="460"/>
        <v>0</v>
      </c>
      <c r="AP349" s="340">
        <f t="shared" si="460"/>
        <v>0</v>
      </c>
      <c r="AQ349" s="340">
        <f t="shared" si="460"/>
        <v>0</v>
      </c>
      <c r="AR349" s="340">
        <f t="shared" si="460"/>
        <v>0</v>
      </c>
      <c r="AS349" s="340">
        <f t="shared" si="460"/>
        <v>0</v>
      </c>
    </row>
    <row r="350" spans="1:45" ht="15" customHeight="1" x14ac:dyDescent="0.3">
      <c r="A350" s="112"/>
      <c r="B350" s="112"/>
      <c r="C350" s="113"/>
      <c r="D350" s="42"/>
      <c r="E350" s="340" t="str">
        <f xml:space="preserve"> E$147</f>
        <v>Customs duties and other taxes</v>
      </c>
      <c r="F350" s="340">
        <f t="shared" ref="F350:O350" si="461" xml:space="preserve"> F$147</f>
        <v>739.43899999999996</v>
      </c>
      <c r="G350" s="340" t="str">
        <f t="shared" si="461"/>
        <v>$ mn</v>
      </c>
      <c r="H350" s="340" t="str">
        <f t="shared" si="461"/>
        <v>M</v>
      </c>
      <c r="I350" s="340">
        <f t="shared" si="461"/>
        <v>739.43900000000031</v>
      </c>
      <c r="J350" s="340">
        <f t="shared" si="461"/>
        <v>0</v>
      </c>
      <c r="K350" s="340">
        <f t="shared" si="461"/>
        <v>0</v>
      </c>
      <c r="L350" s="340">
        <f t="shared" si="461"/>
        <v>0</v>
      </c>
      <c r="M350" s="340">
        <f t="shared" si="461"/>
        <v>0</v>
      </c>
      <c r="N350" s="340">
        <f t="shared" si="461"/>
        <v>0</v>
      </c>
      <c r="O350" s="340">
        <f t="shared" si="461"/>
        <v>0</v>
      </c>
      <c r="P350" s="340">
        <f t="shared" ref="P350:AS350" si="462" xml:space="preserve"> P$147</f>
        <v>0</v>
      </c>
      <c r="Q350" s="340">
        <f t="shared" si="462"/>
        <v>0</v>
      </c>
      <c r="R350" s="340">
        <f t="shared" si="462"/>
        <v>0</v>
      </c>
      <c r="S350" s="340">
        <f t="shared" si="462"/>
        <v>0</v>
      </c>
      <c r="T350" s="340">
        <f t="shared" si="462"/>
        <v>0</v>
      </c>
      <c r="U350" s="340">
        <f t="shared" si="462"/>
        <v>0</v>
      </c>
      <c r="V350" s="340">
        <f t="shared" si="462"/>
        <v>29.366</v>
      </c>
      <c r="W350" s="340">
        <f t="shared" si="462"/>
        <v>14.458</v>
      </c>
      <c r="X350" s="340">
        <f t="shared" si="462"/>
        <v>96.558999999999997</v>
      </c>
      <c r="Y350" s="340">
        <f t="shared" si="462"/>
        <v>143.32300000000001</v>
      </c>
      <c r="Z350" s="340">
        <f t="shared" si="462"/>
        <v>78.591999999999999</v>
      </c>
      <c r="AA350" s="340">
        <f t="shared" si="462"/>
        <v>100.86499999999999</v>
      </c>
      <c r="AB350" s="340">
        <f t="shared" si="462"/>
        <v>28.867500000000007</v>
      </c>
      <c r="AC350" s="340">
        <f t="shared" si="462"/>
        <v>28.867500000000007</v>
      </c>
      <c r="AD350" s="340">
        <f t="shared" si="462"/>
        <v>28.867500000000007</v>
      </c>
      <c r="AE350" s="340">
        <f t="shared" si="462"/>
        <v>28.867500000000007</v>
      </c>
      <c r="AF350" s="340">
        <f t="shared" si="462"/>
        <v>28.867500000000007</v>
      </c>
      <c r="AG350" s="340">
        <f t="shared" si="462"/>
        <v>28.867500000000007</v>
      </c>
      <c r="AH350" s="340">
        <f t="shared" si="462"/>
        <v>28.867500000000007</v>
      </c>
      <c r="AI350" s="340">
        <f t="shared" si="462"/>
        <v>28.867500000000007</v>
      </c>
      <c r="AJ350" s="340">
        <f t="shared" si="462"/>
        <v>27.332999999999998</v>
      </c>
      <c r="AK350" s="340">
        <f t="shared" si="462"/>
        <v>18.003</v>
      </c>
      <c r="AL350" s="340">
        <f t="shared" si="462"/>
        <v>0</v>
      </c>
      <c r="AM350" s="340">
        <f t="shared" si="462"/>
        <v>0</v>
      </c>
      <c r="AN350" s="340">
        <f t="shared" si="462"/>
        <v>0</v>
      </c>
      <c r="AO350" s="340">
        <f t="shared" si="462"/>
        <v>0</v>
      </c>
      <c r="AP350" s="340">
        <f t="shared" si="462"/>
        <v>0</v>
      </c>
      <c r="AQ350" s="340">
        <f t="shared" si="462"/>
        <v>0</v>
      </c>
      <c r="AR350" s="340">
        <f t="shared" si="462"/>
        <v>0</v>
      </c>
      <c r="AS350" s="340">
        <f t="shared" si="462"/>
        <v>0</v>
      </c>
    </row>
    <row r="351" spans="1:45" ht="15" customHeight="1" x14ac:dyDescent="0.3">
      <c r="E351" s="169" t="str">
        <f xml:space="preserve"> E$227</f>
        <v>Total royalty</v>
      </c>
      <c r="F351" s="169">
        <f xml:space="preserve"> F$227</f>
        <v>0</v>
      </c>
      <c r="G351" s="169" t="str">
        <f xml:space="preserve"> G$227</f>
        <v>$ mn</v>
      </c>
      <c r="H351" s="169">
        <f xml:space="preserve"> H$227</f>
        <v>0</v>
      </c>
      <c r="I351" s="169">
        <f xml:space="preserve"> I$227</f>
        <v>455.87740629965998</v>
      </c>
      <c r="J351" s="42"/>
      <c r="K351" s="169">
        <f t="shared" ref="K351:O351" si="463" xml:space="preserve"> K$227</f>
        <v>0</v>
      </c>
      <c r="L351" s="169">
        <f t="shared" si="463"/>
        <v>0</v>
      </c>
      <c r="M351" s="169">
        <f t="shared" si="463"/>
        <v>0</v>
      </c>
      <c r="N351" s="169">
        <f t="shared" si="463"/>
        <v>0</v>
      </c>
      <c r="O351" s="169">
        <f t="shared" si="463"/>
        <v>0</v>
      </c>
      <c r="P351" s="169">
        <f t="shared" ref="P351:AS351" si="464" xml:space="preserve"> P$227</f>
        <v>0</v>
      </c>
      <c r="Q351" s="169">
        <f t="shared" si="464"/>
        <v>0</v>
      </c>
      <c r="R351" s="169">
        <f t="shared" si="464"/>
        <v>0</v>
      </c>
      <c r="S351" s="169">
        <f t="shared" si="464"/>
        <v>0</v>
      </c>
      <c r="T351" s="169">
        <f t="shared" si="464"/>
        <v>0</v>
      </c>
      <c r="U351" s="169">
        <f t="shared" si="464"/>
        <v>0</v>
      </c>
      <c r="V351" s="169">
        <f t="shared" si="464"/>
        <v>2.0936120999999996</v>
      </c>
      <c r="W351" s="169">
        <f t="shared" si="464"/>
        <v>7.5658579700000015</v>
      </c>
      <c r="X351" s="169">
        <f t="shared" si="464"/>
        <v>16.337975890432002</v>
      </c>
      <c r="Y351" s="169">
        <f t="shared" si="464"/>
        <v>25.546252756080001</v>
      </c>
      <c r="Z351" s="169">
        <f t="shared" si="464"/>
        <v>43.023062557887997</v>
      </c>
      <c r="AA351" s="169">
        <f t="shared" si="464"/>
        <v>43.288425837524002</v>
      </c>
      <c r="AB351" s="169">
        <f t="shared" si="464"/>
        <v>34.594068645528004</v>
      </c>
      <c r="AC351" s="169">
        <f t="shared" si="464"/>
        <v>35.312801728050673</v>
      </c>
      <c r="AD351" s="169">
        <f t="shared" si="464"/>
        <v>35.312801728050673</v>
      </c>
      <c r="AE351" s="169">
        <f t="shared" si="464"/>
        <v>35.312801728050673</v>
      </c>
      <c r="AF351" s="169">
        <f t="shared" si="464"/>
        <v>35.312801728050673</v>
      </c>
      <c r="AG351" s="169">
        <f t="shared" si="464"/>
        <v>35.312801728050673</v>
      </c>
      <c r="AH351" s="169">
        <f t="shared" si="464"/>
        <v>35.312801728050673</v>
      </c>
      <c r="AI351" s="169">
        <f t="shared" si="464"/>
        <v>30.057016041384003</v>
      </c>
      <c r="AJ351" s="169">
        <f t="shared" si="464"/>
        <v>29.352096292092003</v>
      </c>
      <c r="AK351" s="169">
        <f t="shared" si="464"/>
        <v>12.142227840428001</v>
      </c>
      <c r="AL351" s="169">
        <f t="shared" si="464"/>
        <v>0</v>
      </c>
      <c r="AM351" s="169">
        <f t="shared" si="464"/>
        <v>0</v>
      </c>
      <c r="AN351" s="169">
        <f t="shared" si="464"/>
        <v>0</v>
      </c>
      <c r="AO351" s="169">
        <f t="shared" si="464"/>
        <v>0</v>
      </c>
      <c r="AP351" s="169">
        <f t="shared" si="464"/>
        <v>0</v>
      </c>
      <c r="AQ351" s="169">
        <f t="shared" si="464"/>
        <v>0</v>
      </c>
      <c r="AR351" s="169">
        <f t="shared" si="464"/>
        <v>0</v>
      </c>
      <c r="AS351" s="169">
        <f t="shared" si="464"/>
        <v>0</v>
      </c>
    </row>
    <row r="352" spans="1:45" ht="15" customHeight="1" x14ac:dyDescent="0.3">
      <c r="E352" s="290" t="str">
        <f xml:space="preserve"> E$155</f>
        <v>Operating costs: FS</v>
      </c>
      <c r="F352" s="290" t="str">
        <f xml:space="preserve"> F$155</f>
        <v>FS</v>
      </c>
      <c r="G352" s="290" t="str">
        <f xml:space="preserve"> G$155</f>
        <v>$ mn</v>
      </c>
      <c r="H352" s="356">
        <f xml:space="preserve"> H$155</f>
        <v>0</v>
      </c>
      <c r="I352" s="356">
        <f xml:space="preserve"> I$155</f>
        <v>5671.6441637003409</v>
      </c>
      <c r="J352" s="42"/>
      <c r="K352" s="290">
        <f t="shared" ref="K352:O352" si="465" xml:space="preserve"> K$155</f>
        <v>0</v>
      </c>
      <c r="L352" s="290">
        <f t="shared" si="465"/>
        <v>0</v>
      </c>
      <c r="M352" s="290">
        <f t="shared" si="465"/>
        <v>0</v>
      </c>
      <c r="N352" s="290">
        <f t="shared" si="465"/>
        <v>0</v>
      </c>
      <c r="O352" s="290">
        <f t="shared" si="465"/>
        <v>0</v>
      </c>
      <c r="P352" s="290">
        <f t="shared" ref="P352:AS352" si="466" xml:space="preserve"> P$155</f>
        <v>0</v>
      </c>
      <c r="Q352" s="290">
        <f t="shared" si="466"/>
        <v>0</v>
      </c>
      <c r="R352" s="290">
        <f t="shared" si="466"/>
        <v>0</v>
      </c>
      <c r="S352" s="290">
        <f t="shared" si="466"/>
        <v>0</v>
      </c>
      <c r="T352" s="290">
        <f t="shared" si="466"/>
        <v>0</v>
      </c>
      <c r="U352" s="290">
        <f t="shared" si="466"/>
        <v>0</v>
      </c>
      <c r="V352" s="290">
        <f t="shared" si="466"/>
        <v>58.864257899999998</v>
      </c>
      <c r="W352" s="290">
        <f t="shared" si="466"/>
        <v>128.08996202999998</v>
      </c>
      <c r="X352" s="290">
        <f t="shared" si="466"/>
        <v>177.35473410956803</v>
      </c>
      <c r="Y352" s="290">
        <f t="shared" si="466"/>
        <v>188.68425724392</v>
      </c>
      <c r="Z352" s="290">
        <f t="shared" si="466"/>
        <v>241.54856744211202</v>
      </c>
      <c r="AA352" s="290">
        <f t="shared" si="466"/>
        <v>479.85668416247591</v>
      </c>
      <c r="AB352" s="290">
        <f t="shared" si="466"/>
        <v>462.19492135447194</v>
      </c>
      <c r="AC352" s="290">
        <f t="shared" si="466"/>
        <v>468.16242827194935</v>
      </c>
      <c r="AD352" s="290">
        <f t="shared" si="466"/>
        <v>468.16242827194935</v>
      </c>
      <c r="AE352" s="290">
        <f t="shared" si="466"/>
        <v>468.16242827194935</v>
      </c>
      <c r="AF352" s="290">
        <f t="shared" si="466"/>
        <v>468.16242827194935</v>
      </c>
      <c r="AG352" s="290">
        <f t="shared" si="466"/>
        <v>468.16242827194935</v>
      </c>
      <c r="AH352" s="290">
        <f t="shared" si="466"/>
        <v>468.16242827194935</v>
      </c>
      <c r="AI352" s="290">
        <f t="shared" si="466"/>
        <v>473.41821395861609</v>
      </c>
      <c r="AJ352" s="290">
        <f t="shared" si="466"/>
        <v>424.92129370790803</v>
      </c>
      <c r="AK352" s="290">
        <f t="shared" si="466"/>
        <v>227.73670215957202</v>
      </c>
      <c r="AL352" s="290">
        <f t="shared" si="466"/>
        <v>0</v>
      </c>
      <c r="AM352" s="290">
        <f t="shared" si="466"/>
        <v>0</v>
      </c>
      <c r="AN352" s="290">
        <f t="shared" si="466"/>
        <v>0</v>
      </c>
      <c r="AO352" s="290">
        <f t="shared" si="466"/>
        <v>0</v>
      </c>
      <c r="AP352" s="290">
        <f t="shared" si="466"/>
        <v>0</v>
      </c>
      <c r="AQ352" s="290">
        <f t="shared" si="466"/>
        <v>0</v>
      </c>
      <c r="AR352" s="290">
        <f t="shared" si="466"/>
        <v>0</v>
      </c>
      <c r="AS352" s="290">
        <f t="shared" si="466"/>
        <v>0</v>
      </c>
    </row>
    <row r="353" spans="1:45" ht="15" customHeight="1" x14ac:dyDescent="0.3">
      <c r="E353" s="169" t="str">
        <f xml:space="preserve"> E$160</f>
        <v>Capital costs: FS</v>
      </c>
      <c r="F353" s="169" t="str">
        <f xml:space="preserve"> F$160</f>
        <v>FS</v>
      </c>
      <c r="G353" s="169" t="str">
        <f xml:space="preserve"> G$160</f>
        <v>$ mn</v>
      </c>
      <c r="H353" s="169">
        <f xml:space="preserve"> H$160</f>
        <v>0</v>
      </c>
      <c r="I353" s="169">
        <f xml:space="preserve"> I$160</f>
        <v>824.72191894000002</v>
      </c>
      <c r="J353" s="42"/>
      <c r="K353" s="169">
        <f t="shared" ref="K353:O353" si="467" xml:space="preserve"> K$160</f>
        <v>0</v>
      </c>
      <c r="L353" s="169">
        <f t="shared" si="467"/>
        <v>0</v>
      </c>
      <c r="M353" s="169">
        <f t="shared" si="467"/>
        <v>0</v>
      </c>
      <c r="N353" s="169">
        <f t="shared" si="467"/>
        <v>0</v>
      </c>
      <c r="O353" s="169">
        <f t="shared" si="467"/>
        <v>0</v>
      </c>
      <c r="P353" s="169">
        <f t="shared" ref="P353:AS353" si="468" xml:space="preserve"> P$160</f>
        <v>0</v>
      </c>
      <c r="Q353" s="169">
        <f t="shared" si="468"/>
        <v>0</v>
      </c>
      <c r="R353" s="169">
        <f t="shared" si="468"/>
        <v>0</v>
      </c>
      <c r="S353" s="169">
        <f t="shared" si="468"/>
        <v>0</v>
      </c>
      <c r="T353" s="169">
        <f t="shared" si="468"/>
        <v>0</v>
      </c>
      <c r="U353" s="169">
        <f t="shared" si="468"/>
        <v>0</v>
      </c>
      <c r="V353" s="169">
        <f t="shared" si="468"/>
        <v>245.02819335000001</v>
      </c>
      <c r="W353" s="169">
        <f t="shared" si="468"/>
        <v>111.33372773000001</v>
      </c>
      <c r="X353" s="169">
        <f t="shared" si="468"/>
        <v>148.28970892000001</v>
      </c>
      <c r="Y353" s="169">
        <f t="shared" si="468"/>
        <v>4.7877627</v>
      </c>
      <c r="Z353" s="169">
        <f t="shared" si="468"/>
        <v>81.812290399999995</v>
      </c>
      <c r="AA353" s="169">
        <f t="shared" si="468"/>
        <v>100.30613584</v>
      </c>
      <c r="AB353" s="169">
        <f t="shared" si="468"/>
        <v>99.765600000000006</v>
      </c>
      <c r="AC353" s="169">
        <f t="shared" si="468"/>
        <v>33.398499999999999</v>
      </c>
      <c r="AD353" s="169">
        <f t="shared" si="468"/>
        <v>0</v>
      </c>
      <c r="AE353" s="169">
        <f t="shared" si="468"/>
        <v>0</v>
      </c>
      <c r="AF353" s="169">
        <f t="shared" si="468"/>
        <v>0</v>
      </c>
      <c r="AG353" s="169">
        <f t="shared" si="468"/>
        <v>0</v>
      </c>
      <c r="AH353" s="169">
        <f t="shared" si="468"/>
        <v>0</v>
      </c>
      <c r="AI353" s="169">
        <f t="shared" si="468"/>
        <v>0</v>
      </c>
      <c r="AJ353" s="169">
        <f t="shared" si="468"/>
        <v>0</v>
      </c>
      <c r="AK353" s="169">
        <f t="shared" si="468"/>
        <v>0</v>
      </c>
      <c r="AL353" s="169">
        <f t="shared" si="468"/>
        <v>0</v>
      </c>
      <c r="AM353" s="169">
        <f t="shared" si="468"/>
        <v>0</v>
      </c>
      <c r="AN353" s="169">
        <f t="shared" si="468"/>
        <v>0</v>
      </c>
      <c r="AO353" s="169">
        <f t="shared" si="468"/>
        <v>0</v>
      </c>
      <c r="AP353" s="169">
        <f t="shared" si="468"/>
        <v>0</v>
      </c>
      <c r="AQ353" s="169">
        <f t="shared" si="468"/>
        <v>0</v>
      </c>
      <c r="AR353" s="169">
        <f t="shared" si="468"/>
        <v>0</v>
      </c>
      <c r="AS353" s="169">
        <f t="shared" si="468"/>
        <v>0</v>
      </c>
    </row>
    <row r="354" spans="1:45" ht="15" customHeight="1" x14ac:dyDescent="0.3">
      <c r="E354" s="169" t="str">
        <f xml:space="preserve"> E$339</f>
        <v>CIT payable</v>
      </c>
      <c r="F354" s="169">
        <f t="shared" ref="F354:I354" si="469" xml:space="preserve"> F$339</f>
        <v>0</v>
      </c>
      <c r="G354" s="169" t="str">
        <f t="shared" si="469"/>
        <v>$ mn</v>
      </c>
      <c r="H354" s="169">
        <f t="shared" si="469"/>
        <v>0</v>
      </c>
      <c r="I354" s="169">
        <f t="shared" si="469"/>
        <v>1182.1795951489798</v>
      </c>
      <c r="J354" s="42"/>
      <c r="K354" s="169">
        <f t="shared" ref="K354:O354" si="470" xml:space="preserve"> K$339</f>
        <v>0</v>
      </c>
      <c r="L354" s="169">
        <f t="shared" si="470"/>
        <v>0</v>
      </c>
      <c r="M354" s="169">
        <f t="shared" si="470"/>
        <v>0</v>
      </c>
      <c r="N354" s="169">
        <f t="shared" si="470"/>
        <v>0</v>
      </c>
      <c r="O354" s="169">
        <f t="shared" si="470"/>
        <v>0</v>
      </c>
      <c r="P354" s="169">
        <f t="shared" ref="P354:AS354" si="471" xml:space="preserve"> P$339</f>
        <v>0</v>
      </c>
      <c r="Q354" s="169">
        <f t="shared" si="471"/>
        <v>0</v>
      </c>
      <c r="R354" s="169">
        <f t="shared" si="471"/>
        <v>0</v>
      </c>
      <c r="S354" s="169">
        <f t="shared" si="471"/>
        <v>0</v>
      </c>
      <c r="T354" s="169">
        <f t="shared" si="471"/>
        <v>0</v>
      </c>
      <c r="U354" s="169">
        <f t="shared" si="471"/>
        <v>0</v>
      </c>
      <c r="V354" s="169">
        <f t="shared" si="471"/>
        <v>0</v>
      </c>
      <c r="W354" s="169">
        <f t="shared" si="471"/>
        <v>16.047306900000002</v>
      </c>
      <c r="X354" s="169">
        <f t="shared" si="471"/>
        <v>21.227132851296016</v>
      </c>
      <c r="Y354" s="169">
        <f t="shared" si="471"/>
        <v>64.424810583240017</v>
      </c>
      <c r="Z354" s="169">
        <f t="shared" si="471"/>
        <v>196.40751128366398</v>
      </c>
      <c r="AA354" s="169">
        <f t="shared" si="471"/>
        <v>98.920179007572017</v>
      </c>
      <c r="AB354" s="169">
        <f t="shared" si="471"/>
        <v>86.696199976584026</v>
      </c>
      <c r="AC354" s="169">
        <f t="shared" si="471"/>
        <v>90.171971564152003</v>
      </c>
      <c r="AD354" s="169">
        <f t="shared" si="471"/>
        <v>90.34018156415199</v>
      </c>
      <c r="AE354" s="169">
        <f t="shared" si="471"/>
        <v>90.508391564151992</v>
      </c>
      <c r="AF354" s="169">
        <f t="shared" si="471"/>
        <v>90.676601564151994</v>
      </c>
      <c r="AG354" s="169">
        <f t="shared" si="471"/>
        <v>90.676601564151994</v>
      </c>
      <c r="AH354" s="169">
        <f t="shared" si="471"/>
        <v>90.676601564151994</v>
      </c>
      <c r="AI354" s="169">
        <f t="shared" si="471"/>
        <v>64.664409964151915</v>
      </c>
      <c r="AJ354" s="169">
        <f t="shared" si="471"/>
        <v>78.183652716275972</v>
      </c>
      <c r="AK354" s="169">
        <f t="shared" si="471"/>
        <v>12.558042481283996</v>
      </c>
      <c r="AL354" s="169">
        <f t="shared" si="471"/>
        <v>0</v>
      </c>
      <c r="AM354" s="169">
        <f t="shared" si="471"/>
        <v>0</v>
      </c>
      <c r="AN354" s="169">
        <f t="shared" si="471"/>
        <v>0</v>
      </c>
      <c r="AO354" s="169">
        <f t="shared" si="471"/>
        <v>0</v>
      </c>
      <c r="AP354" s="169">
        <f t="shared" si="471"/>
        <v>0</v>
      </c>
      <c r="AQ354" s="169">
        <f t="shared" si="471"/>
        <v>0</v>
      </c>
      <c r="AR354" s="169">
        <f t="shared" si="471"/>
        <v>0</v>
      </c>
      <c r="AS354" s="169">
        <f t="shared" si="471"/>
        <v>0</v>
      </c>
    </row>
    <row r="355" spans="1:45" ht="15" customHeight="1" x14ac:dyDescent="0.3">
      <c r="A355" s="303"/>
      <c r="B355" s="303"/>
      <c r="C355" s="304"/>
      <c r="D355" s="305"/>
      <c r="E355" s="305" t="s">
        <v>231</v>
      </c>
      <c r="F355" s="305"/>
      <c r="G355" s="305" t="s">
        <v>346</v>
      </c>
      <c r="H355" s="307"/>
      <c r="I355" s="307">
        <f>SUM(K355:AS355)</f>
        <v>2702.8200764076196</v>
      </c>
      <c r="J355" s="42"/>
      <c r="K355" s="305">
        <f t="shared" ref="K355:AS355" si="472">K343 - SUM(K344:K354)</f>
        <v>0</v>
      </c>
      <c r="L355" s="305">
        <f t="shared" si="472"/>
        <v>0</v>
      </c>
      <c r="M355" s="305">
        <f t="shared" si="472"/>
        <v>0</v>
      </c>
      <c r="N355" s="305">
        <f t="shared" si="472"/>
        <v>0</v>
      </c>
      <c r="O355" s="305">
        <f t="shared" si="472"/>
        <v>0</v>
      </c>
      <c r="P355" s="305">
        <f t="shared" si="472"/>
        <v>0</v>
      </c>
      <c r="Q355" s="305">
        <f t="shared" si="472"/>
        <v>0</v>
      </c>
      <c r="R355" s="305">
        <f t="shared" si="472"/>
        <v>0</v>
      </c>
      <c r="S355" s="305">
        <f t="shared" si="472"/>
        <v>0</v>
      </c>
      <c r="T355" s="305">
        <f t="shared" si="472"/>
        <v>0</v>
      </c>
      <c r="U355" s="305">
        <f t="shared" si="472"/>
        <v>0</v>
      </c>
      <c r="V355" s="305">
        <f t="shared" si="472"/>
        <v>-253.26045835000005</v>
      </c>
      <c r="W355" s="305">
        <f t="shared" si="472"/>
        <v>-23.633746630000019</v>
      </c>
      <c r="X355" s="305">
        <f t="shared" si="472"/>
        <v>-42.224732266975991</v>
      </c>
      <c r="Y355" s="305">
        <f t="shared" si="472"/>
        <v>222.8105153275601</v>
      </c>
      <c r="Z355" s="305">
        <f t="shared" si="472"/>
        <v>453.68762259521588</v>
      </c>
      <c r="AA355" s="305">
        <f t="shared" si="472"/>
        <v>196.76911517766803</v>
      </c>
      <c r="AB355" s="305">
        <f t="shared" si="472"/>
        <v>168.22633327869596</v>
      </c>
      <c r="AC355" s="305">
        <f t="shared" si="472"/>
        <v>242.14286698302124</v>
      </c>
      <c r="AD355" s="305">
        <f t="shared" si="472"/>
        <v>275.37315698302132</v>
      </c>
      <c r="AE355" s="305">
        <f t="shared" si="472"/>
        <v>275.20494698302127</v>
      </c>
      <c r="AF355" s="305">
        <f t="shared" si="472"/>
        <v>275.03673698302134</v>
      </c>
      <c r="AG355" s="305">
        <f t="shared" si="472"/>
        <v>275.03673698302134</v>
      </c>
      <c r="AH355" s="305">
        <f t="shared" si="472"/>
        <v>275.03673698302134</v>
      </c>
      <c r="AI355" s="305">
        <f t="shared" si="472"/>
        <v>150.88362324968784</v>
      </c>
      <c r="AJ355" s="305">
        <f t="shared" si="472"/>
        <v>182.42852300464392</v>
      </c>
      <c r="AK355" s="305">
        <f t="shared" si="472"/>
        <v>29.302099122995969</v>
      </c>
      <c r="AL355" s="305">
        <f t="shared" si="472"/>
        <v>0</v>
      </c>
      <c r="AM355" s="305">
        <f t="shared" si="472"/>
        <v>0</v>
      </c>
      <c r="AN355" s="305">
        <f t="shared" si="472"/>
        <v>0</v>
      </c>
      <c r="AO355" s="305">
        <f t="shared" si="472"/>
        <v>0</v>
      </c>
      <c r="AP355" s="305">
        <f t="shared" si="472"/>
        <v>0</v>
      </c>
      <c r="AQ355" s="305">
        <f t="shared" si="472"/>
        <v>0</v>
      </c>
      <c r="AR355" s="305">
        <f t="shared" si="472"/>
        <v>0</v>
      </c>
      <c r="AS355" s="305">
        <f t="shared" si="472"/>
        <v>0</v>
      </c>
    </row>
    <row r="356" spans="1:45" ht="15" customHeight="1" x14ac:dyDescent="0.3">
      <c r="I356" s="291"/>
      <c r="J356" s="42"/>
      <c r="AL356" s="290"/>
      <c r="AM356" s="290"/>
      <c r="AN356" s="290"/>
      <c r="AO356" s="290"/>
      <c r="AP356" s="290"/>
      <c r="AQ356" s="290"/>
      <c r="AR356" s="290"/>
      <c r="AS356" s="290"/>
    </row>
    <row r="357" spans="1:45" ht="15" customHeight="1" collapsed="1" x14ac:dyDescent="0.3">
      <c r="A357" s="283" t="s">
        <v>333</v>
      </c>
      <c r="B357" s="284"/>
      <c r="C357" s="285"/>
      <c r="D357" s="286"/>
      <c r="E357" s="284"/>
      <c r="F357" s="284"/>
      <c r="G357" s="284"/>
      <c r="H357" s="284"/>
      <c r="I357" s="284"/>
      <c r="J357" s="42"/>
      <c r="K357" s="284"/>
      <c r="L357" s="284"/>
      <c r="M357" s="284"/>
      <c r="N357" s="284"/>
      <c r="O357" s="284"/>
      <c r="P357" s="284"/>
      <c r="Q357" s="284"/>
      <c r="R357" s="284"/>
      <c r="S357" s="284"/>
      <c r="T357" s="284"/>
      <c r="U357" s="284"/>
      <c r="V357" s="284"/>
      <c r="W357" s="284"/>
      <c r="X357" s="284"/>
      <c r="Y357" s="284"/>
      <c r="Z357" s="284"/>
      <c r="AA357" s="284"/>
      <c r="AB357" s="284"/>
      <c r="AC357" s="284"/>
      <c r="AD357" s="284"/>
      <c r="AE357" s="284"/>
      <c r="AF357" s="284"/>
      <c r="AG357" s="284"/>
      <c r="AH357" s="284"/>
      <c r="AI357" s="284"/>
      <c r="AJ357" s="284"/>
      <c r="AK357" s="284"/>
      <c r="AL357" s="284"/>
      <c r="AM357" s="284"/>
      <c r="AN357" s="284"/>
      <c r="AO357" s="284"/>
      <c r="AP357" s="284"/>
      <c r="AQ357" s="284"/>
      <c r="AR357" s="284"/>
      <c r="AS357" s="284"/>
    </row>
    <row r="358" spans="1:45" ht="15" customHeight="1" x14ac:dyDescent="0.3">
      <c r="I358" s="291"/>
      <c r="J358" s="42"/>
      <c r="AL358" s="290"/>
      <c r="AM358" s="290"/>
      <c r="AN358" s="290"/>
      <c r="AO358" s="290"/>
      <c r="AP358" s="290"/>
      <c r="AQ358" s="290"/>
      <c r="AR358" s="290"/>
      <c r="AS358" s="290"/>
    </row>
    <row r="359" spans="1:45" ht="15" customHeight="1" x14ac:dyDescent="0.3">
      <c r="E359" s="104" t="str">
        <f xml:space="preserve"> 'Inputs_ FS'!E$77</f>
        <v>Loan amount</v>
      </c>
      <c r="F359" s="104">
        <f xml:space="preserve"> 'Inputs_ FS'!F$77</f>
        <v>499</v>
      </c>
      <c r="G359" s="104" t="str">
        <f xml:space="preserve"> 'Inputs_ FS'!G$77</f>
        <v>$ mn</v>
      </c>
      <c r="H359" s="104" t="str">
        <f xml:space="preserve"> 'Inputs_ FS'!H$77</f>
        <v>M</v>
      </c>
      <c r="I359" s="104"/>
      <c r="J359" s="42"/>
      <c r="AL359" s="290"/>
      <c r="AM359" s="290"/>
      <c r="AN359" s="290"/>
      <c r="AO359" s="290"/>
      <c r="AP359" s="290"/>
      <c r="AQ359" s="290"/>
      <c r="AR359" s="290"/>
      <c r="AS359" s="290"/>
    </row>
    <row r="360" spans="1:45" ht="15" customHeight="1" x14ac:dyDescent="0.3">
      <c r="E360" s="104" t="str">
        <f xml:space="preserve"> 'Inputs_ FS'!E$78</f>
        <v>Percentage of loan repayable at interest rate</v>
      </c>
      <c r="F360" s="95">
        <f xml:space="preserve"> 'Inputs_ FS'!F$78</f>
        <v>0.63439999999999996</v>
      </c>
      <c r="G360" s="104" t="str">
        <f xml:space="preserve"> 'Inputs_ FS'!G$78</f>
        <v>%</v>
      </c>
      <c r="H360" s="104" t="str">
        <f xml:space="preserve"> 'Inputs_ FS'!H$78</f>
        <v>M</v>
      </c>
      <c r="I360" s="104"/>
      <c r="J360" s="42"/>
      <c r="AL360" s="290"/>
      <c r="AM360" s="290"/>
      <c r="AN360" s="290"/>
      <c r="AO360" s="290"/>
      <c r="AP360" s="290"/>
      <c r="AQ360" s="290"/>
      <c r="AR360" s="290"/>
      <c r="AS360" s="290"/>
    </row>
    <row r="361" spans="1:45" ht="15" customHeight="1" x14ac:dyDescent="0.3">
      <c r="E361" s="104" t="str">
        <f xml:space="preserve"> 'Inputs_ FS'!E$79</f>
        <v>Interest rate on loan</v>
      </c>
      <c r="F361" s="95">
        <f xml:space="preserve"> 'Inputs_ FS'!F$79</f>
        <v>5.3400000000000003E-2</v>
      </c>
      <c r="G361" s="104" t="str">
        <f xml:space="preserve"> 'Inputs_ FS'!G$79</f>
        <v>%</v>
      </c>
      <c r="H361" s="104" t="str">
        <f xml:space="preserve"> 'Inputs_ FS'!H$79</f>
        <v>M</v>
      </c>
      <c r="I361" s="104"/>
      <c r="J361" s="42"/>
      <c r="AL361" s="290"/>
      <c r="AM361" s="290"/>
      <c r="AN361" s="290"/>
      <c r="AO361" s="290"/>
      <c r="AP361" s="290"/>
      <c r="AQ361" s="290"/>
      <c r="AR361" s="290"/>
      <c r="AS361" s="290"/>
    </row>
    <row r="362" spans="1:45" ht="15" customHeight="1" x14ac:dyDescent="0.3">
      <c r="E362" s="42" t="s">
        <v>338</v>
      </c>
      <c r="F362" s="72">
        <f>1-F360</f>
        <v>0.36560000000000004</v>
      </c>
      <c r="G362" s="42" t="s">
        <v>34</v>
      </c>
      <c r="I362" s="291"/>
      <c r="J362" s="42"/>
      <c r="AL362" s="290"/>
      <c r="AM362" s="290"/>
      <c r="AN362" s="290"/>
      <c r="AO362" s="290"/>
      <c r="AP362" s="290"/>
      <c r="AQ362" s="290"/>
      <c r="AR362" s="290"/>
      <c r="AS362" s="290"/>
    </row>
    <row r="363" spans="1:45" ht="15" customHeight="1" x14ac:dyDescent="0.3">
      <c r="E363" s="42" t="s">
        <v>353</v>
      </c>
      <c r="F363" s="88">
        <f>F359 * F360</f>
        <v>316.56559999999996</v>
      </c>
      <c r="G363" s="42" t="s">
        <v>346</v>
      </c>
      <c r="I363" s="291"/>
      <c r="J363" s="42"/>
      <c r="AL363" s="290"/>
      <c r="AM363" s="290"/>
      <c r="AN363" s="290"/>
      <c r="AO363" s="290"/>
      <c r="AP363" s="290"/>
      <c r="AQ363" s="290"/>
      <c r="AR363" s="290"/>
      <c r="AS363" s="290"/>
    </row>
    <row r="364" spans="1:45" ht="15" customHeight="1" x14ac:dyDescent="0.3">
      <c r="E364" s="42" t="s">
        <v>352</v>
      </c>
      <c r="F364" s="88">
        <f>F362 * F359</f>
        <v>182.43440000000001</v>
      </c>
      <c r="G364" s="42" t="s">
        <v>346</v>
      </c>
      <c r="I364" s="291"/>
      <c r="J364" s="42"/>
      <c r="AL364" s="290"/>
      <c r="AM364" s="290"/>
      <c r="AN364" s="290"/>
      <c r="AO364" s="290"/>
      <c r="AP364" s="290"/>
      <c r="AQ364" s="290"/>
      <c r="AR364" s="290"/>
      <c r="AS364" s="290"/>
    </row>
    <row r="365" spans="1:45" ht="15" customHeight="1" x14ac:dyDescent="0.3">
      <c r="I365" s="291"/>
      <c r="J365" s="42"/>
      <c r="AL365" s="290"/>
      <c r="AM365" s="290"/>
      <c r="AN365" s="290"/>
      <c r="AO365" s="290"/>
      <c r="AP365" s="290"/>
      <c r="AQ365" s="290"/>
      <c r="AR365" s="290"/>
      <c r="AS365" s="290"/>
    </row>
    <row r="366" spans="1:45" ht="15" customHeight="1" x14ac:dyDescent="0.3">
      <c r="E366" s="104" t="str">
        <f xml:space="preserve"> 'Inputs_ FS'!E$81</f>
        <v>Financing by borrowing</v>
      </c>
      <c r="F366" s="95">
        <f xml:space="preserve"> 'Inputs_ FS'!F$81</f>
        <v>0.60499999999999998</v>
      </c>
      <c r="G366" s="104" t="str">
        <f xml:space="preserve"> 'Inputs_ FS'!G$81</f>
        <v>%</v>
      </c>
      <c r="H366" s="104" t="str">
        <f xml:space="preserve"> 'Inputs_ FS'!H$81</f>
        <v>M</v>
      </c>
      <c r="I366" s="104"/>
      <c r="J366" s="42"/>
      <c r="AL366" s="290"/>
      <c r="AM366" s="290"/>
      <c r="AN366" s="290"/>
      <c r="AO366" s="290"/>
      <c r="AP366" s="290"/>
      <c r="AQ366" s="290"/>
      <c r="AR366" s="290"/>
      <c r="AS366" s="290"/>
    </row>
    <row r="367" spans="1:45" ht="15" customHeight="1" x14ac:dyDescent="0.3">
      <c r="E367" s="42" t="s">
        <v>335</v>
      </c>
      <c r="F367" s="273">
        <f>1-F366</f>
        <v>0.39500000000000002</v>
      </c>
      <c r="G367" s="42" t="s">
        <v>34</v>
      </c>
      <c r="I367" s="291"/>
      <c r="J367" s="42"/>
      <c r="AL367" s="290"/>
      <c r="AM367" s="290"/>
      <c r="AN367" s="290"/>
      <c r="AO367" s="290"/>
      <c r="AP367" s="290"/>
      <c r="AQ367" s="290"/>
      <c r="AR367" s="290"/>
      <c r="AS367" s="290"/>
    </row>
    <row r="368" spans="1:45" ht="15" customHeight="1" x14ac:dyDescent="0.3">
      <c r="E368" s="42" t="s">
        <v>351</v>
      </c>
      <c r="F368" s="278">
        <f>(F359 / F366) * F367</f>
        <v>325.7933884297521</v>
      </c>
      <c r="G368" s="42" t="s">
        <v>346</v>
      </c>
      <c r="I368" s="291"/>
      <c r="J368" s="42"/>
      <c r="AL368" s="290"/>
      <c r="AM368" s="290"/>
      <c r="AN368" s="290"/>
      <c r="AO368" s="290"/>
      <c r="AP368" s="290"/>
      <c r="AQ368" s="290"/>
      <c r="AR368" s="290"/>
      <c r="AS368" s="290"/>
    </row>
    <row r="369" spans="1:45" ht="15" customHeight="1" x14ac:dyDescent="0.3">
      <c r="I369" s="291"/>
      <c r="J369" s="42"/>
      <c r="AL369" s="290"/>
      <c r="AM369" s="290"/>
      <c r="AN369" s="290"/>
      <c r="AO369" s="290"/>
      <c r="AP369" s="290"/>
      <c r="AQ369" s="290"/>
      <c r="AR369" s="290"/>
      <c r="AS369" s="290"/>
    </row>
    <row r="370" spans="1:45" ht="15" customHeight="1" x14ac:dyDescent="0.3">
      <c r="C370" s="289" t="s">
        <v>341</v>
      </c>
      <c r="I370" s="291"/>
      <c r="J370" s="42"/>
      <c r="AL370" s="290"/>
      <c r="AM370" s="290"/>
      <c r="AN370" s="290"/>
      <c r="AO370" s="290"/>
      <c r="AP370" s="290"/>
      <c r="AQ370" s="290"/>
      <c r="AR370" s="290"/>
      <c r="AS370" s="290"/>
    </row>
    <row r="371" spans="1:45" ht="15" customHeight="1" x14ac:dyDescent="0.3">
      <c r="E371" s="104" t="str">
        <f xml:space="preserve"> 'Inputs_ FS'!E$83</f>
        <v>JIN Cheng loan 2017</v>
      </c>
      <c r="F371" s="104">
        <f xml:space="preserve"> 'Inputs_ FS'!F$83</f>
        <v>99</v>
      </c>
      <c r="G371" s="104" t="str">
        <f xml:space="preserve"> 'Inputs_ FS'!G$83</f>
        <v>$ mn</v>
      </c>
      <c r="H371" s="104" t="str">
        <f xml:space="preserve"> 'Inputs_ FS'!H$83</f>
        <v>M</v>
      </c>
      <c r="I371" s="104"/>
      <c r="J371" s="42"/>
      <c r="AL371" s="290"/>
      <c r="AM371" s="290"/>
      <c r="AN371" s="290"/>
      <c r="AO371" s="290"/>
      <c r="AP371" s="290"/>
      <c r="AQ371" s="290"/>
      <c r="AR371" s="290"/>
      <c r="AS371" s="290"/>
    </row>
    <row r="372" spans="1:45" ht="15" customHeight="1" x14ac:dyDescent="0.3">
      <c r="E372" s="104" t="str">
        <f xml:space="preserve"> 'Inputs_ FS'!E$84</f>
        <v>JIN Cheng loan 2017 interest rate</v>
      </c>
      <c r="F372" s="95">
        <f xml:space="preserve"> 'Inputs_ FS'!F$84</f>
        <v>0</v>
      </c>
      <c r="G372" s="104" t="str">
        <f xml:space="preserve"> 'Inputs_ FS'!G$84</f>
        <v>%</v>
      </c>
      <c r="H372" s="104" t="str">
        <f xml:space="preserve"> 'Inputs_ FS'!H$84</f>
        <v>M</v>
      </c>
      <c r="I372" s="104"/>
      <c r="J372" s="42"/>
      <c r="V372" s="357"/>
      <c r="AL372" s="290"/>
      <c r="AM372" s="290"/>
      <c r="AN372" s="290"/>
      <c r="AO372" s="290"/>
      <c r="AP372" s="290"/>
      <c r="AQ372" s="290"/>
      <c r="AR372" s="290"/>
      <c r="AS372" s="290"/>
    </row>
    <row r="373" spans="1:45" ht="15" customHeight="1" x14ac:dyDescent="0.3">
      <c r="E373" s="42"/>
      <c r="F373" s="42"/>
      <c r="G373" s="42"/>
      <c r="I373" s="291"/>
      <c r="J373" s="42"/>
      <c r="AL373" s="290"/>
      <c r="AM373" s="290"/>
      <c r="AN373" s="290"/>
      <c r="AO373" s="290"/>
      <c r="AP373" s="290"/>
      <c r="AQ373" s="290"/>
      <c r="AR373" s="290"/>
      <c r="AS373" s="290"/>
    </row>
    <row r="374" spans="1:45" ht="15" customHeight="1" x14ac:dyDescent="0.3">
      <c r="A374" s="378"/>
      <c r="B374" s="378"/>
      <c r="C374" s="379"/>
      <c r="D374" s="381"/>
      <c r="E374" s="104" t="str">
        <f xml:space="preserve"> 'Inputs_ FS'!E$86</f>
        <v>Gold Mountains loan 2018</v>
      </c>
      <c r="F374" s="104">
        <f xml:space="preserve"> 'Inputs_ FS'!F$86</f>
        <v>200</v>
      </c>
      <c r="G374" s="104" t="str">
        <f xml:space="preserve"> 'Inputs_ FS'!G$86</f>
        <v>$ mn</v>
      </c>
      <c r="H374" s="104" t="str">
        <f xml:space="preserve"> 'Inputs_ FS'!H$86</f>
        <v>M</v>
      </c>
      <c r="I374" s="104"/>
      <c r="J374" s="34"/>
      <c r="K374" s="381"/>
      <c r="L374" s="381"/>
      <c r="M374" s="381"/>
      <c r="N374" s="381"/>
      <c r="O374" s="381"/>
      <c r="P374" s="381"/>
      <c r="Q374" s="381"/>
      <c r="R374" s="381"/>
      <c r="S374" s="381"/>
      <c r="T374" s="381"/>
      <c r="U374" s="381"/>
      <c r="V374" s="381"/>
      <c r="W374" s="381"/>
      <c r="X374" s="381"/>
      <c r="Y374" s="381"/>
      <c r="Z374" s="381"/>
      <c r="AA374" s="381"/>
      <c r="AB374" s="381"/>
      <c r="AC374" s="381"/>
      <c r="AD374" s="381"/>
      <c r="AE374" s="381"/>
      <c r="AF374" s="381"/>
      <c r="AG374" s="381"/>
      <c r="AH374" s="381"/>
      <c r="AI374" s="381"/>
      <c r="AJ374" s="381"/>
      <c r="AK374" s="381"/>
      <c r="AL374" s="381"/>
      <c r="AM374" s="381"/>
      <c r="AN374" s="381"/>
      <c r="AO374" s="381"/>
      <c r="AP374" s="381"/>
      <c r="AQ374" s="381"/>
      <c r="AR374" s="381"/>
      <c r="AS374" s="381"/>
    </row>
    <row r="375" spans="1:45" ht="15" customHeight="1" x14ac:dyDescent="0.3">
      <c r="E375" s="104" t="str">
        <f xml:space="preserve"> 'Inputs_ FS'!E$87</f>
        <v>Percentage of loan repayable at interest rate</v>
      </c>
      <c r="F375" s="95">
        <f xml:space="preserve"> 'Inputs_ FS'!F$87</f>
        <v>0.7</v>
      </c>
      <c r="G375" s="104" t="str">
        <f xml:space="preserve"> 'Inputs_ FS'!G$87</f>
        <v>%</v>
      </c>
      <c r="H375" s="104" t="str">
        <f xml:space="preserve"> 'Inputs_ FS'!H$87</f>
        <v>M</v>
      </c>
      <c r="I375" s="104"/>
      <c r="J375" s="42"/>
      <c r="AL375" s="290"/>
      <c r="AM375" s="290"/>
      <c r="AN375" s="290"/>
      <c r="AO375" s="290"/>
      <c r="AP375" s="290"/>
      <c r="AQ375" s="290"/>
      <c r="AR375" s="290"/>
      <c r="AS375" s="290"/>
    </row>
    <row r="376" spans="1:45" ht="15" customHeight="1" x14ac:dyDescent="0.3">
      <c r="E376" s="42"/>
      <c r="F376" s="42"/>
      <c r="G376" s="42"/>
      <c r="I376" s="291"/>
      <c r="J376" s="42"/>
      <c r="AL376" s="290"/>
      <c r="AM376" s="290"/>
      <c r="AN376" s="290"/>
      <c r="AO376" s="290"/>
      <c r="AP376" s="290"/>
      <c r="AQ376" s="290"/>
      <c r="AR376" s="290"/>
      <c r="AS376" s="290"/>
    </row>
    <row r="377" spans="1:45" ht="15" customHeight="1" x14ac:dyDescent="0.3">
      <c r="E377" s="104" t="str">
        <f xml:space="preserve"> 'Inputs_ FS'!E$89</f>
        <v>JIN Cheng loan 2018</v>
      </c>
      <c r="F377" s="104">
        <f xml:space="preserve"> 'Inputs_ FS'!F$89</f>
        <v>200</v>
      </c>
      <c r="G377" s="104" t="str">
        <f xml:space="preserve"> 'Inputs_ FS'!G$89</f>
        <v>$ mn</v>
      </c>
      <c r="H377" s="104" t="str">
        <f xml:space="preserve"> 'Inputs_ FS'!H$89</f>
        <v>M</v>
      </c>
      <c r="I377" s="104"/>
      <c r="J377" s="42"/>
      <c r="AL377" s="290"/>
      <c r="AM377" s="290"/>
      <c r="AN377" s="290"/>
      <c r="AO377" s="290"/>
      <c r="AP377" s="290"/>
      <c r="AQ377" s="290"/>
      <c r="AR377" s="290"/>
      <c r="AS377" s="290"/>
    </row>
    <row r="378" spans="1:45" ht="15" customHeight="1" x14ac:dyDescent="0.3">
      <c r="E378" s="104" t="str">
        <f xml:space="preserve"> 'Inputs_ FS'!E$90</f>
        <v>Percentage of loan repayable at interest rate</v>
      </c>
      <c r="F378" s="95">
        <f xml:space="preserve"> 'Inputs_ FS'!F$90</f>
        <v>0.7</v>
      </c>
      <c r="G378" s="104" t="str">
        <f xml:space="preserve"> 'Inputs_ FS'!G$90</f>
        <v>%</v>
      </c>
      <c r="H378" s="104" t="str">
        <f xml:space="preserve"> 'Inputs_ FS'!H$90</f>
        <v>M</v>
      </c>
      <c r="I378" s="104"/>
      <c r="J378" s="42"/>
      <c r="AL378" s="290"/>
      <c r="AM378" s="290"/>
      <c r="AN378" s="290"/>
      <c r="AO378" s="290"/>
      <c r="AP378" s="290"/>
      <c r="AQ378" s="290"/>
      <c r="AR378" s="290"/>
      <c r="AS378" s="290"/>
    </row>
    <row r="379" spans="1:45" ht="15" customHeight="1" x14ac:dyDescent="0.3">
      <c r="I379" s="291"/>
      <c r="J379" s="42"/>
      <c r="AL379" s="290"/>
      <c r="AM379" s="290"/>
      <c r="AN379" s="290"/>
      <c r="AO379" s="290"/>
      <c r="AP379" s="290"/>
      <c r="AQ379" s="290"/>
      <c r="AR379" s="290"/>
      <c r="AS379" s="290"/>
    </row>
    <row r="380" spans="1:45" ht="15" customHeight="1" x14ac:dyDescent="0.3">
      <c r="A380" s="112"/>
      <c r="B380" s="112"/>
      <c r="C380" s="113"/>
      <c r="D380" s="42"/>
      <c r="E380" s="104" t="str">
        <f xml:space="preserve"> 'Inputs_ FS'!E$93</f>
        <v>JIN Cheng loan 2017: drawdown</v>
      </c>
      <c r="F380" s="104">
        <f xml:space="preserve"> 'Inputs_ FS'!F$93</f>
        <v>0</v>
      </c>
      <c r="G380" s="104" t="str">
        <f xml:space="preserve"> 'Inputs_ FS'!G$93</f>
        <v>$ mn</v>
      </c>
      <c r="H380" s="104" t="str">
        <f xml:space="preserve"> 'Inputs_ FS'!H$93</f>
        <v>M</v>
      </c>
      <c r="I380" s="104">
        <f xml:space="preserve"> 'Inputs_ FS'!I$93</f>
        <v>99</v>
      </c>
      <c r="J380" s="104">
        <f xml:space="preserve"> 'Inputs_ FS'!J$93</f>
        <v>0</v>
      </c>
      <c r="K380" s="104">
        <f xml:space="preserve"> 'Inputs_ FS'!K$93</f>
        <v>0</v>
      </c>
      <c r="L380" s="104">
        <f xml:space="preserve"> 'Inputs_ FS'!L$93</f>
        <v>0</v>
      </c>
      <c r="M380" s="104">
        <f xml:space="preserve"> 'Inputs_ FS'!M$93</f>
        <v>0</v>
      </c>
      <c r="N380" s="104">
        <f xml:space="preserve"> 'Inputs_ FS'!N$93</f>
        <v>0</v>
      </c>
      <c r="O380" s="104">
        <f xml:space="preserve"> 'Inputs_ FS'!O$93</f>
        <v>0</v>
      </c>
      <c r="P380" s="104">
        <f xml:space="preserve"> 'Inputs_ FS'!P$93</f>
        <v>0</v>
      </c>
      <c r="Q380" s="104">
        <f xml:space="preserve"> 'Inputs_ FS'!Q$93</f>
        <v>0</v>
      </c>
      <c r="R380" s="104">
        <f xml:space="preserve"> 'Inputs_ FS'!R$93</f>
        <v>0</v>
      </c>
      <c r="S380" s="104">
        <f xml:space="preserve"> 'Inputs_ FS'!S$93</f>
        <v>0</v>
      </c>
      <c r="T380" s="104">
        <f xml:space="preserve"> 'Inputs_ FS'!T$93</f>
        <v>0</v>
      </c>
      <c r="U380" s="104">
        <f xml:space="preserve"> 'Inputs_ FS'!U$93</f>
        <v>0</v>
      </c>
      <c r="V380" s="104">
        <f xml:space="preserve"> 'Inputs_ FS'!V$93</f>
        <v>99</v>
      </c>
      <c r="W380" s="104">
        <f xml:space="preserve"> 'Inputs_ FS'!W$93</f>
        <v>0</v>
      </c>
      <c r="X380" s="104">
        <f xml:space="preserve"> 'Inputs_ FS'!X$93</f>
        <v>0</v>
      </c>
      <c r="Y380" s="104">
        <f xml:space="preserve"> 'Inputs_ FS'!Y$93</f>
        <v>0</v>
      </c>
      <c r="Z380" s="104">
        <f xml:space="preserve"> 'Inputs_ FS'!Z$93</f>
        <v>0</v>
      </c>
      <c r="AA380" s="104">
        <f xml:space="preserve"> 'Inputs_ FS'!AA$93</f>
        <v>0</v>
      </c>
      <c r="AB380" s="104">
        <f xml:space="preserve"> 'Inputs_ FS'!AB$93</f>
        <v>0</v>
      </c>
      <c r="AC380" s="104">
        <f xml:space="preserve"> 'Inputs_ FS'!AC$93</f>
        <v>0</v>
      </c>
      <c r="AD380" s="104">
        <f xml:space="preserve"> 'Inputs_ FS'!AD$93</f>
        <v>0</v>
      </c>
      <c r="AE380" s="104">
        <f xml:space="preserve"> 'Inputs_ FS'!AE$93</f>
        <v>0</v>
      </c>
      <c r="AF380" s="104">
        <f xml:space="preserve"> 'Inputs_ FS'!AF$93</f>
        <v>0</v>
      </c>
      <c r="AG380" s="104">
        <f xml:space="preserve"> 'Inputs_ FS'!AG$93</f>
        <v>0</v>
      </c>
      <c r="AH380" s="104">
        <f xml:space="preserve"> 'Inputs_ FS'!AH$93</f>
        <v>0</v>
      </c>
      <c r="AI380" s="104">
        <f xml:space="preserve"> 'Inputs_ FS'!AI$93</f>
        <v>0</v>
      </c>
      <c r="AJ380" s="104">
        <f xml:space="preserve"> 'Inputs_ FS'!AJ$93</f>
        <v>0</v>
      </c>
      <c r="AK380" s="104">
        <f xml:space="preserve"> 'Inputs_ FS'!AK$93</f>
        <v>0</v>
      </c>
      <c r="AL380" s="104">
        <f xml:space="preserve"> 'Inputs_ FS'!AL$93</f>
        <v>0</v>
      </c>
      <c r="AM380" s="104">
        <f xml:space="preserve"> 'Inputs_ FS'!AM$93</f>
        <v>0</v>
      </c>
      <c r="AN380" s="104">
        <f xml:space="preserve"> 'Inputs_ FS'!AN$93</f>
        <v>0</v>
      </c>
      <c r="AO380" s="104">
        <f xml:space="preserve"> 'Inputs_ FS'!AO$93</f>
        <v>0</v>
      </c>
      <c r="AP380" s="104">
        <f xml:space="preserve"> 'Inputs_ FS'!AP$93</f>
        <v>0</v>
      </c>
      <c r="AQ380" s="104">
        <f xml:space="preserve"> 'Inputs_ FS'!AQ$93</f>
        <v>0</v>
      </c>
      <c r="AR380" s="104">
        <f xml:space="preserve"> 'Inputs_ FS'!AR$93</f>
        <v>0</v>
      </c>
      <c r="AS380" s="104">
        <f xml:space="preserve"> 'Inputs_ FS'!AS$93</f>
        <v>0</v>
      </c>
    </row>
    <row r="381" spans="1:45" ht="15" customHeight="1" x14ac:dyDescent="0.3">
      <c r="A381" s="112"/>
      <c r="B381" s="112"/>
      <c r="C381" s="113"/>
      <c r="D381" s="42"/>
      <c r="E381" s="104" t="str">
        <f xml:space="preserve"> 'Inputs_ FS'!E$94</f>
        <v>JIN Cheng loan 2017: principal repayment</v>
      </c>
      <c r="F381" s="104">
        <f xml:space="preserve"> 'Inputs_ FS'!F$94</f>
        <v>0</v>
      </c>
      <c r="G381" s="104" t="str">
        <f xml:space="preserve"> 'Inputs_ FS'!G$94</f>
        <v>$ mn</v>
      </c>
      <c r="H381" s="104" t="str">
        <f xml:space="preserve"> 'Inputs_ FS'!H$94</f>
        <v>M</v>
      </c>
      <c r="I381" s="104">
        <f xml:space="preserve"> 'Inputs_ FS'!I$94</f>
        <v>99</v>
      </c>
      <c r="J381" s="104">
        <f xml:space="preserve"> 'Inputs_ FS'!J$94</f>
        <v>0</v>
      </c>
      <c r="K381" s="104">
        <f xml:space="preserve"> 'Inputs_ FS'!K$94</f>
        <v>0</v>
      </c>
      <c r="L381" s="104">
        <f xml:space="preserve"> 'Inputs_ FS'!L$94</f>
        <v>0</v>
      </c>
      <c r="M381" s="104">
        <f xml:space="preserve"> 'Inputs_ FS'!M$94</f>
        <v>0</v>
      </c>
      <c r="N381" s="104">
        <f xml:space="preserve"> 'Inputs_ FS'!N$94</f>
        <v>0</v>
      </c>
      <c r="O381" s="104">
        <f xml:space="preserve"> 'Inputs_ FS'!O$94</f>
        <v>0</v>
      </c>
      <c r="P381" s="104">
        <f xml:space="preserve"> 'Inputs_ FS'!P$94</f>
        <v>0</v>
      </c>
      <c r="Q381" s="104">
        <f xml:space="preserve"> 'Inputs_ FS'!Q$94</f>
        <v>0</v>
      </c>
      <c r="R381" s="104">
        <f xml:space="preserve"> 'Inputs_ FS'!R$94</f>
        <v>0</v>
      </c>
      <c r="S381" s="104">
        <f xml:space="preserve"> 'Inputs_ FS'!S$94</f>
        <v>0</v>
      </c>
      <c r="T381" s="104">
        <f xml:space="preserve"> 'Inputs_ FS'!T$94</f>
        <v>0</v>
      </c>
      <c r="U381" s="104">
        <f xml:space="preserve"> 'Inputs_ FS'!U$94</f>
        <v>0</v>
      </c>
      <c r="V381" s="104">
        <f xml:space="preserve"> 'Inputs_ FS'!V$94</f>
        <v>0</v>
      </c>
      <c r="W381" s="104">
        <f xml:space="preserve"> 'Inputs_ FS'!W$94</f>
        <v>99</v>
      </c>
      <c r="X381" s="104">
        <f xml:space="preserve"> 'Inputs_ FS'!X$94</f>
        <v>0</v>
      </c>
      <c r="Y381" s="104">
        <f xml:space="preserve"> 'Inputs_ FS'!Y$94</f>
        <v>0</v>
      </c>
      <c r="Z381" s="104">
        <f xml:space="preserve"> 'Inputs_ FS'!Z$94</f>
        <v>0</v>
      </c>
      <c r="AA381" s="104">
        <f xml:space="preserve"> 'Inputs_ FS'!AA$94</f>
        <v>0</v>
      </c>
      <c r="AB381" s="104">
        <f xml:space="preserve"> 'Inputs_ FS'!AB$94</f>
        <v>0</v>
      </c>
      <c r="AC381" s="104">
        <f xml:space="preserve"> 'Inputs_ FS'!AC$94</f>
        <v>0</v>
      </c>
      <c r="AD381" s="104">
        <f xml:space="preserve"> 'Inputs_ FS'!AD$94</f>
        <v>0</v>
      </c>
      <c r="AE381" s="104">
        <f xml:space="preserve"> 'Inputs_ FS'!AE$94</f>
        <v>0</v>
      </c>
      <c r="AF381" s="104">
        <f xml:space="preserve"> 'Inputs_ FS'!AF$94</f>
        <v>0</v>
      </c>
      <c r="AG381" s="104">
        <f xml:space="preserve"> 'Inputs_ FS'!AG$94</f>
        <v>0</v>
      </c>
      <c r="AH381" s="104">
        <f xml:space="preserve"> 'Inputs_ FS'!AH$94</f>
        <v>0</v>
      </c>
      <c r="AI381" s="104">
        <f xml:space="preserve"> 'Inputs_ FS'!AI$94</f>
        <v>0</v>
      </c>
      <c r="AJ381" s="104">
        <f xml:space="preserve"> 'Inputs_ FS'!AJ$94</f>
        <v>0</v>
      </c>
      <c r="AK381" s="104">
        <f xml:space="preserve"> 'Inputs_ FS'!AK$94</f>
        <v>0</v>
      </c>
      <c r="AL381" s="104">
        <f xml:space="preserve"> 'Inputs_ FS'!AL$94</f>
        <v>0</v>
      </c>
      <c r="AM381" s="104">
        <f xml:space="preserve"> 'Inputs_ FS'!AM$94</f>
        <v>0</v>
      </c>
      <c r="AN381" s="104">
        <f xml:space="preserve"> 'Inputs_ FS'!AN$94</f>
        <v>0</v>
      </c>
      <c r="AO381" s="104">
        <f xml:space="preserve"> 'Inputs_ FS'!AO$94</f>
        <v>0</v>
      </c>
      <c r="AP381" s="104">
        <f xml:space="preserve"> 'Inputs_ FS'!AP$94</f>
        <v>0</v>
      </c>
      <c r="AQ381" s="104">
        <f xml:space="preserve"> 'Inputs_ FS'!AQ$94</f>
        <v>0</v>
      </c>
      <c r="AR381" s="104">
        <f xml:space="preserve"> 'Inputs_ FS'!AR$94</f>
        <v>0</v>
      </c>
      <c r="AS381" s="104">
        <f xml:space="preserve"> 'Inputs_ FS'!AS$94</f>
        <v>0</v>
      </c>
    </row>
    <row r="382" spans="1:45" ht="15" customHeight="1" x14ac:dyDescent="0.3">
      <c r="A382" s="112"/>
      <c r="B382" s="112"/>
      <c r="C382" s="113"/>
      <c r="D382" s="42"/>
      <c r="E382" s="104"/>
      <c r="F382" s="104"/>
      <c r="G382" s="104"/>
      <c r="H382" s="104"/>
      <c r="I382" s="104"/>
      <c r="J382" s="104"/>
      <c r="K382" s="104"/>
      <c r="L382" s="104"/>
      <c r="M382" s="104"/>
      <c r="N382" s="104"/>
      <c r="O382" s="104"/>
      <c r="P382" s="104"/>
      <c r="Q382" s="104"/>
      <c r="R382" s="104"/>
      <c r="S382" s="104"/>
      <c r="T382" s="104"/>
      <c r="U382" s="104"/>
      <c r="V382" s="104"/>
      <c r="W382" s="104"/>
      <c r="X382" s="104"/>
      <c r="Y382" s="104"/>
      <c r="Z382" s="104"/>
      <c r="AA382" s="104"/>
      <c r="AB382" s="104"/>
      <c r="AC382" s="104"/>
      <c r="AD382" s="104"/>
      <c r="AE382" s="104"/>
      <c r="AF382" s="104"/>
      <c r="AG382" s="104"/>
      <c r="AH382" s="104"/>
      <c r="AI382" s="104"/>
      <c r="AJ382" s="104"/>
      <c r="AK382" s="104"/>
      <c r="AL382" s="104"/>
      <c r="AM382" s="104"/>
      <c r="AN382" s="104"/>
      <c r="AO382" s="104"/>
      <c r="AP382" s="104"/>
      <c r="AQ382" s="104"/>
      <c r="AR382" s="104"/>
      <c r="AS382" s="104"/>
    </row>
    <row r="383" spans="1:45" ht="15" customHeight="1" x14ac:dyDescent="0.3">
      <c r="A383" s="112"/>
      <c r="B383" s="112"/>
      <c r="C383" s="113"/>
      <c r="D383" s="42"/>
      <c r="E383" s="104" t="str">
        <f xml:space="preserve"> 'Inputs_ FS'!E$97</f>
        <v>JIN Cheng loan 2018: drawdown</v>
      </c>
      <c r="F383" s="104">
        <f xml:space="preserve"> 'Inputs_ FS'!F$97</f>
        <v>0</v>
      </c>
      <c r="G383" s="104" t="str">
        <f xml:space="preserve"> 'Inputs_ FS'!G$97</f>
        <v>$ mn</v>
      </c>
      <c r="H383" s="104" t="str">
        <f xml:space="preserve"> 'Inputs_ FS'!H$97</f>
        <v>M</v>
      </c>
      <c r="I383" s="104">
        <f xml:space="preserve"> 'Inputs_ FS'!I$97</f>
        <v>200</v>
      </c>
      <c r="J383" s="104">
        <f xml:space="preserve"> 'Inputs_ FS'!J$97</f>
        <v>0</v>
      </c>
      <c r="K383" s="104">
        <f xml:space="preserve"> 'Inputs_ FS'!K$97</f>
        <v>0</v>
      </c>
      <c r="L383" s="104">
        <f xml:space="preserve"> 'Inputs_ FS'!L$97</f>
        <v>0</v>
      </c>
      <c r="M383" s="104">
        <f xml:space="preserve"> 'Inputs_ FS'!M$97</f>
        <v>0</v>
      </c>
      <c r="N383" s="104">
        <f xml:space="preserve"> 'Inputs_ FS'!N$97</f>
        <v>0</v>
      </c>
      <c r="O383" s="104">
        <f xml:space="preserve"> 'Inputs_ FS'!O$97</f>
        <v>0</v>
      </c>
      <c r="P383" s="104">
        <f xml:space="preserve"> 'Inputs_ FS'!P$97</f>
        <v>0</v>
      </c>
      <c r="Q383" s="104">
        <f xml:space="preserve"> 'Inputs_ FS'!Q$97</f>
        <v>0</v>
      </c>
      <c r="R383" s="104">
        <f xml:space="preserve"> 'Inputs_ FS'!R$97</f>
        <v>0</v>
      </c>
      <c r="S383" s="104">
        <f xml:space="preserve"> 'Inputs_ FS'!S$97</f>
        <v>0</v>
      </c>
      <c r="T383" s="104">
        <f xml:space="preserve"> 'Inputs_ FS'!T$97</f>
        <v>0</v>
      </c>
      <c r="U383" s="104">
        <f xml:space="preserve"> 'Inputs_ FS'!U$97</f>
        <v>0</v>
      </c>
      <c r="V383" s="104">
        <f xml:space="preserve"> 'Inputs_ FS'!V$97</f>
        <v>0</v>
      </c>
      <c r="W383" s="104">
        <f xml:space="preserve"> 'Inputs_ FS'!W$97</f>
        <v>200</v>
      </c>
      <c r="X383" s="104">
        <f xml:space="preserve"> 'Inputs_ FS'!X$97</f>
        <v>0</v>
      </c>
      <c r="Y383" s="104">
        <f xml:space="preserve"> 'Inputs_ FS'!Y$97</f>
        <v>0</v>
      </c>
      <c r="Z383" s="104">
        <f xml:space="preserve"> 'Inputs_ FS'!Z$97</f>
        <v>0</v>
      </c>
      <c r="AA383" s="104">
        <f xml:space="preserve"> 'Inputs_ FS'!AA$97</f>
        <v>0</v>
      </c>
      <c r="AB383" s="104">
        <f xml:space="preserve"> 'Inputs_ FS'!AB$97</f>
        <v>0</v>
      </c>
      <c r="AC383" s="104">
        <f xml:space="preserve"> 'Inputs_ FS'!AC$97</f>
        <v>0</v>
      </c>
      <c r="AD383" s="104">
        <f xml:space="preserve"> 'Inputs_ FS'!AD$97</f>
        <v>0</v>
      </c>
      <c r="AE383" s="104">
        <f xml:space="preserve"> 'Inputs_ FS'!AE$97</f>
        <v>0</v>
      </c>
      <c r="AF383" s="104">
        <f xml:space="preserve"> 'Inputs_ FS'!AF$97</f>
        <v>0</v>
      </c>
      <c r="AG383" s="104">
        <f xml:space="preserve"> 'Inputs_ FS'!AG$97</f>
        <v>0</v>
      </c>
      <c r="AH383" s="104">
        <f xml:space="preserve"> 'Inputs_ FS'!AH$97</f>
        <v>0</v>
      </c>
      <c r="AI383" s="104">
        <f xml:space="preserve"> 'Inputs_ FS'!AI$97</f>
        <v>0</v>
      </c>
      <c r="AJ383" s="104">
        <f xml:space="preserve"> 'Inputs_ FS'!AJ$97</f>
        <v>0</v>
      </c>
      <c r="AK383" s="104">
        <f xml:space="preserve"> 'Inputs_ FS'!AK$97</f>
        <v>0</v>
      </c>
      <c r="AL383" s="104">
        <f xml:space="preserve"> 'Inputs_ FS'!AL$97</f>
        <v>0</v>
      </c>
      <c r="AM383" s="104">
        <f xml:space="preserve"> 'Inputs_ FS'!AM$97</f>
        <v>0</v>
      </c>
      <c r="AN383" s="104">
        <f xml:space="preserve"> 'Inputs_ FS'!AN$97</f>
        <v>0</v>
      </c>
      <c r="AO383" s="104">
        <f xml:space="preserve"> 'Inputs_ FS'!AO$97</f>
        <v>0</v>
      </c>
      <c r="AP383" s="104">
        <f xml:space="preserve"> 'Inputs_ FS'!AP$97</f>
        <v>0</v>
      </c>
      <c r="AQ383" s="104">
        <f xml:space="preserve"> 'Inputs_ FS'!AQ$97</f>
        <v>0</v>
      </c>
      <c r="AR383" s="104">
        <f xml:space="preserve"> 'Inputs_ FS'!AR$97</f>
        <v>0</v>
      </c>
      <c r="AS383" s="104">
        <f xml:space="preserve"> 'Inputs_ FS'!AS$97</f>
        <v>0</v>
      </c>
    </row>
    <row r="384" spans="1:45" ht="15" customHeight="1" x14ac:dyDescent="0.3">
      <c r="A384" s="112"/>
      <c r="B384" s="112"/>
      <c r="C384" s="113"/>
      <c r="D384" s="42"/>
      <c r="E384" s="104" t="str">
        <f xml:space="preserve"> 'Inputs_ FS'!E$98</f>
        <v>JIN Cheng loan 2018: principal repayment</v>
      </c>
      <c r="F384" s="104">
        <f xml:space="preserve"> 'Inputs_ FS'!F$98</f>
        <v>0</v>
      </c>
      <c r="G384" s="104" t="str">
        <f xml:space="preserve"> 'Inputs_ FS'!G$98</f>
        <v>$ mn</v>
      </c>
      <c r="H384" s="104" t="str">
        <f xml:space="preserve"> 'Inputs_ FS'!H$98</f>
        <v>M</v>
      </c>
      <c r="I384" s="104">
        <f xml:space="preserve"> 'Inputs_ FS'!I$98</f>
        <v>200</v>
      </c>
      <c r="J384" s="104">
        <f xml:space="preserve"> 'Inputs_ FS'!J$98</f>
        <v>0</v>
      </c>
      <c r="K384" s="104">
        <f xml:space="preserve"> 'Inputs_ FS'!K$98</f>
        <v>0</v>
      </c>
      <c r="L384" s="104">
        <f xml:space="preserve"> 'Inputs_ FS'!L$98</f>
        <v>0</v>
      </c>
      <c r="M384" s="104">
        <f xml:space="preserve"> 'Inputs_ FS'!M$98</f>
        <v>0</v>
      </c>
      <c r="N384" s="104">
        <f xml:space="preserve"> 'Inputs_ FS'!N$98</f>
        <v>0</v>
      </c>
      <c r="O384" s="104">
        <f xml:space="preserve"> 'Inputs_ FS'!O$98</f>
        <v>0</v>
      </c>
      <c r="P384" s="104">
        <f xml:space="preserve"> 'Inputs_ FS'!P$98</f>
        <v>0</v>
      </c>
      <c r="Q384" s="104">
        <f xml:space="preserve"> 'Inputs_ FS'!Q$98</f>
        <v>0</v>
      </c>
      <c r="R384" s="104">
        <f xml:space="preserve"> 'Inputs_ FS'!R$98</f>
        <v>0</v>
      </c>
      <c r="S384" s="104">
        <f xml:space="preserve"> 'Inputs_ FS'!S$98</f>
        <v>0</v>
      </c>
      <c r="T384" s="104">
        <f xml:space="preserve"> 'Inputs_ FS'!T$98</f>
        <v>0</v>
      </c>
      <c r="U384" s="104">
        <f xml:space="preserve"> 'Inputs_ FS'!U$98</f>
        <v>0</v>
      </c>
      <c r="V384" s="104">
        <f xml:space="preserve"> 'Inputs_ FS'!V$98</f>
        <v>0</v>
      </c>
      <c r="W384" s="104">
        <f xml:space="preserve"> 'Inputs_ FS'!W$98</f>
        <v>0</v>
      </c>
      <c r="X384" s="104">
        <f xml:space="preserve"> 'Inputs_ FS'!X$98</f>
        <v>26</v>
      </c>
      <c r="Y384" s="104">
        <f xml:space="preserve"> 'Inputs_ FS'!Y$98</f>
        <v>50</v>
      </c>
      <c r="Z384" s="104">
        <f xml:space="preserve"> 'Inputs_ FS'!Z$98</f>
        <v>49</v>
      </c>
      <c r="AA384" s="104">
        <f xml:space="preserve"> 'Inputs_ FS'!AA$98</f>
        <v>15</v>
      </c>
      <c r="AB384" s="104">
        <f xml:space="preserve"> 'Inputs_ FS'!AB$98</f>
        <v>15</v>
      </c>
      <c r="AC384" s="104">
        <f xml:space="preserve"> 'Inputs_ FS'!AC$98</f>
        <v>15</v>
      </c>
      <c r="AD384" s="104">
        <f xml:space="preserve"> 'Inputs_ FS'!AD$98</f>
        <v>15</v>
      </c>
      <c r="AE384" s="104">
        <f xml:space="preserve"> 'Inputs_ FS'!AE$98</f>
        <v>15</v>
      </c>
      <c r="AF384" s="104">
        <f xml:space="preserve"> 'Inputs_ FS'!AF$98</f>
        <v>0</v>
      </c>
      <c r="AG384" s="104">
        <f xml:space="preserve"> 'Inputs_ FS'!AG$98</f>
        <v>0</v>
      </c>
      <c r="AH384" s="104">
        <f xml:space="preserve"> 'Inputs_ FS'!AH$98</f>
        <v>0</v>
      </c>
      <c r="AI384" s="104">
        <f xml:space="preserve"> 'Inputs_ FS'!AI$98</f>
        <v>0</v>
      </c>
      <c r="AJ384" s="104">
        <f xml:space="preserve"> 'Inputs_ FS'!AJ$98</f>
        <v>0</v>
      </c>
      <c r="AK384" s="104">
        <f xml:space="preserve"> 'Inputs_ FS'!AK$98</f>
        <v>0</v>
      </c>
      <c r="AL384" s="104">
        <f xml:space="preserve"> 'Inputs_ FS'!AL$98</f>
        <v>0</v>
      </c>
      <c r="AM384" s="104">
        <f xml:space="preserve"> 'Inputs_ FS'!AM$98</f>
        <v>0</v>
      </c>
      <c r="AN384" s="104">
        <f xml:space="preserve"> 'Inputs_ FS'!AN$98</f>
        <v>0</v>
      </c>
      <c r="AO384" s="104">
        <f xml:space="preserve"> 'Inputs_ FS'!AO$98</f>
        <v>0</v>
      </c>
      <c r="AP384" s="104">
        <f xml:space="preserve"> 'Inputs_ FS'!AP$98</f>
        <v>0</v>
      </c>
      <c r="AQ384" s="104">
        <f xml:space="preserve"> 'Inputs_ FS'!AQ$98</f>
        <v>0</v>
      </c>
      <c r="AR384" s="104">
        <f xml:space="preserve"> 'Inputs_ FS'!AR$98</f>
        <v>0</v>
      </c>
      <c r="AS384" s="104">
        <f xml:space="preserve"> 'Inputs_ FS'!AS$98</f>
        <v>0</v>
      </c>
    </row>
    <row r="385" spans="1:45" ht="15" customHeight="1" x14ac:dyDescent="0.3">
      <c r="A385" s="112"/>
      <c r="B385" s="112"/>
      <c r="C385" s="113"/>
      <c r="D385" s="42"/>
      <c r="E385" s="104" t="str">
        <f xml:space="preserve"> 'Inputs_ FS'!E$99</f>
        <v>JIN Cheng loan 2018: interest repayment</v>
      </c>
      <c r="F385" s="104">
        <f xml:space="preserve"> 'Inputs_ FS'!F$99</f>
        <v>0</v>
      </c>
      <c r="G385" s="104" t="str">
        <f xml:space="preserve"> 'Inputs_ FS'!G$99</f>
        <v>$ mn</v>
      </c>
      <c r="H385" s="104" t="str">
        <f xml:space="preserve"> 'Inputs_ FS'!H$99</f>
        <v>M</v>
      </c>
      <c r="I385" s="104">
        <f xml:space="preserve"> 'Inputs_ FS'!I$99</f>
        <v>23.910740000000001</v>
      </c>
      <c r="J385" s="104">
        <f xml:space="preserve"> 'Inputs_ FS'!J$99</f>
        <v>0</v>
      </c>
      <c r="K385" s="104">
        <f xml:space="preserve"> 'Inputs_ FS'!K$99</f>
        <v>0</v>
      </c>
      <c r="L385" s="104">
        <f xml:space="preserve"> 'Inputs_ FS'!L$99</f>
        <v>0</v>
      </c>
      <c r="M385" s="104">
        <f xml:space="preserve"> 'Inputs_ FS'!M$99</f>
        <v>0</v>
      </c>
      <c r="N385" s="104">
        <f xml:space="preserve"> 'Inputs_ FS'!N$99</f>
        <v>0</v>
      </c>
      <c r="O385" s="104">
        <f xml:space="preserve"> 'Inputs_ FS'!O$99</f>
        <v>0</v>
      </c>
      <c r="P385" s="104">
        <f xml:space="preserve"> 'Inputs_ FS'!P$99</f>
        <v>0</v>
      </c>
      <c r="Q385" s="104">
        <f xml:space="preserve"> 'Inputs_ FS'!Q$99</f>
        <v>0</v>
      </c>
      <c r="R385" s="104">
        <f xml:space="preserve"> 'Inputs_ FS'!R$99</f>
        <v>0</v>
      </c>
      <c r="S385" s="104">
        <f xml:space="preserve"> 'Inputs_ FS'!S$99</f>
        <v>0</v>
      </c>
      <c r="T385" s="104">
        <f xml:space="preserve"> 'Inputs_ FS'!T$99</f>
        <v>0</v>
      </c>
      <c r="U385" s="104">
        <f xml:space="preserve"> 'Inputs_ FS'!U$99</f>
        <v>0</v>
      </c>
      <c r="V385" s="104">
        <f xml:space="preserve"> 'Inputs_ FS'!V$99</f>
        <v>0</v>
      </c>
      <c r="W385" s="104">
        <f xml:space="preserve"> 'Inputs_ FS'!W$99</f>
        <v>0</v>
      </c>
      <c r="X385" s="104">
        <f xml:space="preserve"> 'Inputs_ FS'!X$99</f>
        <v>4.3609999999999998</v>
      </c>
      <c r="Y385" s="104">
        <f xml:space="preserve"> 'Inputs_ FS'!Y$99</f>
        <v>6.5041200000000003</v>
      </c>
      <c r="Z385" s="104">
        <f xml:space="preserve"> 'Inputs_ FS'!Z$99</f>
        <v>4.6351199999999997</v>
      </c>
      <c r="AA385" s="104">
        <f xml:space="preserve"> 'Inputs_ FS'!AA$99</f>
        <v>2.8035000000000001</v>
      </c>
      <c r="AB385" s="104">
        <f xml:space="preserve"> 'Inputs_ FS'!AB$99</f>
        <v>2.2427999999999999</v>
      </c>
      <c r="AC385" s="104">
        <f xml:space="preserve"> 'Inputs_ FS'!AC$99</f>
        <v>1.6820999999999999</v>
      </c>
      <c r="AD385" s="104">
        <f xml:space="preserve"> 'Inputs_ FS'!AD$99</f>
        <v>1.1214</v>
      </c>
      <c r="AE385" s="104">
        <f xml:space="preserve"> 'Inputs_ FS'!AE$99</f>
        <v>0.56070000000000064</v>
      </c>
      <c r="AF385" s="104">
        <f xml:space="preserve"> 'Inputs_ FS'!AF$99</f>
        <v>0</v>
      </c>
      <c r="AG385" s="104">
        <f xml:space="preserve"> 'Inputs_ FS'!AG$99</f>
        <v>0</v>
      </c>
      <c r="AH385" s="104">
        <f xml:space="preserve"> 'Inputs_ FS'!AH$99</f>
        <v>0</v>
      </c>
      <c r="AI385" s="104">
        <f xml:space="preserve"> 'Inputs_ FS'!AI$99</f>
        <v>0</v>
      </c>
      <c r="AJ385" s="104">
        <f xml:space="preserve"> 'Inputs_ FS'!AJ$99</f>
        <v>0</v>
      </c>
      <c r="AK385" s="104">
        <f xml:space="preserve"> 'Inputs_ FS'!AK$99</f>
        <v>0</v>
      </c>
      <c r="AL385" s="104">
        <f xml:space="preserve"> 'Inputs_ FS'!AL$99</f>
        <v>0</v>
      </c>
      <c r="AM385" s="104">
        <f xml:space="preserve"> 'Inputs_ FS'!AM$99</f>
        <v>0</v>
      </c>
      <c r="AN385" s="104">
        <f xml:space="preserve"> 'Inputs_ FS'!AN$99</f>
        <v>0</v>
      </c>
      <c r="AO385" s="104">
        <f xml:space="preserve"> 'Inputs_ FS'!AO$99</f>
        <v>0</v>
      </c>
      <c r="AP385" s="104">
        <f xml:space="preserve"> 'Inputs_ FS'!AP$99</f>
        <v>0</v>
      </c>
      <c r="AQ385" s="104">
        <f xml:space="preserve"> 'Inputs_ FS'!AQ$99</f>
        <v>0</v>
      </c>
      <c r="AR385" s="104">
        <f xml:space="preserve"> 'Inputs_ FS'!AR$99</f>
        <v>0</v>
      </c>
      <c r="AS385" s="104">
        <f xml:space="preserve"> 'Inputs_ FS'!AS$99</f>
        <v>0</v>
      </c>
    </row>
    <row r="386" spans="1:45" ht="15" customHeight="1" x14ac:dyDescent="0.3">
      <c r="A386" s="112"/>
      <c r="B386" s="112"/>
      <c r="C386" s="113"/>
      <c r="D386" s="42"/>
      <c r="E386" s="104" t="str">
        <f xml:space="preserve"> 'Inputs_ FS'!E$100</f>
        <v>JIN Cheng loan 2018: total repayment</v>
      </c>
      <c r="F386" s="104">
        <f xml:space="preserve"> 'Inputs_ FS'!F$100</f>
        <v>0</v>
      </c>
      <c r="G386" s="104" t="str">
        <f xml:space="preserve"> 'Inputs_ FS'!G$100</f>
        <v>$ mn</v>
      </c>
      <c r="H386" s="104" t="str">
        <f xml:space="preserve"> 'Inputs_ FS'!H$100</f>
        <v>M</v>
      </c>
      <c r="I386" s="104">
        <f xml:space="preserve"> 'Inputs_ FS'!I$100</f>
        <v>223.91073999999998</v>
      </c>
      <c r="J386" s="104">
        <f xml:space="preserve"> 'Inputs_ FS'!J$100</f>
        <v>0</v>
      </c>
      <c r="K386" s="104">
        <f xml:space="preserve"> 'Inputs_ FS'!K$100</f>
        <v>0</v>
      </c>
      <c r="L386" s="104">
        <f xml:space="preserve"> 'Inputs_ FS'!L$100</f>
        <v>0</v>
      </c>
      <c r="M386" s="104">
        <f xml:space="preserve"> 'Inputs_ FS'!M$100</f>
        <v>0</v>
      </c>
      <c r="N386" s="104">
        <f xml:space="preserve"> 'Inputs_ FS'!N$100</f>
        <v>0</v>
      </c>
      <c r="O386" s="104">
        <f xml:space="preserve"> 'Inputs_ FS'!O$100</f>
        <v>0</v>
      </c>
      <c r="P386" s="104">
        <f xml:space="preserve"> 'Inputs_ FS'!P$100</f>
        <v>0</v>
      </c>
      <c r="Q386" s="104">
        <f xml:space="preserve"> 'Inputs_ FS'!Q$100</f>
        <v>0</v>
      </c>
      <c r="R386" s="104">
        <f xml:space="preserve"> 'Inputs_ FS'!R$100</f>
        <v>0</v>
      </c>
      <c r="S386" s="104">
        <f xml:space="preserve"> 'Inputs_ FS'!S$100</f>
        <v>0</v>
      </c>
      <c r="T386" s="104">
        <f xml:space="preserve"> 'Inputs_ FS'!T$100</f>
        <v>0</v>
      </c>
      <c r="U386" s="104">
        <f xml:space="preserve"> 'Inputs_ FS'!U$100</f>
        <v>0</v>
      </c>
      <c r="V386" s="104">
        <f xml:space="preserve"> 'Inputs_ FS'!V$100</f>
        <v>0</v>
      </c>
      <c r="W386" s="104">
        <f xml:space="preserve"> 'Inputs_ FS'!W$100</f>
        <v>0</v>
      </c>
      <c r="X386" s="104">
        <f xml:space="preserve"> 'Inputs_ FS'!X$100</f>
        <v>30.361000000000001</v>
      </c>
      <c r="Y386" s="104">
        <f xml:space="preserve"> 'Inputs_ FS'!Y$100</f>
        <v>56.50412</v>
      </c>
      <c r="Z386" s="104">
        <f xml:space="preserve"> 'Inputs_ FS'!Z$100</f>
        <v>53.635120000000001</v>
      </c>
      <c r="AA386" s="104">
        <f xml:space="preserve"> 'Inputs_ FS'!AA$100</f>
        <v>17.8035</v>
      </c>
      <c r="AB386" s="104">
        <f xml:space="preserve"> 'Inputs_ FS'!AB$100</f>
        <v>17.242799999999999</v>
      </c>
      <c r="AC386" s="104">
        <f xml:space="preserve"> 'Inputs_ FS'!AC$100</f>
        <v>16.682099999999998</v>
      </c>
      <c r="AD386" s="104">
        <f xml:space="preserve"> 'Inputs_ FS'!AD$100</f>
        <v>16.121400000000001</v>
      </c>
      <c r="AE386" s="104">
        <f xml:space="preserve"> 'Inputs_ FS'!AE$100</f>
        <v>15.560700000000001</v>
      </c>
      <c r="AF386" s="104">
        <f xml:space="preserve"> 'Inputs_ FS'!AF$100</f>
        <v>0</v>
      </c>
      <c r="AG386" s="104">
        <f xml:space="preserve"> 'Inputs_ FS'!AG$100</f>
        <v>0</v>
      </c>
      <c r="AH386" s="104">
        <f xml:space="preserve"> 'Inputs_ FS'!AH$100</f>
        <v>0</v>
      </c>
      <c r="AI386" s="104">
        <f xml:space="preserve"> 'Inputs_ FS'!AI$100</f>
        <v>0</v>
      </c>
      <c r="AJ386" s="104">
        <f xml:space="preserve"> 'Inputs_ FS'!AJ$100</f>
        <v>0</v>
      </c>
      <c r="AK386" s="104">
        <f xml:space="preserve"> 'Inputs_ FS'!AK$100</f>
        <v>0</v>
      </c>
      <c r="AL386" s="104">
        <f xml:space="preserve"> 'Inputs_ FS'!AL$100</f>
        <v>0</v>
      </c>
      <c r="AM386" s="104">
        <f xml:space="preserve"> 'Inputs_ FS'!AM$100</f>
        <v>0</v>
      </c>
      <c r="AN386" s="104">
        <f xml:space="preserve"> 'Inputs_ FS'!AN$100</f>
        <v>0</v>
      </c>
      <c r="AO386" s="104">
        <f xml:space="preserve"> 'Inputs_ FS'!AO$100</f>
        <v>0</v>
      </c>
      <c r="AP386" s="104">
        <f xml:space="preserve"> 'Inputs_ FS'!AP$100</f>
        <v>0</v>
      </c>
      <c r="AQ386" s="104">
        <f xml:space="preserve"> 'Inputs_ FS'!AQ$100</f>
        <v>0</v>
      </c>
      <c r="AR386" s="104">
        <f xml:space="preserve"> 'Inputs_ FS'!AR$100</f>
        <v>0</v>
      </c>
      <c r="AS386" s="104">
        <f xml:space="preserve"> 'Inputs_ FS'!AS$100</f>
        <v>0</v>
      </c>
    </row>
    <row r="387" spans="1:45" ht="15" customHeight="1" x14ac:dyDescent="0.3">
      <c r="A387" s="112"/>
      <c r="B387" s="112"/>
      <c r="C387" s="113"/>
      <c r="D387" s="42"/>
      <c r="E387" s="104"/>
      <c r="F387" s="104"/>
      <c r="G387" s="104"/>
      <c r="H387" s="104"/>
      <c r="I387" s="104"/>
      <c r="J387" s="104"/>
      <c r="K387" s="104"/>
      <c r="L387" s="104"/>
      <c r="M387" s="104"/>
      <c r="N387" s="104"/>
      <c r="O387" s="104"/>
      <c r="P387" s="104"/>
      <c r="Q387" s="104"/>
      <c r="R387" s="104"/>
      <c r="S387" s="104"/>
      <c r="T387" s="104"/>
      <c r="U387" s="104"/>
      <c r="V387" s="104"/>
      <c r="W387" s="104"/>
      <c r="X387" s="104"/>
      <c r="Y387" s="104"/>
      <c r="Z387" s="104"/>
      <c r="AA387" s="104"/>
      <c r="AB387" s="104"/>
      <c r="AC387" s="104"/>
      <c r="AD387" s="104"/>
      <c r="AE387" s="104"/>
      <c r="AF387" s="104"/>
      <c r="AG387" s="104"/>
      <c r="AH387" s="104"/>
      <c r="AI387" s="104"/>
      <c r="AJ387" s="104"/>
      <c r="AK387" s="104"/>
      <c r="AL387" s="104"/>
      <c r="AM387" s="104"/>
      <c r="AN387" s="104"/>
      <c r="AO387" s="104"/>
      <c r="AP387" s="104"/>
      <c r="AQ387" s="104"/>
      <c r="AR387" s="104"/>
      <c r="AS387" s="104"/>
    </row>
    <row r="388" spans="1:45" ht="15" customHeight="1" x14ac:dyDescent="0.3">
      <c r="A388" s="112"/>
      <c r="B388" s="112"/>
      <c r="C388" s="113"/>
      <c r="D388" s="42"/>
      <c r="E388" s="104" t="str">
        <f xml:space="preserve"> 'Inputs_ FS'!E$103</f>
        <v>Gold Mountains loan 2018: drawdown</v>
      </c>
      <c r="F388" s="104">
        <f xml:space="preserve"> 'Inputs_ FS'!F$103</f>
        <v>0</v>
      </c>
      <c r="G388" s="104" t="str">
        <f xml:space="preserve"> 'Inputs_ FS'!G$103</f>
        <v>$ mn</v>
      </c>
      <c r="H388" s="104" t="str">
        <f xml:space="preserve"> 'Inputs_ FS'!H$103</f>
        <v>M</v>
      </c>
      <c r="I388" s="104">
        <f xml:space="preserve"> 'Inputs_ FS'!I$103</f>
        <v>200</v>
      </c>
      <c r="J388" s="104">
        <f xml:space="preserve"> 'Inputs_ FS'!J$103</f>
        <v>0</v>
      </c>
      <c r="K388" s="104">
        <f xml:space="preserve"> 'Inputs_ FS'!K$103</f>
        <v>0</v>
      </c>
      <c r="L388" s="104">
        <f xml:space="preserve"> 'Inputs_ FS'!L$103</f>
        <v>0</v>
      </c>
      <c r="M388" s="104">
        <f xml:space="preserve"> 'Inputs_ FS'!M$103</f>
        <v>0</v>
      </c>
      <c r="N388" s="104">
        <f xml:space="preserve"> 'Inputs_ FS'!N$103</f>
        <v>0</v>
      </c>
      <c r="O388" s="104">
        <f xml:space="preserve"> 'Inputs_ FS'!O$103</f>
        <v>0</v>
      </c>
      <c r="P388" s="104">
        <f xml:space="preserve"> 'Inputs_ FS'!P$103</f>
        <v>0</v>
      </c>
      <c r="Q388" s="104">
        <f xml:space="preserve"> 'Inputs_ FS'!Q$103</f>
        <v>0</v>
      </c>
      <c r="R388" s="104">
        <f xml:space="preserve"> 'Inputs_ FS'!R$103</f>
        <v>0</v>
      </c>
      <c r="S388" s="104">
        <f xml:space="preserve"> 'Inputs_ FS'!S$103</f>
        <v>0</v>
      </c>
      <c r="T388" s="104">
        <f xml:space="preserve"> 'Inputs_ FS'!T$103</f>
        <v>0</v>
      </c>
      <c r="U388" s="104">
        <f xml:space="preserve"> 'Inputs_ FS'!U$103</f>
        <v>0</v>
      </c>
      <c r="V388" s="104">
        <f xml:space="preserve"> 'Inputs_ FS'!V$103</f>
        <v>0</v>
      </c>
      <c r="W388" s="104">
        <f xml:space="preserve"> 'Inputs_ FS'!W$103</f>
        <v>200</v>
      </c>
      <c r="X388" s="104">
        <f xml:space="preserve"> 'Inputs_ FS'!X$103</f>
        <v>0</v>
      </c>
      <c r="Y388" s="104">
        <f xml:space="preserve"> 'Inputs_ FS'!Y$103</f>
        <v>0</v>
      </c>
      <c r="Z388" s="104">
        <f xml:space="preserve"> 'Inputs_ FS'!Z$103</f>
        <v>0</v>
      </c>
      <c r="AA388" s="104">
        <f xml:space="preserve"> 'Inputs_ FS'!AA$103</f>
        <v>0</v>
      </c>
      <c r="AB388" s="104">
        <f xml:space="preserve"> 'Inputs_ FS'!AB$103</f>
        <v>0</v>
      </c>
      <c r="AC388" s="104">
        <f xml:space="preserve"> 'Inputs_ FS'!AC$103</f>
        <v>0</v>
      </c>
      <c r="AD388" s="104">
        <f xml:space="preserve"> 'Inputs_ FS'!AD$103</f>
        <v>0</v>
      </c>
      <c r="AE388" s="104">
        <f xml:space="preserve"> 'Inputs_ FS'!AE$103</f>
        <v>0</v>
      </c>
      <c r="AF388" s="104">
        <f xml:space="preserve"> 'Inputs_ FS'!AF$103</f>
        <v>0</v>
      </c>
      <c r="AG388" s="104">
        <f xml:space="preserve"> 'Inputs_ FS'!AG$103</f>
        <v>0</v>
      </c>
      <c r="AH388" s="104">
        <f xml:space="preserve"> 'Inputs_ FS'!AH$103</f>
        <v>0</v>
      </c>
      <c r="AI388" s="104">
        <f xml:space="preserve"> 'Inputs_ FS'!AI$103</f>
        <v>0</v>
      </c>
      <c r="AJ388" s="104">
        <f xml:space="preserve"> 'Inputs_ FS'!AJ$103</f>
        <v>0</v>
      </c>
      <c r="AK388" s="104">
        <f xml:space="preserve"> 'Inputs_ FS'!AK$103</f>
        <v>0</v>
      </c>
      <c r="AL388" s="104">
        <f xml:space="preserve"> 'Inputs_ FS'!AL$103</f>
        <v>0</v>
      </c>
      <c r="AM388" s="104">
        <f xml:space="preserve"> 'Inputs_ FS'!AM$103</f>
        <v>0</v>
      </c>
      <c r="AN388" s="104">
        <f xml:space="preserve"> 'Inputs_ FS'!AN$103</f>
        <v>0</v>
      </c>
      <c r="AO388" s="104">
        <f xml:space="preserve"> 'Inputs_ FS'!AO$103</f>
        <v>0</v>
      </c>
      <c r="AP388" s="104">
        <f xml:space="preserve"> 'Inputs_ FS'!AP$103</f>
        <v>0</v>
      </c>
      <c r="AQ388" s="104">
        <f xml:space="preserve"> 'Inputs_ FS'!AQ$103</f>
        <v>0</v>
      </c>
      <c r="AR388" s="104">
        <f xml:space="preserve"> 'Inputs_ FS'!AR$103</f>
        <v>0</v>
      </c>
      <c r="AS388" s="104">
        <f xml:space="preserve"> 'Inputs_ FS'!AS$103</f>
        <v>0</v>
      </c>
    </row>
    <row r="389" spans="1:45" ht="15" customHeight="1" x14ac:dyDescent="0.3">
      <c r="A389" s="112"/>
      <c r="B389" s="112"/>
      <c r="C389" s="113"/>
      <c r="D389" s="42"/>
      <c r="E389" s="104" t="str">
        <f xml:space="preserve"> 'Inputs_ FS'!E$104</f>
        <v>Gold Mountains loan 2018: principal repayment</v>
      </c>
      <c r="F389" s="104">
        <f xml:space="preserve"> 'Inputs_ FS'!F$104</f>
        <v>0</v>
      </c>
      <c r="G389" s="104" t="str">
        <f xml:space="preserve"> 'Inputs_ FS'!G$104</f>
        <v>$ mn</v>
      </c>
      <c r="H389" s="104" t="str">
        <f xml:space="preserve"> 'Inputs_ FS'!H$104</f>
        <v>M</v>
      </c>
      <c r="I389" s="104">
        <f xml:space="preserve"> 'Inputs_ FS'!I$104</f>
        <v>200</v>
      </c>
      <c r="J389" s="104">
        <f xml:space="preserve"> 'Inputs_ FS'!J$104</f>
        <v>0</v>
      </c>
      <c r="K389" s="104">
        <f xml:space="preserve"> 'Inputs_ FS'!K$104</f>
        <v>0</v>
      </c>
      <c r="L389" s="104">
        <f xml:space="preserve"> 'Inputs_ FS'!L$104</f>
        <v>0</v>
      </c>
      <c r="M389" s="104">
        <f xml:space="preserve"> 'Inputs_ FS'!M$104</f>
        <v>0</v>
      </c>
      <c r="N389" s="104">
        <f xml:space="preserve"> 'Inputs_ FS'!N$104</f>
        <v>0</v>
      </c>
      <c r="O389" s="104">
        <f xml:space="preserve"> 'Inputs_ FS'!O$104</f>
        <v>0</v>
      </c>
      <c r="P389" s="104">
        <f xml:space="preserve"> 'Inputs_ FS'!P$104</f>
        <v>0</v>
      </c>
      <c r="Q389" s="104">
        <f xml:space="preserve"> 'Inputs_ FS'!Q$104</f>
        <v>0</v>
      </c>
      <c r="R389" s="104">
        <f xml:space="preserve"> 'Inputs_ FS'!R$104</f>
        <v>0</v>
      </c>
      <c r="S389" s="104">
        <f xml:space="preserve"> 'Inputs_ FS'!S$104</f>
        <v>0</v>
      </c>
      <c r="T389" s="104">
        <f xml:space="preserve"> 'Inputs_ FS'!T$104</f>
        <v>0</v>
      </c>
      <c r="U389" s="104">
        <f xml:space="preserve"> 'Inputs_ FS'!U$104</f>
        <v>0</v>
      </c>
      <c r="V389" s="104">
        <f xml:space="preserve"> 'Inputs_ FS'!V$104</f>
        <v>0</v>
      </c>
      <c r="W389" s="104">
        <f xml:space="preserve"> 'Inputs_ FS'!W$104</f>
        <v>0</v>
      </c>
      <c r="X389" s="104">
        <f xml:space="preserve"> 'Inputs_ FS'!X$104</f>
        <v>30</v>
      </c>
      <c r="Y389" s="104">
        <f xml:space="preserve"> 'Inputs_ FS'!Y$104</f>
        <v>50</v>
      </c>
      <c r="Z389" s="104">
        <f xml:space="preserve"> 'Inputs_ FS'!Z$104</f>
        <v>120</v>
      </c>
      <c r="AA389" s="104">
        <f xml:space="preserve"> 'Inputs_ FS'!AA$104</f>
        <v>0</v>
      </c>
      <c r="AB389" s="104">
        <f xml:space="preserve"> 'Inputs_ FS'!AB$104</f>
        <v>0</v>
      </c>
      <c r="AC389" s="104">
        <f xml:space="preserve"> 'Inputs_ FS'!AC$104</f>
        <v>0</v>
      </c>
      <c r="AD389" s="104">
        <f xml:space="preserve"> 'Inputs_ FS'!AD$104</f>
        <v>0</v>
      </c>
      <c r="AE389" s="104">
        <f xml:space="preserve"> 'Inputs_ FS'!AE$104</f>
        <v>0</v>
      </c>
      <c r="AF389" s="104">
        <f xml:space="preserve"> 'Inputs_ FS'!AF$104</f>
        <v>0</v>
      </c>
      <c r="AG389" s="104">
        <f xml:space="preserve"> 'Inputs_ FS'!AG$104</f>
        <v>0</v>
      </c>
      <c r="AH389" s="104">
        <f xml:space="preserve"> 'Inputs_ FS'!AH$104</f>
        <v>0</v>
      </c>
      <c r="AI389" s="104">
        <f xml:space="preserve"> 'Inputs_ FS'!AI$104</f>
        <v>0</v>
      </c>
      <c r="AJ389" s="104">
        <f xml:space="preserve"> 'Inputs_ FS'!AJ$104</f>
        <v>0</v>
      </c>
      <c r="AK389" s="104">
        <f xml:space="preserve"> 'Inputs_ FS'!AK$104</f>
        <v>0</v>
      </c>
      <c r="AL389" s="104">
        <f xml:space="preserve"> 'Inputs_ FS'!AL$104</f>
        <v>0</v>
      </c>
      <c r="AM389" s="104">
        <f xml:space="preserve"> 'Inputs_ FS'!AM$104</f>
        <v>0</v>
      </c>
      <c r="AN389" s="104">
        <f xml:space="preserve"> 'Inputs_ FS'!AN$104</f>
        <v>0</v>
      </c>
      <c r="AO389" s="104">
        <f xml:space="preserve"> 'Inputs_ FS'!AO$104</f>
        <v>0</v>
      </c>
      <c r="AP389" s="104">
        <f xml:space="preserve"> 'Inputs_ FS'!AP$104</f>
        <v>0</v>
      </c>
      <c r="AQ389" s="104">
        <f xml:space="preserve"> 'Inputs_ FS'!AQ$104</f>
        <v>0</v>
      </c>
      <c r="AR389" s="104">
        <f xml:space="preserve"> 'Inputs_ FS'!AR$104</f>
        <v>0</v>
      </c>
      <c r="AS389" s="104">
        <f xml:space="preserve"> 'Inputs_ FS'!AS$104</f>
        <v>0</v>
      </c>
    </row>
    <row r="390" spans="1:45" ht="15" customHeight="1" x14ac:dyDescent="0.3">
      <c r="A390" s="112"/>
      <c r="B390" s="112"/>
      <c r="C390" s="113"/>
      <c r="D390" s="42"/>
      <c r="E390" s="104" t="str">
        <f xml:space="preserve"> 'Inputs_ FS'!E$105</f>
        <v>Gold Mountains loan 2018: interest repayment</v>
      </c>
      <c r="F390" s="104">
        <f xml:space="preserve"> 'Inputs_ FS'!F$105</f>
        <v>0</v>
      </c>
      <c r="G390" s="104" t="str">
        <f xml:space="preserve"> 'Inputs_ FS'!G$105</f>
        <v>$ mn</v>
      </c>
      <c r="H390" s="104" t="str">
        <f xml:space="preserve"> 'Inputs_ FS'!H$105</f>
        <v>M</v>
      </c>
      <c r="I390" s="104">
        <f xml:space="preserve"> 'Inputs_ FS'!I$105</f>
        <v>15.201199999999998</v>
      </c>
      <c r="J390" s="104">
        <f xml:space="preserve"> 'Inputs_ FS'!J$105</f>
        <v>0</v>
      </c>
      <c r="K390" s="104">
        <f xml:space="preserve"> 'Inputs_ FS'!K$105</f>
        <v>0</v>
      </c>
      <c r="L390" s="104">
        <f xml:space="preserve"> 'Inputs_ FS'!L$105</f>
        <v>0</v>
      </c>
      <c r="M390" s="104">
        <f xml:space="preserve"> 'Inputs_ FS'!M$105</f>
        <v>0</v>
      </c>
      <c r="N390" s="104">
        <f xml:space="preserve"> 'Inputs_ FS'!N$105</f>
        <v>0</v>
      </c>
      <c r="O390" s="104">
        <f xml:space="preserve"> 'Inputs_ FS'!O$105</f>
        <v>0</v>
      </c>
      <c r="P390" s="104">
        <f xml:space="preserve"> 'Inputs_ FS'!P$105</f>
        <v>0</v>
      </c>
      <c r="Q390" s="104">
        <f xml:space="preserve"> 'Inputs_ FS'!Q$105</f>
        <v>0</v>
      </c>
      <c r="R390" s="104">
        <f xml:space="preserve"> 'Inputs_ FS'!R$105</f>
        <v>0</v>
      </c>
      <c r="S390" s="104">
        <f xml:space="preserve"> 'Inputs_ FS'!S$105</f>
        <v>0</v>
      </c>
      <c r="T390" s="104">
        <f xml:space="preserve"> 'Inputs_ FS'!T$105</f>
        <v>0</v>
      </c>
      <c r="U390" s="104">
        <f xml:space="preserve"> 'Inputs_ FS'!U$105</f>
        <v>0</v>
      </c>
      <c r="V390" s="104">
        <f xml:space="preserve"> 'Inputs_ FS'!V$105</f>
        <v>0</v>
      </c>
      <c r="W390" s="104">
        <f xml:space="preserve"> 'Inputs_ FS'!W$105</f>
        <v>0</v>
      </c>
      <c r="X390" s="104">
        <f xml:space="preserve"> 'Inputs_ FS'!X$105</f>
        <v>4.3609999999999998</v>
      </c>
      <c r="Y390" s="104">
        <f xml:space="preserve"> 'Inputs_ FS'!Y$105</f>
        <v>6.3545999999999996</v>
      </c>
      <c r="Z390" s="104">
        <f xml:space="preserve"> 'Inputs_ FS'!Z$105</f>
        <v>4.4855999999999998</v>
      </c>
      <c r="AA390" s="104">
        <f xml:space="preserve"> 'Inputs_ FS'!AA$105</f>
        <v>0</v>
      </c>
      <c r="AB390" s="104">
        <f xml:space="preserve"> 'Inputs_ FS'!AB$105</f>
        <v>0</v>
      </c>
      <c r="AC390" s="104">
        <f xml:space="preserve"> 'Inputs_ FS'!AC$105</f>
        <v>0</v>
      </c>
      <c r="AD390" s="104">
        <f xml:space="preserve"> 'Inputs_ FS'!AD$105</f>
        <v>0</v>
      </c>
      <c r="AE390" s="104">
        <f xml:space="preserve"> 'Inputs_ FS'!AE$105</f>
        <v>0</v>
      </c>
      <c r="AF390" s="104">
        <f xml:space="preserve"> 'Inputs_ FS'!AF$105</f>
        <v>0</v>
      </c>
      <c r="AG390" s="104">
        <f xml:space="preserve"> 'Inputs_ FS'!AG$105</f>
        <v>0</v>
      </c>
      <c r="AH390" s="104">
        <f xml:space="preserve"> 'Inputs_ FS'!AH$105</f>
        <v>0</v>
      </c>
      <c r="AI390" s="104">
        <f xml:space="preserve"> 'Inputs_ FS'!AI$105</f>
        <v>0</v>
      </c>
      <c r="AJ390" s="104">
        <f xml:space="preserve"> 'Inputs_ FS'!AJ$105</f>
        <v>0</v>
      </c>
      <c r="AK390" s="104">
        <f xml:space="preserve"> 'Inputs_ FS'!AK$105</f>
        <v>0</v>
      </c>
      <c r="AL390" s="104">
        <f xml:space="preserve"> 'Inputs_ FS'!AL$105</f>
        <v>0</v>
      </c>
      <c r="AM390" s="104">
        <f xml:space="preserve"> 'Inputs_ FS'!AM$105</f>
        <v>0</v>
      </c>
      <c r="AN390" s="104">
        <f xml:space="preserve"> 'Inputs_ FS'!AN$105</f>
        <v>0</v>
      </c>
      <c r="AO390" s="104">
        <f xml:space="preserve"> 'Inputs_ FS'!AO$105</f>
        <v>0</v>
      </c>
      <c r="AP390" s="104">
        <f xml:space="preserve"> 'Inputs_ FS'!AP$105</f>
        <v>0</v>
      </c>
      <c r="AQ390" s="104">
        <f xml:space="preserve"> 'Inputs_ FS'!AQ$105</f>
        <v>0</v>
      </c>
      <c r="AR390" s="104">
        <f xml:space="preserve"> 'Inputs_ FS'!AR$105</f>
        <v>0</v>
      </c>
      <c r="AS390" s="104">
        <f xml:space="preserve"> 'Inputs_ FS'!AS$105</f>
        <v>0</v>
      </c>
    </row>
    <row r="391" spans="1:45" ht="15" customHeight="1" x14ac:dyDescent="0.3">
      <c r="A391" s="112"/>
      <c r="B391" s="112"/>
      <c r="C391" s="113"/>
      <c r="D391" s="42"/>
      <c r="E391" s="104" t="str">
        <f xml:space="preserve"> 'Inputs_ FS'!E$106</f>
        <v>Gold Mountains loan 2018: total repayment</v>
      </c>
      <c r="F391" s="104">
        <f xml:space="preserve"> 'Inputs_ FS'!F$106</f>
        <v>0</v>
      </c>
      <c r="G391" s="104" t="str">
        <f xml:space="preserve"> 'Inputs_ FS'!G$106</f>
        <v>$ mn</v>
      </c>
      <c r="H391" s="104" t="str">
        <f xml:space="preserve"> 'Inputs_ FS'!H$106</f>
        <v>M</v>
      </c>
      <c r="I391" s="104">
        <f xml:space="preserve"> 'Inputs_ FS'!I$106</f>
        <v>215.2012</v>
      </c>
      <c r="J391" s="104">
        <f xml:space="preserve"> 'Inputs_ FS'!J$106</f>
        <v>0</v>
      </c>
      <c r="K391" s="104">
        <f xml:space="preserve"> 'Inputs_ FS'!K$106</f>
        <v>0</v>
      </c>
      <c r="L391" s="104">
        <f xml:space="preserve"> 'Inputs_ FS'!L$106</f>
        <v>0</v>
      </c>
      <c r="M391" s="104">
        <f xml:space="preserve"> 'Inputs_ FS'!M$106</f>
        <v>0</v>
      </c>
      <c r="N391" s="104">
        <f xml:space="preserve"> 'Inputs_ FS'!N$106</f>
        <v>0</v>
      </c>
      <c r="O391" s="104">
        <f xml:space="preserve"> 'Inputs_ FS'!O$106</f>
        <v>0</v>
      </c>
      <c r="P391" s="104">
        <f xml:space="preserve"> 'Inputs_ FS'!P$106</f>
        <v>0</v>
      </c>
      <c r="Q391" s="104">
        <f xml:space="preserve"> 'Inputs_ FS'!Q$106</f>
        <v>0</v>
      </c>
      <c r="R391" s="104">
        <f xml:space="preserve"> 'Inputs_ FS'!R$106</f>
        <v>0</v>
      </c>
      <c r="S391" s="104">
        <f xml:space="preserve"> 'Inputs_ FS'!S$106</f>
        <v>0</v>
      </c>
      <c r="T391" s="104">
        <f xml:space="preserve"> 'Inputs_ FS'!T$106</f>
        <v>0</v>
      </c>
      <c r="U391" s="104">
        <f xml:space="preserve"> 'Inputs_ FS'!U$106</f>
        <v>0</v>
      </c>
      <c r="V391" s="104">
        <f xml:space="preserve"> 'Inputs_ FS'!V$106</f>
        <v>0</v>
      </c>
      <c r="W391" s="104">
        <f xml:space="preserve"> 'Inputs_ FS'!W$106</f>
        <v>0</v>
      </c>
      <c r="X391" s="104">
        <f xml:space="preserve"> 'Inputs_ FS'!X$106</f>
        <v>34.360999999999997</v>
      </c>
      <c r="Y391" s="104">
        <f xml:space="preserve"> 'Inputs_ FS'!Y$106</f>
        <v>56.354599999999998</v>
      </c>
      <c r="Z391" s="104">
        <f xml:space="preserve"> 'Inputs_ FS'!Z$106</f>
        <v>124.48560000000001</v>
      </c>
      <c r="AA391" s="104">
        <f xml:space="preserve"> 'Inputs_ FS'!AA$106</f>
        <v>0</v>
      </c>
      <c r="AB391" s="104">
        <f xml:space="preserve"> 'Inputs_ FS'!AB$106</f>
        <v>0</v>
      </c>
      <c r="AC391" s="104">
        <f xml:space="preserve"> 'Inputs_ FS'!AC$106</f>
        <v>0</v>
      </c>
      <c r="AD391" s="104">
        <f xml:space="preserve"> 'Inputs_ FS'!AD$106</f>
        <v>0</v>
      </c>
      <c r="AE391" s="104">
        <f xml:space="preserve"> 'Inputs_ FS'!AE$106</f>
        <v>0</v>
      </c>
      <c r="AF391" s="104">
        <f xml:space="preserve"> 'Inputs_ FS'!AF$106</f>
        <v>0</v>
      </c>
      <c r="AG391" s="104">
        <f xml:space="preserve"> 'Inputs_ FS'!AG$106</f>
        <v>0</v>
      </c>
      <c r="AH391" s="104">
        <f xml:space="preserve"> 'Inputs_ FS'!AH$106</f>
        <v>0</v>
      </c>
      <c r="AI391" s="104">
        <f xml:space="preserve"> 'Inputs_ FS'!AI$106</f>
        <v>0</v>
      </c>
      <c r="AJ391" s="104">
        <f xml:space="preserve"> 'Inputs_ FS'!AJ$106</f>
        <v>0</v>
      </c>
      <c r="AK391" s="104">
        <f xml:space="preserve"> 'Inputs_ FS'!AK$106</f>
        <v>0</v>
      </c>
      <c r="AL391" s="104">
        <f xml:space="preserve"> 'Inputs_ FS'!AL$106</f>
        <v>0</v>
      </c>
      <c r="AM391" s="104">
        <f xml:space="preserve"> 'Inputs_ FS'!AM$106</f>
        <v>0</v>
      </c>
      <c r="AN391" s="104">
        <f xml:space="preserve"> 'Inputs_ FS'!AN$106</f>
        <v>0</v>
      </c>
      <c r="AO391" s="104">
        <f xml:space="preserve"> 'Inputs_ FS'!AO$106</f>
        <v>0</v>
      </c>
      <c r="AP391" s="104">
        <f xml:space="preserve"> 'Inputs_ FS'!AP$106</f>
        <v>0</v>
      </c>
      <c r="AQ391" s="104">
        <f xml:space="preserve"> 'Inputs_ FS'!AQ$106</f>
        <v>0</v>
      </c>
      <c r="AR391" s="104">
        <f xml:space="preserve"> 'Inputs_ FS'!AR$106</f>
        <v>0</v>
      </c>
      <c r="AS391" s="104">
        <f xml:space="preserve"> 'Inputs_ FS'!AS$106</f>
        <v>0</v>
      </c>
    </row>
    <row r="392" spans="1:45" ht="15" customHeight="1" x14ac:dyDescent="0.3">
      <c r="A392" s="112"/>
      <c r="B392" s="112"/>
      <c r="C392" s="113"/>
      <c r="D392" s="42"/>
      <c r="E392" s="42"/>
      <c r="F392" s="74"/>
      <c r="G392" s="42"/>
      <c r="H392" s="116"/>
      <c r="I392" s="116"/>
      <c r="J392" s="42"/>
      <c r="K392" s="172"/>
      <c r="L392" s="172"/>
      <c r="M392" s="172"/>
      <c r="N392" s="172"/>
      <c r="O392" s="172"/>
      <c r="P392" s="172"/>
      <c r="Q392" s="172"/>
      <c r="R392" s="172"/>
      <c r="S392" s="172"/>
      <c r="T392" s="172"/>
      <c r="U392" s="172"/>
      <c r="V392" s="172"/>
      <c r="W392" s="172"/>
      <c r="X392" s="172"/>
      <c r="Y392" s="172"/>
      <c r="Z392" s="172"/>
      <c r="AA392" s="172"/>
      <c r="AB392" s="172"/>
      <c r="AC392" s="172"/>
      <c r="AD392" s="172"/>
      <c r="AE392" s="172"/>
      <c r="AF392" s="172"/>
      <c r="AG392" s="172"/>
      <c r="AH392" s="172"/>
      <c r="AI392" s="172"/>
      <c r="AJ392" s="172"/>
      <c r="AK392" s="172"/>
      <c r="AL392" s="172"/>
      <c r="AM392" s="172"/>
      <c r="AN392" s="172"/>
      <c r="AO392" s="172"/>
      <c r="AP392" s="172"/>
      <c r="AQ392" s="172"/>
      <c r="AR392" s="172"/>
      <c r="AS392" s="172"/>
    </row>
    <row r="393" spans="1:45" ht="15" customHeight="1" x14ac:dyDescent="0.3">
      <c r="A393" s="112"/>
      <c r="C393" s="113" t="s">
        <v>464</v>
      </c>
      <c r="D393" s="112"/>
      <c r="E393" s="42"/>
      <c r="F393" s="74"/>
      <c r="G393" s="42"/>
      <c r="H393" s="116"/>
      <c r="I393" s="116"/>
      <c r="J393" s="42"/>
      <c r="K393" s="172"/>
      <c r="L393" s="172"/>
      <c r="M393" s="172"/>
      <c r="N393" s="172"/>
      <c r="O393" s="172"/>
      <c r="P393" s="172"/>
      <c r="Q393" s="172"/>
      <c r="R393" s="172"/>
      <c r="S393" s="172"/>
      <c r="T393" s="172"/>
      <c r="U393" s="172"/>
      <c r="V393" s="172"/>
      <c r="W393" s="172"/>
      <c r="X393" s="172"/>
      <c r="Y393" s="172"/>
      <c r="Z393" s="172"/>
      <c r="AA393" s="172"/>
      <c r="AB393" s="172"/>
      <c r="AC393" s="172"/>
      <c r="AD393" s="172"/>
      <c r="AE393" s="172"/>
      <c r="AF393" s="172"/>
      <c r="AG393" s="172"/>
      <c r="AH393" s="172"/>
      <c r="AI393" s="172"/>
      <c r="AJ393" s="172"/>
      <c r="AK393" s="172"/>
      <c r="AL393" s="172"/>
      <c r="AM393" s="172"/>
      <c r="AN393" s="172"/>
      <c r="AO393" s="172"/>
      <c r="AP393" s="172"/>
      <c r="AQ393" s="172"/>
      <c r="AR393" s="172"/>
      <c r="AS393" s="172"/>
    </row>
    <row r="394" spans="1:45" ht="15" customHeight="1" x14ac:dyDescent="0.3">
      <c r="A394" s="394"/>
      <c r="B394" s="394"/>
      <c r="C394" s="395"/>
      <c r="D394" s="34"/>
      <c r="E394" s="34" t="str">
        <f xml:space="preserve"> E$383</f>
        <v>JIN Cheng loan 2018: drawdown</v>
      </c>
      <c r="F394" s="34">
        <f xml:space="preserve"> F$383</f>
        <v>0</v>
      </c>
      <c r="G394" s="34" t="str">
        <f xml:space="preserve"> G$383</f>
        <v>$ mn</v>
      </c>
      <c r="H394" s="34" t="str">
        <f xml:space="preserve"> H$383</f>
        <v>M</v>
      </c>
      <c r="I394" s="34">
        <f xml:space="preserve"> I$383</f>
        <v>200</v>
      </c>
      <c r="J394" s="34"/>
      <c r="K394" s="34">
        <f t="shared" ref="K394:O394" si="473" xml:space="preserve"> K$383</f>
        <v>0</v>
      </c>
      <c r="L394" s="34">
        <f t="shared" si="473"/>
        <v>0</v>
      </c>
      <c r="M394" s="34">
        <f t="shared" si="473"/>
        <v>0</v>
      </c>
      <c r="N394" s="34">
        <f t="shared" si="473"/>
        <v>0</v>
      </c>
      <c r="O394" s="34">
        <f t="shared" si="473"/>
        <v>0</v>
      </c>
      <c r="P394" s="34">
        <f t="shared" ref="P394:AS394" si="474" xml:space="preserve"> P$383</f>
        <v>0</v>
      </c>
      <c r="Q394" s="34">
        <f t="shared" si="474"/>
        <v>0</v>
      </c>
      <c r="R394" s="34">
        <f t="shared" si="474"/>
        <v>0</v>
      </c>
      <c r="S394" s="34">
        <f t="shared" si="474"/>
        <v>0</v>
      </c>
      <c r="T394" s="34">
        <f t="shared" si="474"/>
        <v>0</v>
      </c>
      <c r="U394" s="34">
        <f t="shared" si="474"/>
        <v>0</v>
      </c>
      <c r="V394" s="34">
        <f t="shared" si="474"/>
        <v>0</v>
      </c>
      <c r="W394" s="34">
        <f t="shared" si="474"/>
        <v>200</v>
      </c>
      <c r="X394" s="34">
        <f t="shared" si="474"/>
        <v>0</v>
      </c>
      <c r="Y394" s="34">
        <f t="shared" si="474"/>
        <v>0</v>
      </c>
      <c r="Z394" s="34">
        <f t="shared" si="474"/>
        <v>0</v>
      </c>
      <c r="AA394" s="34">
        <f t="shared" si="474"/>
        <v>0</v>
      </c>
      <c r="AB394" s="34">
        <f t="shared" si="474"/>
        <v>0</v>
      </c>
      <c r="AC394" s="34">
        <f t="shared" si="474"/>
        <v>0</v>
      </c>
      <c r="AD394" s="34">
        <f t="shared" si="474"/>
        <v>0</v>
      </c>
      <c r="AE394" s="34">
        <f t="shared" si="474"/>
        <v>0</v>
      </c>
      <c r="AF394" s="34">
        <f t="shared" si="474"/>
        <v>0</v>
      </c>
      <c r="AG394" s="34">
        <f t="shared" si="474"/>
        <v>0</v>
      </c>
      <c r="AH394" s="34">
        <f t="shared" si="474"/>
        <v>0</v>
      </c>
      <c r="AI394" s="34">
        <f t="shared" si="474"/>
        <v>0</v>
      </c>
      <c r="AJ394" s="34">
        <f t="shared" si="474"/>
        <v>0</v>
      </c>
      <c r="AK394" s="34">
        <f t="shared" si="474"/>
        <v>0</v>
      </c>
      <c r="AL394" s="34">
        <f t="shared" si="474"/>
        <v>0</v>
      </c>
      <c r="AM394" s="34">
        <f t="shared" si="474"/>
        <v>0</v>
      </c>
      <c r="AN394" s="34">
        <f t="shared" si="474"/>
        <v>0</v>
      </c>
      <c r="AO394" s="34">
        <f t="shared" si="474"/>
        <v>0</v>
      </c>
      <c r="AP394" s="34">
        <f t="shared" si="474"/>
        <v>0</v>
      </c>
      <c r="AQ394" s="34">
        <f t="shared" si="474"/>
        <v>0</v>
      </c>
      <c r="AR394" s="34">
        <f t="shared" si="474"/>
        <v>0</v>
      </c>
      <c r="AS394" s="34">
        <f t="shared" si="474"/>
        <v>0</v>
      </c>
    </row>
    <row r="395" spans="1:45" ht="15" customHeight="1" x14ac:dyDescent="0.3">
      <c r="A395" s="394"/>
      <c r="B395" s="394"/>
      <c r="C395" s="395"/>
      <c r="D395" s="34"/>
      <c r="E395" s="34" t="str">
        <f xml:space="preserve"> E$388</f>
        <v>Gold Mountains loan 2018: drawdown</v>
      </c>
      <c r="F395" s="34">
        <f t="shared" ref="F395:I395" si="475" xml:space="preserve"> F$388</f>
        <v>0</v>
      </c>
      <c r="G395" s="34" t="str">
        <f t="shared" si="475"/>
        <v>$ mn</v>
      </c>
      <c r="H395" s="34" t="str">
        <f t="shared" si="475"/>
        <v>M</v>
      </c>
      <c r="I395" s="34">
        <f t="shared" si="475"/>
        <v>200</v>
      </c>
      <c r="J395" s="34"/>
      <c r="K395" s="34">
        <f t="shared" ref="K395:O395" si="476" xml:space="preserve"> K$388</f>
        <v>0</v>
      </c>
      <c r="L395" s="34">
        <f t="shared" si="476"/>
        <v>0</v>
      </c>
      <c r="M395" s="34">
        <f t="shared" si="476"/>
        <v>0</v>
      </c>
      <c r="N395" s="34">
        <f t="shared" si="476"/>
        <v>0</v>
      </c>
      <c r="O395" s="34">
        <f t="shared" si="476"/>
        <v>0</v>
      </c>
      <c r="P395" s="34">
        <f t="shared" ref="P395:AS395" si="477" xml:space="preserve"> P$388</f>
        <v>0</v>
      </c>
      <c r="Q395" s="34">
        <f t="shared" si="477"/>
        <v>0</v>
      </c>
      <c r="R395" s="34">
        <f t="shared" si="477"/>
        <v>0</v>
      </c>
      <c r="S395" s="34">
        <f t="shared" si="477"/>
        <v>0</v>
      </c>
      <c r="T395" s="34">
        <f t="shared" si="477"/>
        <v>0</v>
      </c>
      <c r="U395" s="34">
        <f t="shared" si="477"/>
        <v>0</v>
      </c>
      <c r="V395" s="34">
        <f t="shared" si="477"/>
        <v>0</v>
      </c>
      <c r="W395" s="34">
        <f t="shared" si="477"/>
        <v>200</v>
      </c>
      <c r="X395" s="34">
        <f t="shared" si="477"/>
        <v>0</v>
      </c>
      <c r="Y395" s="34">
        <f t="shared" si="477"/>
        <v>0</v>
      </c>
      <c r="Z395" s="34">
        <f t="shared" si="477"/>
        <v>0</v>
      </c>
      <c r="AA395" s="34">
        <f t="shared" si="477"/>
        <v>0</v>
      </c>
      <c r="AB395" s="34">
        <f t="shared" si="477"/>
        <v>0</v>
      </c>
      <c r="AC395" s="34">
        <f t="shared" si="477"/>
        <v>0</v>
      </c>
      <c r="AD395" s="34">
        <f t="shared" si="477"/>
        <v>0</v>
      </c>
      <c r="AE395" s="34">
        <f t="shared" si="477"/>
        <v>0</v>
      </c>
      <c r="AF395" s="34">
        <f t="shared" si="477"/>
        <v>0</v>
      </c>
      <c r="AG395" s="34">
        <f t="shared" si="477"/>
        <v>0</v>
      </c>
      <c r="AH395" s="34">
        <f t="shared" si="477"/>
        <v>0</v>
      </c>
      <c r="AI395" s="34">
        <f t="shared" si="477"/>
        <v>0</v>
      </c>
      <c r="AJ395" s="34">
        <f t="shared" si="477"/>
        <v>0</v>
      </c>
      <c r="AK395" s="34">
        <f t="shared" si="477"/>
        <v>0</v>
      </c>
      <c r="AL395" s="34">
        <f t="shared" si="477"/>
        <v>0</v>
      </c>
      <c r="AM395" s="34">
        <f t="shared" si="477"/>
        <v>0</v>
      </c>
      <c r="AN395" s="34">
        <f t="shared" si="477"/>
        <v>0</v>
      </c>
      <c r="AO395" s="34">
        <f t="shared" si="477"/>
        <v>0</v>
      </c>
      <c r="AP395" s="34">
        <f t="shared" si="477"/>
        <v>0</v>
      </c>
      <c r="AQ395" s="34">
        <f t="shared" si="477"/>
        <v>0</v>
      </c>
      <c r="AR395" s="34">
        <f t="shared" si="477"/>
        <v>0</v>
      </c>
      <c r="AS395" s="34">
        <f t="shared" si="477"/>
        <v>0</v>
      </c>
    </row>
    <row r="396" spans="1:45" ht="15" customHeight="1" x14ac:dyDescent="0.3">
      <c r="A396" s="558"/>
      <c r="B396" s="558"/>
      <c r="C396" s="559"/>
      <c r="D396" s="548"/>
      <c r="E396" s="548" t="s">
        <v>350</v>
      </c>
      <c r="F396" s="548"/>
      <c r="G396" s="548" t="str">
        <f xml:space="preserve"> G$383</f>
        <v>$ mn</v>
      </c>
      <c r="H396" s="548"/>
      <c r="I396" s="548">
        <f>SUM(K396:AS396)</f>
        <v>400</v>
      </c>
      <c r="J396" s="34"/>
      <c r="K396" s="548">
        <f t="shared" ref="K396:O396" si="478">K394 + K395</f>
        <v>0</v>
      </c>
      <c r="L396" s="548">
        <f t="shared" si="478"/>
        <v>0</v>
      </c>
      <c r="M396" s="548">
        <f t="shared" si="478"/>
        <v>0</v>
      </c>
      <c r="N396" s="548">
        <f t="shared" si="478"/>
        <v>0</v>
      </c>
      <c r="O396" s="548">
        <f t="shared" si="478"/>
        <v>0</v>
      </c>
      <c r="P396" s="548">
        <f t="shared" ref="P396:R396" si="479">P394 + P395</f>
        <v>0</v>
      </c>
      <c r="Q396" s="548">
        <f t="shared" si="479"/>
        <v>0</v>
      </c>
      <c r="R396" s="548">
        <f t="shared" si="479"/>
        <v>0</v>
      </c>
      <c r="S396" s="548">
        <f t="shared" ref="S396:AN396" si="480">S394 + S395</f>
        <v>0</v>
      </c>
      <c r="T396" s="548">
        <f t="shared" si="480"/>
        <v>0</v>
      </c>
      <c r="U396" s="548">
        <f t="shared" si="480"/>
        <v>0</v>
      </c>
      <c r="V396" s="548">
        <f t="shared" si="480"/>
        <v>0</v>
      </c>
      <c r="W396" s="548">
        <f t="shared" si="480"/>
        <v>400</v>
      </c>
      <c r="X396" s="548">
        <f t="shared" si="480"/>
        <v>0</v>
      </c>
      <c r="Y396" s="548">
        <f t="shared" si="480"/>
        <v>0</v>
      </c>
      <c r="Z396" s="548">
        <f t="shared" si="480"/>
        <v>0</v>
      </c>
      <c r="AA396" s="548">
        <f t="shared" si="480"/>
        <v>0</v>
      </c>
      <c r="AB396" s="548">
        <f t="shared" si="480"/>
        <v>0</v>
      </c>
      <c r="AC396" s="548">
        <f t="shared" si="480"/>
        <v>0</v>
      </c>
      <c r="AD396" s="548">
        <f t="shared" si="480"/>
        <v>0</v>
      </c>
      <c r="AE396" s="548">
        <f t="shared" si="480"/>
        <v>0</v>
      </c>
      <c r="AF396" s="548">
        <f t="shared" si="480"/>
        <v>0</v>
      </c>
      <c r="AG396" s="548">
        <f t="shared" si="480"/>
        <v>0</v>
      </c>
      <c r="AH396" s="548">
        <f t="shared" si="480"/>
        <v>0</v>
      </c>
      <c r="AI396" s="548">
        <f t="shared" si="480"/>
        <v>0</v>
      </c>
      <c r="AJ396" s="548">
        <f t="shared" si="480"/>
        <v>0</v>
      </c>
      <c r="AK396" s="548">
        <f t="shared" si="480"/>
        <v>0</v>
      </c>
      <c r="AL396" s="548">
        <f t="shared" si="480"/>
        <v>0</v>
      </c>
      <c r="AM396" s="548">
        <f t="shared" si="480"/>
        <v>0</v>
      </c>
      <c r="AN396" s="548">
        <f t="shared" si="480"/>
        <v>0</v>
      </c>
      <c r="AO396" s="548">
        <f t="shared" ref="AO396:AP396" si="481">AO394 + AO395</f>
        <v>0</v>
      </c>
      <c r="AP396" s="548">
        <f t="shared" si="481"/>
        <v>0</v>
      </c>
      <c r="AQ396" s="548">
        <f t="shared" ref="AQ396:AS396" si="482">AQ394 + AQ395</f>
        <v>0</v>
      </c>
      <c r="AR396" s="548">
        <f t="shared" si="482"/>
        <v>0</v>
      </c>
      <c r="AS396" s="548">
        <f t="shared" si="482"/>
        <v>0</v>
      </c>
    </row>
    <row r="397" spans="1:45" ht="15" customHeight="1" x14ac:dyDescent="0.3">
      <c r="A397" s="560"/>
      <c r="B397" s="560"/>
      <c r="C397" s="561"/>
      <c r="D397" s="540"/>
      <c r="E397" s="540"/>
      <c r="F397" s="540"/>
      <c r="G397" s="540"/>
      <c r="H397" s="540"/>
      <c r="I397" s="540"/>
      <c r="J397" s="34"/>
      <c r="K397" s="540"/>
      <c r="L397" s="540"/>
      <c r="M397" s="540"/>
      <c r="N397" s="540"/>
      <c r="O397" s="540"/>
      <c r="P397" s="540"/>
      <c r="Q397" s="540"/>
      <c r="R397" s="540"/>
      <c r="S397" s="540"/>
      <c r="T397" s="540"/>
      <c r="U397" s="540"/>
      <c r="V397" s="540"/>
      <c r="W397" s="540"/>
      <c r="X397" s="540"/>
      <c r="Y397" s="540"/>
      <c r="Z397" s="540"/>
      <c r="AA397" s="540"/>
      <c r="AB397" s="540"/>
      <c r="AC397" s="540"/>
      <c r="AD397" s="540"/>
      <c r="AE397" s="540"/>
      <c r="AF397" s="540"/>
      <c r="AG397" s="540"/>
      <c r="AH397" s="540"/>
      <c r="AI397" s="540"/>
      <c r="AJ397" s="540"/>
      <c r="AK397" s="540"/>
      <c r="AL397" s="540"/>
      <c r="AM397" s="540"/>
      <c r="AN397" s="540"/>
      <c r="AO397" s="540"/>
      <c r="AP397" s="540"/>
      <c r="AQ397" s="540"/>
      <c r="AR397" s="540"/>
      <c r="AS397" s="540"/>
    </row>
    <row r="398" spans="1:45" ht="15" customHeight="1" x14ac:dyDescent="0.3">
      <c r="A398" s="560"/>
      <c r="B398" s="560"/>
      <c r="C398" s="561"/>
      <c r="D398" s="540"/>
      <c r="E398" s="34" t="str">
        <f xml:space="preserve"> E$380</f>
        <v>JIN Cheng loan 2017: drawdown</v>
      </c>
      <c r="F398" s="34">
        <f t="shared" ref="F398:I398" si="483" xml:space="preserve"> F$380</f>
        <v>0</v>
      </c>
      <c r="G398" s="34" t="str">
        <f t="shared" si="483"/>
        <v>$ mn</v>
      </c>
      <c r="H398" s="34" t="str">
        <f t="shared" si="483"/>
        <v>M</v>
      </c>
      <c r="I398" s="34">
        <f t="shared" si="483"/>
        <v>99</v>
      </c>
      <c r="J398" s="34"/>
      <c r="K398" s="34">
        <f t="shared" ref="K398:O398" si="484" xml:space="preserve"> K$380</f>
        <v>0</v>
      </c>
      <c r="L398" s="34">
        <f t="shared" si="484"/>
        <v>0</v>
      </c>
      <c r="M398" s="34">
        <f t="shared" si="484"/>
        <v>0</v>
      </c>
      <c r="N398" s="34">
        <f t="shared" si="484"/>
        <v>0</v>
      </c>
      <c r="O398" s="34">
        <f t="shared" si="484"/>
        <v>0</v>
      </c>
      <c r="P398" s="34">
        <f t="shared" ref="P398:AS398" si="485" xml:space="preserve"> P$380</f>
        <v>0</v>
      </c>
      <c r="Q398" s="34">
        <f t="shared" si="485"/>
        <v>0</v>
      </c>
      <c r="R398" s="34">
        <f t="shared" si="485"/>
        <v>0</v>
      </c>
      <c r="S398" s="34">
        <f t="shared" si="485"/>
        <v>0</v>
      </c>
      <c r="T398" s="34">
        <f t="shared" si="485"/>
        <v>0</v>
      </c>
      <c r="U398" s="34">
        <f t="shared" si="485"/>
        <v>0</v>
      </c>
      <c r="V398" s="34">
        <f t="shared" si="485"/>
        <v>99</v>
      </c>
      <c r="W398" s="34">
        <f t="shared" si="485"/>
        <v>0</v>
      </c>
      <c r="X398" s="34">
        <f t="shared" si="485"/>
        <v>0</v>
      </c>
      <c r="Y398" s="34">
        <f t="shared" si="485"/>
        <v>0</v>
      </c>
      <c r="Z398" s="34">
        <f t="shared" si="485"/>
        <v>0</v>
      </c>
      <c r="AA398" s="34">
        <f t="shared" si="485"/>
        <v>0</v>
      </c>
      <c r="AB398" s="34">
        <f t="shared" si="485"/>
        <v>0</v>
      </c>
      <c r="AC398" s="34">
        <f t="shared" si="485"/>
        <v>0</v>
      </c>
      <c r="AD398" s="34">
        <f t="shared" si="485"/>
        <v>0</v>
      </c>
      <c r="AE398" s="34">
        <f t="shared" si="485"/>
        <v>0</v>
      </c>
      <c r="AF398" s="34">
        <f t="shared" si="485"/>
        <v>0</v>
      </c>
      <c r="AG398" s="34">
        <f t="shared" si="485"/>
        <v>0</v>
      </c>
      <c r="AH398" s="34">
        <f t="shared" si="485"/>
        <v>0</v>
      </c>
      <c r="AI398" s="34">
        <f t="shared" si="485"/>
        <v>0</v>
      </c>
      <c r="AJ398" s="34">
        <f t="shared" si="485"/>
        <v>0</v>
      </c>
      <c r="AK398" s="34">
        <f t="shared" si="485"/>
        <v>0</v>
      </c>
      <c r="AL398" s="34">
        <f t="shared" si="485"/>
        <v>0</v>
      </c>
      <c r="AM398" s="34">
        <f t="shared" si="485"/>
        <v>0</v>
      </c>
      <c r="AN398" s="34">
        <f t="shared" si="485"/>
        <v>0</v>
      </c>
      <c r="AO398" s="34">
        <f t="shared" si="485"/>
        <v>0</v>
      </c>
      <c r="AP398" s="34">
        <f t="shared" si="485"/>
        <v>0</v>
      </c>
      <c r="AQ398" s="34">
        <f t="shared" si="485"/>
        <v>0</v>
      </c>
      <c r="AR398" s="34">
        <f t="shared" si="485"/>
        <v>0</v>
      </c>
      <c r="AS398" s="34">
        <f t="shared" si="485"/>
        <v>0</v>
      </c>
    </row>
    <row r="399" spans="1:45" ht="15" customHeight="1" x14ac:dyDescent="0.3">
      <c r="A399" s="560"/>
      <c r="B399" s="560"/>
      <c r="C399" s="561"/>
      <c r="D399" s="540"/>
      <c r="E399" s="540" t="str">
        <f xml:space="preserve"> E$396</f>
        <v>Interest bearing drawdowns</v>
      </c>
      <c r="F399" s="540">
        <f t="shared" ref="F399:I399" si="486" xml:space="preserve"> F$396</f>
        <v>0</v>
      </c>
      <c r="G399" s="540" t="str">
        <f t="shared" si="486"/>
        <v>$ mn</v>
      </c>
      <c r="H399" s="540">
        <f t="shared" si="486"/>
        <v>0</v>
      </c>
      <c r="I399" s="540">
        <f t="shared" si="486"/>
        <v>400</v>
      </c>
      <c r="J399" s="34"/>
      <c r="K399" s="540">
        <f t="shared" ref="K399:O399" si="487" xml:space="preserve"> K$396</f>
        <v>0</v>
      </c>
      <c r="L399" s="540">
        <f t="shared" si="487"/>
        <v>0</v>
      </c>
      <c r="M399" s="540">
        <f t="shared" si="487"/>
        <v>0</v>
      </c>
      <c r="N399" s="540">
        <f t="shared" si="487"/>
        <v>0</v>
      </c>
      <c r="O399" s="540">
        <f t="shared" si="487"/>
        <v>0</v>
      </c>
      <c r="P399" s="540">
        <f t="shared" ref="P399:AS399" si="488" xml:space="preserve"> P$396</f>
        <v>0</v>
      </c>
      <c r="Q399" s="540">
        <f t="shared" si="488"/>
        <v>0</v>
      </c>
      <c r="R399" s="540">
        <f t="shared" si="488"/>
        <v>0</v>
      </c>
      <c r="S399" s="540">
        <f t="shared" si="488"/>
        <v>0</v>
      </c>
      <c r="T399" s="540">
        <f t="shared" si="488"/>
        <v>0</v>
      </c>
      <c r="U399" s="540">
        <f t="shared" si="488"/>
        <v>0</v>
      </c>
      <c r="V399" s="540">
        <f t="shared" si="488"/>
        <v>0</v>
      </c>
      <c r="W399" s="540">
        <f t="shared" si="488"/>
        <v>400</v>
      </c>
      <c r="X399" s="540">
        <f t="shared" si="488"/>
        <v>0</v>
      </c>
      <c r="Y399" s="540">
        <f t="shared" si="488"/>
        <v>0</v>
      </c>
      <c r="Z399" s="540">
        <f t="shared" si="488"/>
        <v>0</v>
      </c>
      <c r="AA399" s="540">
        <f t="shared" si="488"/>
        <v>0</v>
      </c>
      <c r="AB399" s="540">
        <f t="shared" si="488"/>
        <v>0</v>
      </c>
      <c r="AC399" s="540">
        <f t="shared" si="488"/>
        <v>0</v>
      </c>
      <c r="AD399" s="540">
        <f t="shared" si="488"/>
        <v>0</v>
      </c>
      <c r="AE399" s="540">
        <f t="shared" si="488"/>
        <v>0</v>
      </c>
      <c r="AF399" s="540">
        <f t="shared" si="488"/>
        <v>0</v>
      </c>
      <c r="AG399" s="540">
        <f t="shared" si="488"/>
        <v>0</v>
      </c>
      <c r="AH399" s="540">
        <f t="shared" si="488"/>
        <v>0</v>
      </c>
      <c r="AI399" s="540">
        <f t="shared" si="488"/>
        <v>0</v>
      </c>
      <c r="AJ399" s="540">
        <f t="shared" si="488"/>
        <v>0</v>
      </c>
      <c r="AK399" s="540">
        <f t="shared" si="488"/>
        <v>0</v>
      </c>
      <c r="AL399" s="540">
        <f t="shared" si="488"/>
        <v>0</v>
      </c>
      <c r="AM399" s="540">
        <f t="shared" si="488"/>
        <v>0</v>
      </c>
      <c r="AN399" s="540">
        <f t="shared" si="488"/>
        <v>0</v>
      </c>
      <c r="AO399" s="540">
        <f t="shared" si="488"/>
        <v>0</v>
      </c>
      <c r="AP399" s="540">
        <f t="shared" si="488"/>
        <v>0</v>
      </c>
      <c r="AQ399" s="540">
        <f t="shared" si="488"/>
        <v>0</v>
      </c>
      <c r="AR399" s="540">
        <f t="shared" si="488"/>
        <v>0</v>
      </c>
      <c r="AS399" s="540">
        <f t="shared" si="488"/>
        <v>0</v>
      </c>
    </row>
    <row r="400" spans="1:45" ht="15" customHeight="1" x14ac:dyDescent="0.3">
      <c r="A400" s="558"/>
      <c r="B400" s="558"/>
      <c r="C400" s="559"/>
      <c r="D400" s="548"/>
      <c r="E400" s="548" t="s">
        <v>465</v>
      </c>
      <c r="F400" s="548"/>
      <c r="G400" s="548" t="str">
        <f xml:space="preserve"> G$383</f>
        <v>$ mn</v>
      </c>
      <c r="H400" s="548"/>
      <c r="I400" s="548">
        <f>SUM(K400:AS400)</f>
        <v>499</v>
      </c>
      <c r="J400" s="34"/>
      <c r="K400" s="548">
        <f t="shared" ref="K400:O400" si="489">K398 + K399</f>
        <v>0</v>
      </c>
      <c r="L400" s="548">
        <f t="shared" si="489"/>
        <v>0</v>
      </c>
      <c r="M400" s="548">
        <f t="shared" si="489"/>
        <v>0</v>
      </c>
      <c r="N400" s="548">
        <f t="shared" si="489"/>
        <v>0</v>
      </c>
      <c r="O400" s="548">
        <f t="shared" si="489"/>
        <v>0</v>
      </c>
      <c r="P400" s="548">
        <f t="shared" ref="P400:R400" si="490">P398 + P399</f>
        <v>0</v>
      </c>
      <c r="Q400" s="548">
        <f t="shared" si="490"/>
        <v>0</v>
      </c>
      <c r="R400" s="548">
        <f t="shared" si="490"/>
        <v>0</v>
      </c>
      <c r="S400" s="548">
        <f>S398 + S399</f>
        <v>0</v>
      </c>
      <c r="T400" s="548">
        <f t="shared" ref="T400:AN400" si="491">T398 + T399</f>
        <v>0</v>
      </c>
      <c r="U400" s="548">
        <f t="shared" si="491"/>
        <v>0</v>
      </c>
      <c r="V400" s="548">
        <f t="shared" si="491"/>
        <v>99</v>
      </c>
      <c r="W400" s="548">
        <f t="shared" si="491"/>
        <v>400</v>
      </c>
      <c r="X400" s="548">
        <f t="shared" si="491"/>
        <v>0</v>
      </c>
      <c r="Y400" s="548">
        <f t="shared" si="491"/>
        <v>0</v>
      </c>
      <c r="Z400" s="548">
        <f t="shared" si="491"/>
        <v>0</v>
      </c>
      <c r="AA400" s="548">
        <f t="shared" si="491"/>
        <v>0</v>
      </c>
      <c r="AB400" s="548">
        <f t="shared" si="491"/>
        <v>0</v>
      </c>
      <c r="AC400" s="548">
        <f t="shared" si="491"/>
        <v>0</v>
      </c>
      <c r="AD400" s="548">
        <f t="shared" si="491"/>
        <v>0</v>
      </c>
      <c r="AE400" s="548">
        <f t="shared" si="491"/>
        <v>0</v>
      </c>
      <c r="AF400" s="548">
        <f t="shared" si="491"/>
        <v>0</v>
      </c>
      <c r="AG400" s="548">
        <f t="shared" si="491"/>
        <v>0</v>
      </c>
      <c r="AH400" s="548">
        <f t="shared" si="491"/>
        <v>0</v>
      </c>
      <c r="AI400" s="548">
        <f t="shared" si="491"/>
        <v>0</v>
      </c>
      <c r="AJ400" s="548">
        <f t="shared" si="491"/>
        <v>0</v>
      </c>
      <c r="AK400" s="548">
        <f t="shared" si="491"/>
        <v>0</v>
      </c>
      <c r="AL400" s="548">
        <f t="shared" si="491"/>
        <v>0</v>
      </c>
      <c r="AM400" s="548">
        <f t="shared" si="491"/>
        <v>0</v>
      </c>
      <c r="AN400" s="548">
        <f t="shared" si="491"/>
        <v>0</v>
      </c>
      <c r="AO400" s="548">
        <f t="shared" ref="AO400:AP400" si="492">AO398 + AO399</f>
        <v>0</v>
      </c>
      <c r="AP400" s="548">
        <f t="shared" si="492"/>
        <v>0</v>
      </c>
      <c r="AQ400" s="548">
        <f t="shared" ref="AQ400:AS400" si="493">AQ398 + AQ399</f>
        <v>0</v>
      </c>
      <c r="AR400" s="548">
        <f t="shared" si="493"/>
        <v>0</v>
      </c>
      <c r="AS400" s="548">
        <f t="shared" si="493"/>
        <v>0</v>
      </c>
    </row>
    <row r="401" spans="1:45" ht="15" customHeight="1" x14ac:dyDescent="0.3">
      <c r="A401" s="560"/>
      <c r="B401" s="560"/>
      <c r="C401" s="561"/>
      <c r="D401" s="540"/>
      <c r="E401" s="540"/>
      <c r="F401" s="540"/>
      <c r="G401" s="540"/>
      <c r="H401" s="540"/>
      <c r="I401" s="540"/>
      <c r="J401" s="34"/>
      <c r="K401" s="540"/>
      <c r="L401" s="540"/>
      <c r="M401" s="540"/>
      <c r="N401" s="540"/>
      <c r="O401" s="540"/>
      <c r="P401" s="540"/>
      <c r="Q401" s="540"/>
      <c r="R401" s="540"/>
      <c r="S401" s="540"/>
      <c r="T401" s="540"/>
      <c r="U401" s="540"/>
      <c r="V401" s="540"/>
      <c r="W401" s="540"/>
      <c r="X401" s="540"/>
      <c r="Y401" s="540"/>
      <c r="Z401" s="540"/>
      <c r="AA401" s="540"/>
      <c r="AB401" s="540"/>
      <c r="AC401" s="540"/>
      <c r="AD401" s="540"/>
      <c r="AE401" s="540"/>
      <c r="AF401" s="540"/>
      <c r="AG401" s="540"/>
      <c r="AH401" s="540"/>
      <c r="AI401" s="540"/>
      <c r="AJ401" s="540"/>
      <c r="AK401" s="540"/>
      <c r="AL401" s="540"/>
      <c r="AM401" s="540"/>
      <c r="AN401" s="540"/>
      <c r="AO401" s="540"/>
      <c r="AP401" s="540"/>
      <c r="AQ401" s="540"/>
      <c r="AR401" s="540"/>
      <c r="AS401" s="540"/>
    </row>
    <row r="402" spans="1:45" ht="15" customHeight="1" x14ac:dyDescent="0.3">
      <c r="A402" s="560"/>
      <c r="B402" s="560"/>
      <c r="C402" s="561" t="s">
        <v>466</v>
      </c>
      <c r="D402" s="540"/>
      <c r="E402" s="540"/>
      <c r="F402" s="540"/>
      <c r="G402" s="540"/>
      <c r="H402" s="540"/>
      <c r="I402" s="540"/>
      <c r="J402" s="34"/>
      <c r="K402" s="540"/>
      <c r="L402" s="540"/>
      <c r="M402" s="540"/>
      <c r="N402" s="540"/>
      <c r="O402" s="540"/>
      <c r="P402" s="540"/>
      <c r="Q402" s="540"/>
      <c r="R402" s="540"/>
      <c r="S402" s="540"/>
      <c r="T402" s="540"/>
      <c r="U402" s="540"/>
      <c r="V402" s="540"/>
      <c r="W402" s="540"/>
      <c r="X402" s="540"/>
      <c r="Y402" s="540"/>
      <c r="Z402" s="540"/>
      <c r="AA402" s="540"/>
      <c r="AB402" s="540"/>
      <c r="AC402" s="540"/>
      <c r="AD402" s="540"/>
      <c r="AE402" s="540"/>
      <c r="AF402" s="540"/>
      <c r="AG402" s="540"/>
      <c r="AH402" s="540"/>
      <c r="AI402" s="540"/>
      <c r="AJ402" s="540"/>
      <c r="AK402" s="540"/>
      <c r="AL402" s="540"/>
      <c r="AM402" s="540"/>
      <c r="AN402" s="540"/>
      <c r="AO402" s="540"/>
      <c r="AP402" s="540"/>
      <c r="AQ402" s="540"/>
      <c r="AR402" s="540"/>
      <c r="AS402" s="540"/>
    </row>
    <row r="403" spans="1:45" ht="15" customHeight="1" x14ac:dyDescent="0.3">
      <c r="A403" s="560"/>
      <c r="B403" s="560"/>
      <c r="C403" s="561"/>
      <c r="D403" s="540"/>
      <c r="E403" s="540" t="str">
        <f xml:space="preserve"> E$385</f>
        <v>JIN Cheng loan 2018: interest repayment</v>
      </c>
      <c r="F403" s="540">
        <f t="shared" ref="F403:I403" si="494" xml:space="preserve"> F$385</f>
        <v>0</v>
      </c>
      <c r="G403" s="540" t="str">
        <f t="shared" si="494"/>
        <v>$ mn</v>
      </c>
      <c r="H403" s="540" t="str">
        <f t="shared" si="494"/>
        <v>M</v>
      </c>
      <c r="I403" s="540">
        <f t="shared" si="494"/>
        <v>23.910740000000001</v>
      </c>
      <c r="J403" s="34"/>
      <c r="K403" s="540">
        <f t="shared" ref="K403:O403" si="495" xml:space="preserve"> K$385</f>
        <v>0</v>
      </c>
      <c r="L403" s="540">
        <f t="shared" si="495"/>
        <v>0</v>
      </c>
      <c r="M403" s="540">
        <f t="shared" si="495"/>
        <v>0</v>
      </c>
      <c r="N403" s="540">
        <f t="shared" si="495"/>
        <v>0</v>
      </c>
      <c r="O403" s="540">
        <f t="shared" si="495"/>
        <v>0</v>
      </c>
      <c r="P403" s="540">
        <f t="shared" ref="P403:AS403" si="496" xml:space="preserve"> P$385</f>
        <v>0</v>
      </c>
      <c r="Q403" s="540">
        <f t="shared" si="496"/>
        <v>0</v>
      </c>
      <c r="R403" s="540">
        <f t="shared" si="496"/>
        <v>0</v>
      </c>
      <c r="S403" s="540">
        <f t="shared" si="496"/>
        <v>0</v>
      </c>
      <c r="T403" s="540">
        <f t="shared" si="496"/>
        <v>0</v>
      </c>
      <c r="U403" s="540">
        <f t="shared" si="496"/>
        <v>0</v>
      </c>
      <c r="V403" s="540">
        <f t="shared" si="496"/>
        <v>0</v>
      </c>
      <c r="W403" s="540">
        <f t="shared" si="496"/>
        <v>0</v>
      </c>
      <c r="X403" s="540">
        <f t="shared" si="496"/>
        <v>4.3609999999999998</v>
      </c>
      <c r="Y403" s="540">
        <f t="shared" si="496"/>
        <v>6.5041200000000003</v>
      </c>
      <c r="Z403" s="540">
        <f t="shared" si="496"/>
        <v>4.6351199999999997</v>
      </c>
      <c r="AA403" s="540">
        <f t="shared" si="496"/>
        <v>2.8035000000000001</v>
      </c>
      <c r="AB403" s="540">
        <f t="shared" si="496"/>
        <v>2.2427999999999999</v>
      </c>
      <c r="AC403" s="540">
        <f t="shared" si="496"/>
        <v>1.6820999999999999</v>
      </c>
      <c r="AD403" s="540">
        <f t="shared" si="496"/>
        <v>1.1214</v>
      </c>
      <c r="AE403" s="540">
        <f t="shared" si="496"/>
        <v>0.56070000000000064</v>
      </c>
      <c r="AF403" s="540">
        <f t="shared" si="496"/>
        <v>0</v>
      </c>
      <c r="AG403" s="540">
        <f t="shared" si="496"/>
        <v>0</v>
      </c>
      <c r="AH403" s="540">
        <f t="shared" si="496"/>
        <v>0</v>
      </c>
      <c r="AI403" s="540">
        <f t="shared" si="496"/>
        <v>0</v>
      </c>
      <c r="AJ403" s="540">
        <f t="shared" si="496"/>
        <v>0</v>
      </c>
      <c r="AK403" s="540">
        <f t="shared" si="496"/>
        <v>0</v>
      </c>
      <c r="AL403" s="540">
        <f t="shared" si="496"/>
        <v>0</v>
      </c>
      <c r="AM403" s="540">
        <f t="shared" si="496"/>
        <v>0</v>
      </c>
      <c r="AN403" s="540">
        <f t="shared" si="496"/>
        <v>0</v>
      </c>
      <c r="AO403" s="540">
        <f t="shared" si="496"/>
        <v>0</v>
      </c>
      <c r="AP403" s="540">
        <f t="shared" si="496"/>
        <v>0</v>
      </c>
      <c r="AQ403" s="540">
        <f t="shared" si="496"/>
        <v>0</v>
      </c>
      <c r="AR403" s="540">
        <f t="shared" si="496"/>
        <v>0</v>
      </c>
      <c r="AS403" s="540">
        <f t="shared" si="496"/>
        <v>0</v>
      </c>
    </row>
    <row r="404" spans="1:45" ht="15" customHeight="1" x14ac:dyDescent="0.3">
      <c r="A404" s="560"/>
      <c r="B404" s="560"/>
      <c r="C404" s="561"/>
      <c r="D404" s="540"/>
      <c r="E404" s="540" t="str">
        <f xml:space="preserve"> E$390</f>
        <v>Gold Mountains loan 2018: interest repayment</v>
      </c>
      <c r="F404" s="540">
        <f t="shared" ref="F404:I404" si="497" xml:space="preserve"> F$390</f>
        <v>0</v>
      </c>
      <c r="G404" s="540" t="str">
        <f t="shared" si="497"/>
        <v>$ mn</v>
      </c>
      <c r="H404" s="540" t="str">
        <f t="shared" si="497"/>
        <v>M</v>
      </c>
      <c r="I404" s="540">
        <f t="shared" si="497"/>
        <v>15.201199999999998</v>
      </c>
      <c r="J404" s="34"/>
      <c r="K404" s="540">
        <f t="shared" ref="K404:O404" si="498" xml:space="preserve"> K$390</f>
        <v>0</v>
      </c>
      <c r="L404" s="540">
        <f t="shared" si="498"/>
        <v>0</v>
      </c>
      <c r="M404" s="540">
        <f t="shared" si="498"/>
        <v>0</v>
      </c>
      <c r="N404" s="540">
        <f t="shared" si="498"/>
        <v>0</v>
      </c>
      <c r="O404" s="540">
        <f t="shared" si="498"/>
        <v>0</v>
      </c>
      <c r="P404" s="540">
        <f t="shared" ref="P404:AS404" si="499" xml:space="preserve"> P$390</f>
        <v>0</v>
      </c>
      <c r="Q404" s="540">
        <f t="shared" si="499"/>
        <v>0</v>
      </c>
      <c r="R404" s="540">
        <f t="shared" si="499"/>
        <v>0</v>
      </c>
      <c r="S404" s="540">
        <f t="shared" si="499"/>
        <v>0</v>
      </c>
      <c r="T404" s="540">
        <f t="shared" si="499"/>
        <v>0</v>
      </c>
      <c r="U404" s="540">
        <f t="shared" si="499"/>
        <v>0</v>
      </c>
      <c r="V404" s="540">
        <f t="shared" si="499"/>
        <v>0</v>
      </c>
      <c r="W404" s="540">
        <f t="shared" si="499"/>
        <v>0</v>
      </c>
      <c r="X404" s="540">
        <f t="shared" si="499"/>
        <v>4.3609999999999998</v>
      </c>
      <c r="Y404" s="540">
        <f t="shared" si="499"/>
        <v>6.3545999999999996</v>
      </c>
      <c r="Z404" s="540">
        <f t="shared" si="499"/>
        <v>4.4855999999999998</v>
      </c>
      <c r="AA404" s="540">
        <f t="shared" si="499"/>
        <v>0</v>
      </c>
      <c r="AB404" s="540">
        <f t="shared" si="499"/>
        <v>0</v>
      </c>
      <c r="AC404" s="540">
        <f t="shared" si="499"/>
        <v>0</v>
      </c>
      <c r="AD404" s="540">
        <f t="shared" si="499"/>
        <v>0</v>
      </c>
      <c r="AE404" s="540">
        <f t="shared" si="499"/>
        <v>0</v>
      </c>
      <c r="AF404" s="540">
        <f t="shared" si="499"/>
        <v>0</v>
      </c>
      <c r="AG404" s="540">
        <f t="shared" si="499"/>
        <v>0</v>
      </c>
      <c r="AH404" s="540">
        <f t="shared" si="499"/>
        <v>0</v>
      </c>
      <c r="AI404" s="540">
        <f t="shared" si="499"/>
        <v>0</v>
      </c>
      <c r="AJ404" s="540">
        <f t="shared" si="499"/>
        <v>0</v>
      </c>
      <c r="AK404" s="540">
        <f t="shared" si="499"/>
        <v>0</v>
      </c>
      <c r="AL404" s="540">
        <f t="shared" si="499"/>
        <v>0</v>
      </c>
      <c r="AM404" s="540">
        <f t="shared" si="499"/>
        <v>0</v>
      </c>
      <c r="AN404" s="540">
        <f t="shared" si="499"/>
        <v>0</v>
      </c>
      <c r="AO404" s="540">
        <f t="shared" si="499"/>
        <v>0</v>
      </c>
      <c r="AP404" s="540">
        <f t="shared" si="499"/>
        <v>0</v>
      </c>
      <c r="AQ404" s="540">
        <f t="shared" si="499"/>
        <v>0</v>
      </c>
      <c r="AR404" s="540">
        <f t="shared" si="499"/>
        <v>0</v>
      </c>
      <c r="AS404" s="540">
        <f t="shared" si="499"/>
        <v>0</v>
      </c>
    </row>
    <row r="405" spans="1:45" ht="15" customHeight="1" x14ac:dyDescent="0.3">
      <c r="A405" s="558"/>
      <c r="B405" s="558"/>
      <c r="C405" s="559"/>
      <c r="D405" s="548"/>
      <c r="E405" s="548" t="s">
        <v>467</v>
      </c>
      <c r="F405" s="548"/>
      <c r="G405" s="548" t="str">
        <f xml:space="preserve"> G$383</f>
        <v>$ mn</v>
      </c>
      <c r="H405" s="548"/>
      <c r="I405" s="548">
        <f>SUM(K405:AS405)</f>
        <v>39.111940000000004</v>
      </c>
      <c r="J405" s="34"/>
      <c r="K405" s="548">
        <f t="shared" ref="K405:O405" si="500">K403 + K404</f>
        <v>0</v>
      </c>
      <c r="L405" s="548">
        <f t="shared" si="500"/>
        <v>0</v>
      </c>
      <c r="M405" s="548">
        <f t="shared" si="500"/>
        <v>0</v>
      </c>
      <c r="N405" s="548">
        <f t="shared" si="500"/>
        <v>0</v>
      </c>
      <c r="O405" s="548">
        <f t="shared" si="500"/>
        <v>0</v>
      </c>
      <c r="P405" s="548">
        <f t="shared" ref="P405:R405" si="501">P403 + P404</f>
        <v>0</v>
      </c>
      <c r="Q405" s="548">
        <f t="shared" si="501"/>
        <v>0</v>
      </c>
      <c r="R405" s="548">
        <f t="shared" si="501"/>
        <v>0</v>
      </c>
      <c r="S405" s="548">
        <f>S403 + S404</f>
        <v>0</v>
      </c>
      <c r="T405" s="548">
        <f t="shared" ref="T405:AN405" si="502">T403 + T404</f>
        <v>0</v>
      </c>
      <c r="U405" s="548">
        <f t="shared" si="502"/>
        <v>0</v>
      </c>
      <c r="V405" s="548">
        <f t="shared" si="502"/>
        <v>0</v>
      </c>
      <c r="W405" s="548">
        <f t="shared" si="502"/>
        <v>0</v>
      </c>
      <c r="X405" s="548">
        <f t="shared" si="502"/>
        <v>8.7219999999999995</v>
      </c>
      <c r="Y405" s="548">
        <f t="shared" si="502"/>
        <v>12.85872</v>
      </c>
      <c r="Z405" s="548">
        <f t="shared" si="502"/>
        <v>9.1207199999999986</v>
      </c>
      <c r="AA405" s="548">
        <f t="shared" si="502"/>
        <v>2.8035000000000001</v>
      </c>
      <c r="AB405" s="548">
        <f t="shared" si="502"/>
        <v>2.2427999999999999</v>
      </c>
      <c r="AC405" s="548">
        <f t="shared" si="502"/>
        <v>1.6820999999999999</v>
      </c>
      <c r="AD405" s="548">
        <f t="shared" si="502"/>
        <v>1.1214</v>
      </c>
      <c r="AE405" s="548">
        <f t="shared" si="502"/>
        <v>0.56070000000000064</v>
      </c>
      <c r="AF405" s="548">
        <f t="shared" si="502"/>
        <v>0</v>
      </c>
      <c r="AG405" s="548">
        <f t="shared" si="502"/>
        <v>0</v>
      </c>
      <c r="AH405" s="548">
        <f t="shared" si="502"/>
        <v>0</v>
      </c>
      <c r="AI405" s="548">
        <f t="shared" si="502"/>
        <v>0</v>
      </c>
      <c r="AJ405" s="548">
        <f t="shared" si="502"/>
        <v>0</v>
      </c>
      <c r="AK405" s="548">
        <f t="shared" si="502"/>
        <v>0</v>
      </c>
      <c r="AL405" s="548">
        <f t="shared" si="502"/>
        <v>0</v>
      </c>
      <c r="AM405" s="548">
        <f t="shared" si="502"/>
        <v>0</v>
      </c>
      <c r="AN405" s="548">
        <f t="shared" si="502"/>
        <v>0</v>
      </c>
      <c r="AO405" s="548">
        <f t="shared" ref="AO405:AP405" si="503">AO403 + AO404</f>
        <v>0</v>
      </c>
      <c r="AP405" s="548">
        <f t="shared" si="503"/>
        <v>0</v>
      </c>
      <c r="AQ405" s="548">
        <f t="shared" ref="AQ405:AS405" si="504">AQ403 + AQ404</f>
        <v>0</v>
      </c>
      <c r="AR405" s="548">
        <f t="shared" si="504"/>
        <v>0</v>
      </c>
      <c r="AS405" s="548">
        <f t="shared" si="504"/>
        <v>0</v>
      </c>
    </row>
    <row r="406" spans="1:45" ht="15" customHeight="1" x14ac:dyDescent="0.3">
      <c r="A406" s="560"/>
      <c r="B406" s="560"/>
      <c r="C406" s="561"/>
      <c r="D406" s="540"/>
      <c r="E406" s="540"/>
      <c r="F406" s="540"/>
      <c r="G406" s="540"/>
      <c r="H406" s="540"/>
      <c r="I406" s="540"/>
      <c r="J406" s="34"/>
      <c r="K406" s="540"/>
      <c r="L406" s="540"/>
      <c r="M406" s="540"/>
      <c r="N406" s="540"/>
      <c r="O406" s="540"/>
      <c r="P406" s="540"/>
      <c r="Q406" s="540"/>
      <c r="R406" s="540"/>
      <c r="S406" s="540"/>
      <c r="T406" s="540"/>
      <c r="U406" s="540"/>
      <c r="V406" s="540"/>
      <c r="W406" s="540"/>
      <c r="X406" s="540"/>
      <c r="Y406" s="540"/>
      <c r="Z406" s="540"/>
      <c r="AA406" s="540"/>
      <c r="AB406" s="540"/>
      <c r="AC406" s="540"/>
      <c r="AD406" s="540"/>
      <c r="AE406" s="540"/>
      <c r="AF406" s="540"/>
      <c r="AG406" s="540"/>
      <c r="AH406" s="540"/>
      <c r="AI406" s="540"/>
      <c r="AJ406" s="540"/>
      <c r="AK406" s="540"/>
      <c r="AL406" s="540"/>
      <c r="AM406" s="540"/>
      <c r="AN406" s="540"/>
      <c r="AO406" s="540"/>
      <c r="AP406" s="540"/>
      <c r="AQ406" s="540"/>
      <c r="AR406" s="540"/>
      <c r="AS406" s="540"/>
    </row>
    <row r="407" spans="1:45" ht="15" customHeight="1" x14ac:dyDescent="0.3">
      <c r="A407" s="560"/>
      <c r="B407" s="560"/>
      <c r="C407" s="561" t="s">
        <v>468</v>
      </c>
      <c r="D407" s="540"/>
      <c r="E407" s="540"/>
      <c r="F407" s="540"/>
      <c r="G407" s="540"/>
      <c r="H407" s="540"/>
      <c r="I407" s="540"/>
      <c r="J407" s="34"/>
      <c r="K407" s="540"/>
      <c r="L407" s="540"/>
      <c r="M407" s="540"/>
      <c r="N407" s="540"/>
      <c r="O407" s="540"/>
      <c r="P407" s="540"/>
      <c r="Q407" s="540"/>
      <c r="R407" s="540"/>
      <c r="S407" s="540"/>
      <c r="T407" s="540"/>
      <c r="U407" s="540"/>
      <c r="V407" s="540"/>
      <c r="W407" s="540"/>
      <c r="X407" s="540"/>
      <c r="Y407" s="540"/>
      <c r="Z407" s="540"/>
      <c r="AA407" s="540"/>
      <c r="AB407" s="540"/>
      <c r="AC407" s="540"/>
      <c r="AD407" s="540"/>
      <c r="AE407" s="540"/>
      <c r="AF407" s="540"/>
      <c r="AG407" s="540"/>
      <c r="AH407" s="540"/>
      <c r="AI407" s="540"/>
      <c r="AJ407" s="540"/>
      <c r="AK407" s="540"/>
      <c r="AL407" s="540"/>
      <c r="AM407" s="540"/>
      <c r="AN407" s="540"/>
      <c r="AO407" s="540"/>
      <c r="AP407" s="540"/>
      <c r="AQ407" s="540"/>
      <c r="AR407" s="540"/>
      <c r="AS407" s="540"/>
    </row>
    <row r="408" spans="1:45" ht="15" customHeight="1" x14ac:dyDescent="0.3">
      <c r="A408" s="394"/>
      <c r="B408" s="394"/>
      <c r="C408" s="395"/>
      <c r="D408" s="34"/>
      <c r="E408" s="34" t="str">
        <f xml:space="preserve"> E$381</f>
        <v>JIN Cheng loan 2017: principal repayment</v>
      </c>
      <c r="F408" s="34">
        <f t="shared" ref="F408:I408" si="505" xml:space="preserve"> F$381</f>
        <v>0</v>
      </c>
      <c r="G408" s="34" t="str">
        <f t="shared" si="505"/>
        <v>$ mn</v>
      </c>
      <c r="H408" s="34" t="str">
        <f t="shared" si="505"/>
        <v>M</v>
      </c>
      <c r="I408" s="34">
        <f t="shared" si="505"/>
        <v>99</v>
      </c>
      <c r="J408" s="34"/>
      <c r="K408" s="34">
        <f t="shared" ref="K408:O408" si="506" xml:space="preserve"> K$381</f>
        <v>0</v>
      </c>
      <c r="L408" s="34">
        <f t="shared" si="506"/>
        <v>0</v>
      </c>
      <c r="M408" s="34">
        <f t="shared" si="506"/>
        <v>0</v>
      </c>
      <c r="N408" s="34">
        <f t="shared" si="506"/>
        <v>0</v>
      </c>
      <c r="O408" s="34">
        <f t="shared" si="506"/>
        <v>0</v>
      </c>
      <c r="P408" s="34">
        <f t="shared" ref="P408:AS408" si="507" xml:space="preserve"> P$381</f>
        <v>0</v>
      </c>
      <c r="Q408" s="34">
        <f t="shared" si="507"/>
        <v>0</v>
      </c>
      <c r="R408" s="34">
        <f t="shared" si="507"/>
        <v>0</v>
      </c>
      <c r="S408" s="34">
        <f t="shared" si="507"/>
        <v>0</v>
      </c>
      <c r="T408" s="34">
        <f t="shared" si="507"/>
        <v>0</v>
      </c>
      <c r="U408" s="34">
        <f t="shared" si="507"/>
        <v>0</v>
      </c>
      <c r="V408" s="34">
        <f t="shared" si="507"/>
        <v>0</v>
      </c>
      <c r="W408" s="34">
        <f t="shared" si="507"/>
        <v>99</v>
      </c>
      <c r="X408" s="34">
        <f t="shared" si="507"/>
        <v>0</v>
      </c>
      <c r="Y408" s="34">
        <f t="shared" si="507"/>
        <v>0</v>
      </c>
      <c r="Z408" s="34">
        <f t="shared" si="507"/>
        <v>0</v>
      </c>
      <c r="AA408" s="34">
        <f t="shared" si="507"/>
        <v>0</v>
      </c>
      <c r="AB408" s="34">
        <f t="shared" si="507"/>
        <v>0</v>
      </c>
      <c r="AC408" s="34">
        <f t="shared" si="507"/>
        <v>0</v>
      </c>
      <c r="AD408" s="34">
        <f t="shared" si="507"/>
        <v>0</v>
      </c>
      <c r="AE408" s="34">
        <f t="shared" si="507"/>
        <v>0</v>
      </c>
      <c r="AF408" s="34">
        <f t="shared" si="507"/>
        <v>0</v>
      </c>
      <c r="AG408" s="34">
        <f t="shared" si="507"/>
        <v>0</v>
      </c>
      <c r="AH408" s="34">
        <f t="shared" si="507"/>
        <v>0</v>
      </c>
      <c r="AI408" s="34">
        <f t="shared" si="507"/>
        <v>0</v>
      </c>
      <c r="AJ408" s="34">
        <f t="shared" si="507"/>
        <v>0</v>
      </c>
      <c r="AK408" s="34">
        <f t="shared" si="507"/>
        <v>0</v>
      </c>
      <c r="AL408" s="34">
        <f t="shared" si="507"/>
        <v>0</v>
      </c>
      <c r="AM408" s="34">
        <f t="shared" si="507"/>
        <v>0</v>
      </c>
      <c r="AN408" s="34">
        <f t="shared" si="507"/>
        <v>0</v>
      </c>
      <c r="AO408" s="34">
        <f t="shared" si="507"/>
        <v>0</v>
      </c>
      <c r="AP408" s="34">
        <f t="shared" si="507"/>
        <v>0</v>
      </c>
      <c r="AQ408" s="34">
        <f t="shared" si="507"/>
        <v>0</v>
      </c>
      <c r="AR408" s="34">
        <f t="shared" si="507"/>
        <v>0</v>
      </c>
      <c r="AS408" s="34">
        <f t="shared" si="507"/>
        <v>0</v>
      </c>
    </row>
    <row r="409" spans="1:45" ht="15" customHeight="1" x14ac:dyDescent="0.3">
      <c r="A409" s="394"/>
      <c r="B409" s="394"/>
      <c r="C409" s="395"/>
      <c r="D409" s="34"/>
      <c r="E409" s="34" t="str">
        <f xml:space="preserve"> E$384</f>
        <v>JIN Cheng loan 2018: principal repayment</v>
      </c>
      <c r="F409" s="34">
        <f t="shared" ref="F409:I409" si="508" xml:space="preserve"> F$384</f>
        <v>0</v>
      </c>
      <c r="G409" s="34" t="str">
        <f t="shared" si="508"/>
        <v>$ mn</v>
      </c>
      <c r="H409" s="34" t="str">
        <f t="shared" si="508"/>
        <v>M</v>
      </c>
      <c r="I409" s="34">
        <f t="shared" si="508"/>
        <v>200</v>
      </c>
      <c r="J409" s="34"/>
      <c r="K409" s="34">
        <f t="shared" ref="K409:O409" si="509" xml:space="preserve"> K$384</f>
        <v>0</v>
      </c>
      <c r="L409" s="34">
        <f t="shared" si="509"/>
        <v>0</v>
      </c>
      <c r="M409" s="34">
        <f t="shared" si="509"/>
        <v>0</v>
      </c>
      <c r="N409" s="34">
        <f t="shared" si="509"/>
        <v>0</v>
      </c>
      <c r="O409" s="34">
        <f t="shared" si="509"/>
        <v>0</v>
      </c>
      <c r="P409" s="34">
        <f t="shared" ref="P409:AS409" si="510" xml:space="preserve"> P$384</f>
        <v>0</v>
      </c>
      <c r="Q409" s="34">
        <f t="shared" si="510"/>
        <v>0</v>
      </c>
      <c r="R409" s="34">
        <f t="shared" si="510"/>
        <v>0</v>
      </c>
      <c r="S409" s="34">
        <f t="shared" si="510"/>
        <v>0</v>
      </c>
      <c r="T409" s="34">
        <f t="shared" si="510"/>
        <v>0</v>
      </c>
      <c r="U409" s="34">
        <f t="shared" si="510"/>
        <v>0</v>
      </c>
      <c r="V409" s="34">
        <f t="shared" si="510"/>
        <v>0</v>
      </c>
      <c r="W409" s="34">
        <f t="shared" si="510"/>
        <v>0</v>
      </c>
      <c r="X409" s="34">
        <f t="shared" si="510"/>
        <v>26</v>
      </c>
      <c r="Y409" s="34">
        <f t="shared" si="510"/>
        <v>50</v>
      </c>
      <c r="Z409" s="34">
        <f t="shared" si="510"/>
        <v>49</v>
      </c>
      <c r="AA409" s="34">
        <f t="shared" si="510"/>
        <v>15</v>
      </c>
      <c r="AB409" s="34">
        <f t="shared" si="510"/>
        <v>15</v>
      </c>
      <c r="AC409" s="34">
        <f t="shared" si="510"/>
        <v>15</v>
      </c>
      <c r="AD409" s="34">
        <f t="shared" si="510"/>
        <v>15</v>
      </c>
      <c r="AE409" s="34">
        <f t="shared" si="510"/>
        <v>15</v>
      </c>
      <c r="AF409" s="34">
        <f t="shared" si="510"/>
        <v>0</v>
      </c>
      <c r="AG409" s="34">
        <f t="shared" si="510"/>
        <v>0</v>
      </c>
      <c r="AH409" s="34">
        <f t="shared" si="510"/>
        <v>0</v>
      </c>
      <c r="AI409" s="34">
        <f t="shared" si="510"/>
        <v>0</v>
      </c>
      <c r="AJ409" s="34">
        <f t="shared" si="510"/>
        <v>0</v>
      </c>
      <c r="AK409" s="34">
        <f t="shared" si="510"/>
        <v>0</v>
      </c>
      <c r="AL409" s="34">
        <f t="shared" si="510"/>
        <v>0</v>
      </c>
      <c r="AM409" s="34">
        <f t="shared" si="510"/>
        <v>0</v>
      </c>
      <c r="AN409" s="34">
        <f t="shared" si="510"/>
        <v>0</v>
      </c>
      <c r="AO409" s="34">
        <f t="shared" si="510"/>
        <v>0</v>
      </c>
      <c r="AP409" s="34">
        <f t="shared" si="510"/>
        <v>0</v>
      </c>
      <c r="AQ409" s="34">
        <f t="shared" si="510"/>
        <v>0</v>
      </c>
      <c r="AR409" s="34">
        <f t="shared" si="510"/>
        <v>0</v>
      </c>
      <c r="AS409" s="34">
        <f t="shared" si="510"/>
        <v>0</v>
      </c>
    </row>
    <row r="410" spans="1:45" ht="15" customHeight="1" x14ac:dyDescent="0.3">
      <c r="A410" s="394"/>
      <c r="B410" s="394"/>
      <c r="C410" s="395"/>
      <c r="D410" s="34"/>
      <c r="E410" s="34" t="str">
        <f xml:space="preserve"> E$389</f>
        <v>Gold Mountains loan 2018: principal repayment</v>
      </c>
      <c r="F410" s="34">
        <f t="shared" ref="F410:I410" si="511" xml:space="preserve"> F$389</f>
        <v>0</v>
      </c>
      <c r="G410" s="34" t="str">
        <f t="shared" si="511"/>
        <v>$ mn</v>
      </c>
      <c r="H410" s="34" t="str">
        <f t="shared" si="511"/>
        <v>M</v>
      </c>
      <c r="I410" s="34">
        <f t="shared" si="511"/>
        <v>200</v>
      </c>
      <c r="J410" s="34"/>
      <c r="K410" s="34">
        <f t="shared" ref="K410:O410" si="512" xml:space="preserve"> K$389</f>
        <v>0</v>
      </c>
      <c r="L410" s="34">
        <f t="shared" si="512"/>
        <v>0</v>
      </c>
      <c r="M410" s="34">
        <f t="shared" si="512"/>
        <v>0</v>
      </c>
      <c r="N410" s="34">
        <f t="shared" si="512"/>
        <v>0</v>
      </c>
      <c r="O410" s="34">
        <f t="shared" si="512"/>
        <v>0</v>
      </c>
      <c r="P410" s="34">
        <f t="shared" ref="P410:AS410" si="513" xml:space="preserve"> P$389</f>
        <v>0</v>
      </c>
      <c r="Q410" s="34">
        <f t="shared" si="513"/>
        <v>0</v>
      </c>
      <c r="R410" s="34">
        <f t="shared" si="513"/>
        <v>0</v>
      </c>
      <c r="S410" s="34">
        <f t="shared" si="513"/>
        <v>0</v>
      </c>
      <c r="T410" s="34">
        <f t="shared" si="513"/>
        <v>0</v>
      </c>
      <c r="U410" s="34">
        <f t="shared" si="513"/>
        <v>0</v>
      </c>
      <c r="V410" s="34">
        <f t="shared" si="513"/>
        <v>0</v>
      </c>
      <c r="W410" s="34">
        <f t="shared" si="513"/>
        <v>0</v>
      </c>
      <c r="X410" s="34">
        <f t="shared" si="513"/>
        <v>30</v>
      </c>
      <c r="Y410" s="34">
        <f t="shared" si="513"/>
        <v>50</v>
      </c>
      <c r="Z410" s="34">
        <f t="shared" si="513"/>
        <v>120</v>
      </c>
      <c r="AA410" s="34">
        <f t="shared" si="513"/>
        <v>0</v>
      </c>
      <c r="AB410" s="34">
        <f t="shared" si="513"/>
        <v>0</v>
      </c>
      <c r="AC410" s="34">
        <f t="shared" si="513"/>
        <v>0</v>
      </c>
      <c r="AD410" s="34">
        <f t="shared" si="513"/>
        <v>0</v>
      </c>
      <c r="AE410" s="34">
        <f t="shared" si="513"/>
        <v>0</v>
      </c>
      <c r="AF410" s="34">
        <f t="shared" si="513"/>
        <v>0</v>
      </c>
      <c r="AG410" s="34">
        <f t="shared" si="513"/>
        <v>0</v>
      </c>
      <c r="AH410" s="34">
        <f t="shared" si="513"/>
        <v>0</v>
      </c>
      <c r="AI410" s="34">
        <f t="shared" si="513"/>
        <v>0</v>
      </c>
      <c r="AJ410" s="34">
        <f t="shared" si="513"/>
        <v>0</v>
      </c>
      <c r="AK410" s="34">
        <f t="shared" si="513"/>
        <v>0</v>
      </c>
      <c r="AL410" s="34">
        <f t="shared" si="513"/>
        <v>0</v>
      </c>
      <c r="AM410" s="34">
        <f t="shared" si="513"/>
        <v>0</v>
      </c>
      <c r="AN410" s="34">
        <f t="shared" si="513"/>
        <v>0</v>
      </c>
      <c r="AO410" s="34">
        <f t="shared" si="513"/>
        <v>0</v>
      </c>
      <c r="AP410" s="34">
        <f t="shared" si="513"/>
        <v>0</v>
      </c>
      <c r="AQ410" s="34">
        <f t="shared" si="513"/>
        <v>0</v>
      </c>
      <c r="AR410" s="34">
        <f t="shared" si="513"/>
        <v>0</v>
      </c>
      <c r="AS410" s="34">
        <f t="shared" si="513"/>
        <v>0</v>
      </c>
    </row>
    <row r="411" spans="1:45" ht="15" customHeight="1" x14ac:dyDescent="0.3">
      <c r="A411" s="558"/>
      <c r="B411" s="558"/>
      <c r="C411" s="559"/>
      <c r="D411" s="548"/>
      <c r="E411" s="548" t="s">
        <v>469</v>
      </c>
      <c r="F411" s="548"/>
      <c r="G411" s="548" t="str">
        <f xml:space="preserve"> G$383</f>
        <v>$ mn</v>
      </c>
      <c r="H411" s="548"/>
      <c r="I411" s="548">
        <f>SUM(K411:AS411)</f>
        <v>499</v>
      </c>
      <c r="J411" s="34"/>
      <c r="K411" s="548">
        <f t="shared" ref="K411:O411" si="514">K408 + K409 + K410</f>
        <v>0</v>
      </c>
      <c r="L411" s="548">
        <f t="shared" si="514"/>
        <v>0</v>
      </c>
      <c r="M411" s="548">
        <f t="shared" si="514"/>
        <v>0</v>
      </c>
      <c r="N411" s="548">
        <f t="shared" si="514"/>
        <v>0</v>
      </c>
      <c r="O411" s="548">
        <f t="shared" si="514"/>
        <v>0</v>
      </c>
      <c r="P411" s="548">
        <f t="shared" ref="P411:R411" si="515">P408 + P409 + P410</f>
        <v>0</v>
      </c>
      <c r="Q411" s="548">
        <f t="shared" si="515"/>
        <v>0</v>
      </c>
      <c r="R411" s="548">
        <f t="shared" si="515"/>
        <v>0</v>
      </c>
      <c r="S411" s="548">
        <f>S408 + S409 + S410</f>
        <v>0</v>
      </c>
      <c r="T411" s="548">
        <f t="shared" ref="T411:AN411" si="516">T408 + T409 + T410</f>
        <v>0</v>
      </c>
      <c r="U411" s="548">
        <f t="shared" si="516"/>
        <v>0</v>
      </c>
      <c r="V411" s="548">
        <f t="shared" si="516"/>
        <v>0</v>
      </c>
      <c r="W411" s="548">
        <f t="shared" si="516"/>
        <v>99</v>
      </c>
      <c r="X411" s="548">
        <f t="shared" si="516"/>
        <v>56</v>
      </c>
      <c r="Y411" s="548">
        <f t="shared" si="516"/>
        <v>100</v>
      </c>
      <c r="Z411" s="548">
        <f t="shared" si="516"/>
        <v>169</v>
      </c>
      <c r="AA411" s="548">
        <f t="shared" si="516"/>
        <v>15</v>
      </c>
      <c r="AB411" s="548">
        <f t="shared" si="516"/>
        <v>15</v>
      </c>
      <c r="AC411" s="548">
        <f t="shared" si="516"/>
        <v>15</v>
      </c>
      <c r="AD411" s="548">
        <f t="shared" si="516"/>
        <v>15</v>
      </c>
      <c r="AE411" s="548">
        <f t="shared" si="516"/>
        <v>15</v>
      </c>
      <c r="AF411" s="548">
        <f t="shared" si="516"/>
        <v>0</v>
      </c>
      <c r="AG411" s="548">
        <f t="shared" si="516"/>
        <v>0</v>
      </c>
      <c r="AH411" s="548">
        <f t="shared" si="516"/>
        <v>0</v>
      </c>
      <c r="AI411" s="548">
        <f t="shared" si="516"/>
        <v>0</v>
      </c>
      <c r="AJ411" s="548">
        <f t="shared" si="516"/>
        <v>0</v>
      </c>
      <c r="AK411" s="548">
        <f t="shared" si="516"/>
        <v>0</v>
      </c>
      <c r="AL411" s="548">
        <f t="shared" si="516"/>
        <v>0</v>
      </c>
      <c r="AM411" s="548">
        <f t="shared" si="516"/>
        <v>0</v>
      </c>
      <c r="AN411" s="548">
        <f t="shared" si="516"/>
        <v>0</v>
      </c>
      <c r="AO411" s="548">
        <f t="shared" ref="AO411:AP411" si="517">AO408 + AO409 + AO410</f>
        <v>0</v>
      </c>
      <c r="AP411" s="548">
        <f t="shared" si="517"/>
        <v>0</v>
      </c>
      <c r="AQ411" s="548">
        <f t="shared" ref="AQ411:AS411" si="518">AQ408 + AQ409 + AQ410</f>
        <v>0</v>
      </c>
      <c r="AR411" s="548">
        <f t="shared" si="518"/>
        <v>0</v>
      </c>
      <c r="AS411" s="548">
        <f t="shared" si="518"/>
        <v>0</v>
      </c>
    </row>
    <row r="412" spans="1:45" ht="15" customHeight="1" x14ac:dyDescent="0.3">
      <c r="A412" s="394"/>
      <c r="B412" s="394"/>
      <c r="C412" s="395"/>
      <c r="D412" s="34"/>
      <c r="E412" s="34"/>
      <c r="F412" s="34"/>
      <c r="G412" s="34"/>
      <c r="H412" s="34"/>
      <c r="I412" s="34"/>
      <c r="J412" s="34"/>
      <c r="K412" s="34"/>
      <c r="L412" s="34"/>
      <c r="M412" s="34"/>
      <c r="N412" s="34"/>
      <c r="O412" s="34"/>
      <c r="P412" s="34"/>
      <c r="Q412" s="34"/>
      <c r="R412" s="34"/>
      <c r="S412" s="34"/>
      <c r="T412" s="34"/>
      <c r="U412" s="34"/>
      <c r="V412" s="34"/>
      <c r="W412" s="34"/>
      <c r="X412" s="34"/>
      <c r="Y412" s="34"/>
      <c r="Z412" s="34"/>
      <c r="AA412" s="34"/>
      <c r="AB412" s="34"/>
      <c r="AC412" s="34"/>
      <c r="AD412" s="34"/>
      <c r="AE412" s="34"/>
      <c r="AF412" s="34"/>
      <c r="AG412" s="34"/>
      <c r="AH412" s="34"/>
      <c r="AI412" s="34"/>
      <c r="AJ412" s="34"/>
      <c r="AK412" s="34"/>
      <c r="AL412" s="34"/>
      <c r="AM412" s="34"/>
      <c r="AN412" s="34"/>
      <c r="AO412" s="34"/>
      <c r="AP412" s="34"/>
      <c r="AQ412" s="34"/>
      <c r="AR412" s="34"/>
      <c r="AS412" s="34"/>
    </row>
    <row r="413" spans="1:45" ht="15" customHeight="1" x14ac:dyDescent="0.3">
      <c r="A413" s="394"/>
      <c r="B413" s="394"/>
      <c r="C413" s="395" t="s">
        <v>470</v>
      </c>
      <c r="D413" s="34"/>
      <c r="E413" s="34"/>
      <c r="F413" s="135"/>
      <c r="G413" s="34"/>
      <c r="H413" s="230"/>
      <c r="I413" s="230"/>
      <c r="J413" s="34"/>
      <c r="K413" s="562"/>
      <c r="L413" s="562"/>
      <c r="M413" s="562"/>
      <c r="N413" s="562"/>
      <c r="O413" s="562"/>
      <c r="P413" s="562"/>
      <c r="Q413" s="562"/>
      <c r="R413" s="562"/>
      <c r="S413" s="562"/>
      <c r="T413" s="562"/>
      <c r="U413" s="562"/>
      <c r="V413" s="562"/>
      <c r="W413" s="562"/>
      <c r="X413" s="562"/>
      <c r="Y413" s="562"/>
      <c r="Z413" s="562"/>
      <c r="AA413" s="562"/>
      <c r="AB413" s="562"/>
      <c r="AC413" s="562"/>
      <c r="AD413" s="562"/>
      <c r="AE413" s="562"/>
      <c r="AF413" s="562"/>
      <c r="AG413" s="562"/>
      <c r="AH413" s="562"/>
      <c r="AI413" s="562"/>
      <c r="AJ413" s="562"/>
      <c r="AK413" s="562"/>
      <c r="AL413" s="562"/>
      <c r="AM413" s="562"/>
      <c r="AN413" s="562"/>
      <c r="AO413" s="562"/>
      <c r="AP413" s="562"/>
      <c r="AQ413" s="562"/>
      <c r="AR413" s="562"/>
      <c r="AS413" s="562"/>
    </row>
    <row r="414" spans="1:45" ht="15" customHeight="1" x14ac:dyDescent="0.3">
      <c r="A414" s="394"/>
      <c r="B414" s="394"/>
      <c r="C414" s="395"/>
      <c r="D414" s="34"/>
      <c r="E414" s="34" t="str">
        <f xml:space="preserve"> E$405</f>
        <v>Total interest repayments</v>
      </c>
      <c r="F414" s="34">
        <f t="shared" ref="F414:I414" si="519" xml:space="preserve"> F$405</f>
        <v>0</v>
      </c>
      <c r="G414" s="34" t="str">
        <f t="shared" si="519"/>
        <v>$ mn</v>
      </c>
      <c r="H414" s="34">
        <f t="shared" si="519"/>
        <v>0</v>
      </c>
      <c r="I414" s="34">
        <f t="shared" si="519"/>
        <v>39.111940000000004</v>
      </c>
      <c r="J414" s="34"/>
      <c r="K414" s="34">
        <f t="shared" ref="K414:O414" si="520" xml:space="preserve"> K$405</f>
        <v>0</v>
      </c>
      <c r="L414" s="34">
        <f t="shared" si="520"/>
        <v>0</v>
      </c>
      <c r="M414" s="34">
        <f t="shared" si="520"/>
        <v>0</v>
      </c>
      <c r="N414" s="34">
        <f t="shared" si="520"/>
        <v>0</v>
      </c>
      <c r="O414" s="34">
        <f t="shared" si="520"/>
        <v>0</v>
      </c>
      <c r="P414" s="34">
        <f t="shared" ref="P414:AS414" si="521" xml:space="preserve"> P$405</f>
        <v>0</v>
      </c>
      <c r="Q414" s="34">
        <f t="shared" si="521"/>
        <v>0</v>
      </c>
      <c r="R414" s="34">
        <f t="shared" si="521"/>
        <v>0</v>
      </c>
      <c r="S414" s="34">
        <f t="shared" si="521"/>
        <v>0</v>
      </c>
      <c r="T414" s="34">
        <f t="shared" si="521"/>
        <v>0</v>
      </c>
      <c r="U414" s="34">
        <f t="shared" si="521"/>
        <v>0</v>
      </c>
      <c r="V414" s="34">
        <f t="shared" si="521"/>
        <v>0</v>
      </c>
      <c r="W414" s="34">
        <f t="shared" si="521"/>
        <v>0</v>
      </c>
      <c r="X414" s="34">
        <f t="shared" si="521"/>
        <v>8.7219999999999995</v>
      </c>
      <c r="Y414" s="34">
        <f t="shared" si="521"/>
        <v>12.85872</v>
      </c>
      <c r="Z414" s="34">
        <f t="shared" si="521"/>
        <v>9.1207199999999986</v>
      </c>
      <c r="AA414" s="34">
        <f t="shared" si="521"/>
        <v>2.8035000000000001</v>
      </c>
      <c r="AB414" s="34">
        <f t="shared" si="521"/>
        <v>2.2427999999999999</v>
      </c>
      <c r="AC414" s="34">
        <f t="shared" si="521"/>
        <v>1.6820999999999999</v>
      </c>
      <c r="AD414" s="34">
        <f t="shared" si="521"/>
        <v>1.1214</v>
      </c>
      <c r="AE414" s="34">
        <f t="shared" si="521"/>
        <v>0.56070000000000064</v>
      </c>
      <c r="AF414" s="34">
        <f t="shared" si="521"/>
        <v>0</v>
      </c>
      <c r="AG414" s="34">
        <f t="shared" si="521"/>
        <v>0</v>
      </c>
      <c r="AH414" s="34">
        <f t="shared" si="521"/>
        <v>0</v>
      </c>
      <c r="AI414" s="34">
        <f t="shared" si="521"/>
        <v>0</v>
      </c>
      <c r="AJ414" s="34">
        <f t="shared" si="521"/>
        <v>0</v>
      </c>
      <c r="AK414" s="34">
        <f t="shared" si="521"/>
        <v>0</v>
      </c>
      <c r="AL414" s="34">
        <f t="shared" si="521"/>
        <v>0</v>
      </c>
      <c r="AM414" s="34">
        <f t="shared" si="521"/>
        <v>0</v>
      </c>
      <c r="AN414" s="34">
        <f t="shared" si="521"/>
        <v>0</v>
      </c>
      <c r="AO414" s="34">
        <f t="shared" si="521"/>
        <v>0</v>
      </c>
      <c r="AP414" s="34">
        <f t="shared" si="521"/>
        <v>0</v>
      </c>
      <c r="AQ414" s="34">
        <f t="shared" si="521"/>
        <v>0</v>
      </c>
      <c r="AR414" s="34">
        <f t="shared" si="521"/>
        <v>0</v>
      </c>
      <c r="AS414" s="34">
        <f t="shared" si="521"/>
        <v>0</v>
      </c>
    </row>
    <row r="415" spans="1:45" ht="15" customHeight="1" x14ac:dyDescent="0.3">
      <c r="A415" s="394"/>
      <c r="B415" s="394"/>
      <c r="C415" s="395"/>
      <c r="D415" s="34"/>
      <c r="E415" s="34" t="str">
        <f xml:space="preserve"> E$411</f>
        <v>Total principal repayments</v>
      </c>
      <c r="F415" s="34">
        <f t="shared" ref="F415:I415" si="522" xml:space="preserve"> F$411</f>
        <v>0</v>
      </c>
      <c r="G415" s="34" t="str">
        <f t="shared" si="522"/>
        <v>$ mn</v>
      </c>
      <c r="H415" s="34">
        <f t="shared" si="522"/>
        <v>0</v>
      </c>
      <c r="I415" s="34">
        <f t="shared" si="522"/>
        <v>499</v>
      </c>
      <c r="J415" s="34"/>
      <c r="K415" s="34">
        <f t="shared" ref="K415:O415" si="523" xml:space="preserve"> K$411</f>
        <v>0</v>
      </c>
      <c r="L415" s="34">
        <f t="shared" si="523"/>
        <v>0</v>
      </c>
      <c r="M415" s="34">
        <f t="shared" si="523"/>
        <v>0</v>
      </c>
      <c r="N415" s="34">
        <f t="shared" si="523"/>
        <v>0</v>
      </c>
      <c r="O415" s="34">
        <f t="shared" si="523"/>
        <v>0</v>
      </c>
      <c r="P415" s="34">
        <f t="shared" ref="P415:AS415" si="524" xml:space="preserve"> P$411</f>
        <v>0</v>
      </c>
      <c r="Q415" s="34">
        <f t="shared" si="524"/>
        <v>0</v>
      </c>
      <c r="R415" s="34">
        <f t="shared" si="524"/>
        <v>0</v>
      </c>
      <c r="S415" s="34">
        <f t="shared" si="524"/>
        <v>0</v>
      </c>
      <c r="T415" s="34">
        <f t="shared" si="524"/>
        <v>0</v>
      </c>
      <c r="U415" s="34">
        <f t="shared" si="524"/>
        <v>0</v>
      </c>
      <c r="V415" s="34">
        <f t="shared" si="524"/>
        <v>0</v>
      </c>
      <c r="W415" s="34">
        <f t="shared" si="524"/>
        <v>99</v>
      </c>
      <c r="X415" s="34">
        <f t="shared" si="524"/>
        <v>56</v>
      </c>
      <c r="Y415" s="34">
        <f t="shared" si="524"/>
        <v>100</v>
      </c>
      <c r="Z415" s="34">
        <f t="shared" si="524"/>
        <v>169</v>
      </c>
      <c r="AA415" s="34">
        <f t="shared" si="524"/>
        <v>15</v>
      </c>
      <c r="AB415" s="34">
        <f t="shared" si="524"/>
        <v>15</v>
      </c>
      <c r="AC415" s="34">
        <f t="shared" si="524"/>
        <v>15</v>
      </c>
      <c r="AD415" s="34">
        <f t="shared" si="524"/>
        <v>15</v>
      </c>
      <c r="AE415" s="34">
        <f t="shared" si="524"/>
        <v>15</v>
      </c>
      <c r="AF415" s="34">
        <f t="shared" si="524"/>
        <v>0</v>
      </c>
      <c r="AG415" s="34">
        <f t="shared" si="524"/>
        <v>0</v>
      </c>
      <c r="AH415" s="34">
        <f t="shared" si="524"/>
        <v>0</v>
      </c>
      <c r="AI415" s="34">
        <f t="shared" si="524"/>
        <v>0</v>
      </c>
      <c r="AJ415" s="34">
        <f t="shared" si="524"/>
        <v>0</v>
      </c>
      <c r="AK415" s="34">
        <f t="shared" si="524"/>
        <v>0</v>
      </c>
      <c r="AL415" s="34">
        <f t="shared" si="524"/>
        <v>0</v>
      </c>
      <c r="AM415" s="34">
        <f t="shared" si="524"/>
        <v>0</v>
      </c>
      <c r="AN415" s="34">
        <f t="shared" si="524"/>
        <v>0</v>
      </c>
      <c r="AO415" s="34">
        <f t="shared" si="524"/>
        <v>0</v>
      </c>
      <c r="AP415" s="34">
        <f t="shared" si="524"/>
        <v>0</v>
      </c>
      <c r="AQ415" s="34">
        <f t="shared" si="524"/>
        <v>0</v>
      </c>
      <c r="AR415" s="34">
        <f t="shared" si="524"/>
        <v>0</v>
      </c>
      <c r="AS415" s="34">
        <f t="shared" si="524"/>
        <v>0</v>
      </c>
    </row>
    <row r="416" spans="1:45" ht="15" customHeight="1" x14ac:dyDescent="0.3">
      <c r="A416" s="558"/>
      <c r="B416" s="558"/>
      <c r="C416" s="559"/>
      <c r="D416" s="548"/>
      <c r="E416" s="548" t="s">
        <v>470</v>
      </c>
      <c r="F416" s="563"/>
      <c r="G416" s="548" t="str">
        <f xml:space="preserve"> G$383</f>
        <v>$ mn</v>
      </c>
      <c r="H416" s="548"/>
      <c r="I416" s="548">
        <f>SUM(K416:AS416)</f>
        <v>538.11194</v>
      </c>
      <c r="J416" s="34"/>
      <c r="K416" s="551">
        <f t="shared" ref="K416:O416" si="525">K414 + K415</f>
        <v>0</v>
      </c>
      <c r="L416" s="551">
        <f t="shared" si="525"/>
        <v>0</v>
      </c>
      <c r="M416" s="551">
        <f t="shared" si="525"/>
        <v>0</v>
      </c>
      <c r="N416" s="551">
        <f t="shared" si="525"/>
        <v>0</v>
      </c>
      <c r="O416" s="551">
        <f t="shared" si="525"/>
        <v>0</v>
      </c>
      <c r="P416" s="551">
        <f t="shared" ref="P416:R416" si="526">P414 + P415</f>
        <v>0</v>
      </c>
      <c r="Q416" s="551">
        <f t="shared" si="526"/>
        <v>0</v>
      </c>
      <c r="R416" s="551">
        <f t="shared" si="526"/>
        <v>0</v>
      </c>
      <c r="S416" s="551">
        <f>S414 + S415</f>
        <v>0</v>
      </c>
      <c r="T416" s="551">
        <f t="shared" ref="T416:AP416" si="527">T414 + T415</f>
        <v>0</v>
      </c>
      <c r="U416" s="551">
        <f t="shared" si="527"/>
        <v>0</v>
      </c>
      <c r="V416" s="551">
        <f t="shared" si="527"/>
        <v>0</v>
      </c>
      <c r="W416" s="551">
        <f t="shared" si="527"/>
        <v>99</v>
      </c>
      <c r="X416" s="551">
        <f t="shared" si="527"/>
        <v>64.721999999999994</v>
      </c>
      <c r="Y416" s="551">
        <f t="shared" si="527"/>
        <v>112.85872000000001</v>
      </c>
      <c r="Z416" s="551">
        <f t="shared" si="527"/>
        <v>178.12072000000001</v>
      </c>
      <c r="AA416" s="551">
        <f t="shared" si="527"/>
        <v>17.8035</v>
      </c>
      <c r="AB416" s="551">
        <f t="shared" si="527"/>
        <v>17.242799999999999</v>
      </c>
      <c r="AC416" s="551">
        <f t="shared" si="527"/>
        <v>16.682099999999998</v>
      </c>
      <c r="AD416" s="551">
        <f t="shared" si="527"/>
        <v>16.121400000000001</v>
      </c>
      <c r="AE416" s="551">
        <f t="shared" si="527"/>
        <v>15.560700000000001</v>
      </c>
      <c r="AF416" s="551">
        <f t="shared" si="527"/>
        <v>0</v>
      </c>
      <c r="AG416" s="551">
        <f t="shared" si="527"/>
        <v>0</v>
      </c>
      <c r="AH416" s="551">
        <f t="shared" si="527"/>
        <v>0</v>
      </c>
      <c r="AI416" s="551">
        <f t="shared" si="527"/>
        <v>0</v>
      </c>
      <c r="AJ416" s="551">
        <f t="shared" si="527"/>
        <v>0</v>
      </c>
      <c r="AK416" s="551">
        <f t="shared" si="527"/>
        <v>0</v>
      </c>
      <c r="AL416" s="551">
        <f t="shared" si="527"/>
        <v>0</v>
      </c>
      <c r="AM416" s="551">
        <f t="shared" si="527"/>
        <v>0</v>
      </c>
      <c r="AN416" s="551">
        <f t="shared" si="527"/>
        <v>0</v>
      </c>
      <c r="AO416" s="551">
        <f t="shared" si="527"/>
        <v>0</v>
      </c>
      <c r="AP416" s="551">
        <f t="shared" si="527"/>
        <v>0</v>
      </c>
      <c r="AQ416" s="551">
        <f t="shared" ref="AQ416:AS416" si="528">AQ414 + AQ415</f>
        <v>0</v>
      </c>
      <c r="AR416" s="551">
        <f t="shared" si="528"/>
        <v>0</v>
      </c>
      <c r="AS416" s="551">
        <f t="shared" si="528"/>
        <v>0</v>
      </c>
    </row>
    <row r="417" spans="1:45" ht="15" customHeight="1" x14ac:dyDescent="0.3">
      <c r="A417" s="394"/>
      <c r="B417" s="394"/>
      <c r="C417" s="395"/>
      <c r="D417" s="34"/>
      <c r="E417" s="34"/>
      <c r="F417" s="135"/>
      <c r="G417" s="34"/>
      <c r="H417" s="230"/>
      <c r="I417" s="230"/>
      <c r="J417" s="34"/>
      <c r="K417" s="562"/>
      <c r="L417" s="562"/>
      <c r="M417" s="562"/>
      <c r="N417" s="562"/>
      <c r="O417" s="562"/>
      <c r="P417" s="562"/>
      <c r="Q417" s="562"/>
      <c r="R417" s="562"/>
      <c r="S417" s="562"/>
      <c r="T417" s="562"/>
      <c r="U417" s="562"/>
      <c r="V417" s="562"/>
      <c r="W417" s="562"/>
      <c r="X417" s="562"/>
      <c r="Y417" s="562"/>
      <c r="Z417" s="562"/>
      <c r="AA417" s="562"/>
      <c r="AB417" s="562"/>
      <c r="AC417" s="562"/>
      <c r="AD417" s="562"/>
      <c r="AE417" s="562"/>
      <c r="AF417" s="562"/>
      <c r="AG417" s="562"/>
      <c r="AH417" s="562"/>
      <c r="AI417" s="562"/>
      <c r="AJ417" s="562"/>
      <c r="AK417" s="562"/>
      <c r="AL417" s="562"/>
      <c r="AM417" s="562"/>
      <c r="AN417" s="562"/>
      <c r="AO417" s="562"/>
      <c r="AP417" s="562"/>
      <c r="AQ417" s="562"/>
      <c r="AR417" s="562"/>
      <c r="AS417" s="562"/>
    </row>
    <row r="418" spans="1:45" ht="15" customHeight="1" x14ac:dyDescent="0.3">
      <c r="A418" s="394"/>
      <c r="B418" s="394"/>
      <c r="C418" s="395" t="s">
        <v>371</v>
      </c>
      <c r="D418" s="34"/>
      <c r="E418" s="34"/>
      <c r="F418" s="135"/>
      <c r="G418" s="34"/>
      <c r="H418" s="230"/>
      <c r="I418" s="230"/>
      <c r="J418" s="34"/>
      <c r="K418" s="34"/>
      <c r="L418" s="34"/>
      <c r="M418" s="34"/>
      <c r="N418" s="34"/>
      <c r="O418" s="34"/>
      <c r="P418" s="34"/>
      <c r="Q418" s="34"/>
      <c r="R418" s="34"/>
      <c r="S418" s="34"/>
      <c r="T418" s="564"/>
      <c r="U418" s="34"/>
      <c r="V418" s="34"/>
      <c r="W418" s="34"/>
      <c r="X418" s="34"/>
      <c r="Y418" s="34"/>
      <c r="Z418" s="34"/>
      <c r="AA418" s="34"/>
      <c r="AB418" s="34"/>
      <c r="AC418" s="34"/>
      <c r="AD418" s="34"/>
      <c r="AE418" s="34"/>
      <c r="AF418" s="34"/>
      <c r="AG418" s="34"/>
      <c r="AH418" s="34"/>
      <c r="AI418" s="34"/>
      <c r="AJ418" s="34"/>
      <c r="AK418" s="34"/>
      <c r="AL418" s="34"/>
      <c r="AM418" s="34"/>
      <c r="AN418" s="34"/>
      <c r="AO418" s="34"/>
      <c r="AP418" s="34"/>
      <c r="AQ418" s="34"/>
      <c r="AR418" s="34"/>
      <c r="AS418" s="34"/>
    </row>
    <row r="419" spans="1:45" ht="15" customHeight="1" x14ac:dyDescent="0.3">
      <c r="A419" s="394"/>
      <c r="B419" s="394"/>
      <c r="C419" s="395"/>
      <c r="D419" s="34"/>
      <c r="E419" s="387" t="str">
        <f xml:space="preserve"> E$292</f>
        <v>Model calendar year</v>
      </c>
      <c r="F419" s="387">
        <f t="shared" ref="F419:I419" si="529" xml:space="preserve"> F$292</f>
        <v>0</v>
      </c>
      <c r="G419" s="387">
        <f t="shared" si="529"/>
        <v>0</v>
      </c>
      <c r="H419" s="387">
        <f t="shared" si="529"/>
        <v>0</v>
      </c>
      <c r="I419" s="387">
        <f t="shared" si="529"/>
        <v>0</v>
      </c>
      <c r="J419" s="34"/>
      <c r="K419" s="387">
        <f t="shared" ref="K419:O419" si="530" xml:space="preserve"> K$292</f>
        <v>2006</v>
      </c>
      <c r="L419" s="387">
        <f t="shared" si="530"/>
        <v>2007</v>
      </c>
      <c r="M419" s="387">
        <f t="shared" si="530"/>
        <v>2008</v>
      </c>
      <c r="N419" s="387">
        <f t="shared" si="530"/>
        <v>2009</v>
      </c>
      <c r="O419" s="387">
        <f t="shared" si="530"/>
        <v>2010</v>
      </c>
      <c r="P419" s="387">
        <f t="shared" ref="P419:AS419" si="531" xml:space="preserve"> P$292</f>
        <v>2011</v>
      </c>
      <c r="Q419" s="387">
        <f t="shared" si="531"/>
        <v>2012</v>
      </c>
      <c r="R419" s="387">
        <f t="shared" si="531"/>
        <v>2013</v>
      </c>
      <c r="S419" s="387">
        <f t="shared" si="531"/>
        <v>2014</v>
      </c>
      <c r="T419" s="387">
        <f t="shared" si="531"/>
        <v>2015</v>
      </c>
      <c r="U419" s="387">
        <f t="shared" si="531"/>
        <v>2016</v>
      </c>
      <c r="V419" s="387">
        <f t="shared" si="531"/>
        <v>2017</v>
      </c>
      <c r="W419" s="387">
        <f t="shared" si="531"/>
        <v>2018</v>
      </c>
      <c r="X419" s="387">
        <f t="shared" si="531"/>
        <v>2019</v>
      </c>
      <c r="Y419" s="387">
        <f t="shared" si="531"/>
        <v>2020</v>
      </c>
      <c r="Z419" s="387">
        <f t="shared" si="531"/>
        <v>2021</v>
      </c>
      <c r="AA419" s="387">
        <f t="shared" si="531"/>
        <v>2022</v>
      </c>
      <c r="AB419" s="387">
        <f t="shared" si="531"/>
        <v>2023</v>
      </c>
      <c r="AC419" s="387">
        <f t="shared" si="531"/>
        <v>2024</v>
      </c>
      <c r="AD419" s="387">
        <f t="shared" si="531"/>
        <v>2025</v>
      </c>
      <c r="AE419" s="387">
        <f t="shared" si="531"/>
        <v>2026</v>
      </c>
      <c r="AF419" s="387">
        <f t="shared" si="531"/>
        <v>2027</v>
      </c>
      <c r="AG419" s="387">
        <f t="shared" si="531"/>
        <v>2028</v>
      </c>
      <c r="AH419" s="387">
        <f t="shared" si="531"/>
        <v>2029</v>
      </c>
      <c r="AI419" s="387">
        <f t="shared" si="531"/>
        <v>2030</v>
      </c>
      <c r="AJ419" s="387">
        <f t="shared" si="531"/>
        <v>2031</v>
      </c>
      <c r="AK419" s="387">
        <f t="shared" si="531"/>
        <v>2032</v>
      </c>
      <c r="AL419" s="387">
        <f t="shared" si="531"/>
        <v>2033</v>
      </c>
      <c r="AM419" s="387">
        <f t="shared" si="531"/>
        <v>2034</v>
      </c>
      <c r="AN419" s="387">
        <f t="shared" si="531"/>
        <v>2035</v>
      </c>
      <c r="AO419" s="387">
        <f t="shared" si="531"/>
        <v>2036</v>
      </c>
      <c r="AP419" s="387">
        <f t="shared" si="531"/>
        <v>2037</v>
      </c>
      <c r="AQ419" s="387">
        <f t="shared" si="531"/>
        <v>2038</v>
      </c>
      <c r="AR419" s="387">
        <f t="shared" si="531"/>
        <v>2039</v>
      </c>
      <c r="AS419" s="387">
        <f t="shared" si="531"/>
        <v>2040</v>
      </c>
    </row>
    <row r="420" spans="1:45" ht="15" customHeight="1" x14ac:dyDescent="0.3">
      <c r="A420" s="394"/>
      <c r="B420" s="394"/>
      <c r="C420" s="395"/>
      <c r="D420" s="34"/>
      <c r="E420" s="565" t="s">
        <v>345</v>
      </c>
      <c r="F420" s="565"/>
      <c r="G420" s="565" t="s">
        <v>346</v>
      </c>
      <c r="H420" s="566"/>
      <c r="I420" s="566"/>
      <c r="J420" s="34"/>
      <c r="K420" s="567">
        <f>J425</f>
        <v>0</v>
      </c>
      <c r="L420" s="567">
        <f t="shared" ref="L420:AS420" si="532">K425</f>
        <v>0</v>
      </c>
      <c r="M420" s="567">
        <f t="shared" si="532"/>
        <v>0</v>
      </c>
      <c r="N420" s="567">
        <f t="shared" si="532"/>
        <v>0</v>
      </c>
      <c r="O420" s="567">
        <f t="shared" si="532"/>
        <v>0</v>
      </c>
      <c r="P420" s="567">
        <f t="shared" si="532"/>
        <v>0</v>
      </c>
      <c r="Q420" s="567">
        <f t="shared" si="532"/>
        <v>0</v>
      </c>
      <c r="R420" s="567">
        <f t="shared" si="532"/>
        <v>0</v>
      </c>
      <c r="S420" s="567">
        <f t="shared" si="532"/>
        <v>0</v>
      </c>
      <c r="T420" s="567">
        <f t="shared" si="532"/>
        <v>0</v>
      </c>
      <c r="U420" s="567">
        <f t="shared" si="532"/>
        <v>0</v>
      </c>
      <c r="V420" s="567">
        <f t="shared" si="532"/>
        <v>0</v>
      </c>
      <c r="W420" s="567">
        <f t="shared" si="532"/>
        <v>0</v>
      </c>
      <c r="X420" s="567">
        <f t="shared" si="532"/>
        <v>400</v>
      </c>
      <c r="Y420" s="567">
        <f t="shared" si="532"/>
        <v>344</v>
      </c>
      <c r="Z420" s="567">
        <f t="shared" si="532"/>
        <v>244</v>
      </c>
      <c r="AA420" s="567">
        <f t="shared" si="532"/>
        <v>75</v>
      </c>
      <c r="AB420" s="567">
        <f t="shared" si="532"/>
        <v>60</v>
      </c>
      <c r="AC420" s="567">
        <f t="shared" si="532"/>
        <v>45</v>
      </c>
      <c r="AD420" s="567">
        <f t="shared" si="532"/>
        <v>30</v>
      </c>
      <c r="AE420" s="567">
        <f t="shared" si="532"/>
        <v>15</v>
      </c>
      <c r="AF420" s="567">
        <f t="shared" si="532"/>
        <v>0</v>
      </c>
      <c r="AG420" s="567">
        <f t="shared" si="532"/>
        <v>0</v>
      </c>
      <c r="AH420" s="567">
        <f t="shared" si="532"/>
        <v>0</v>
      </c>
      <c r="AI420" s="567">
        <f t="shared" si="532"/>
        <v>0</v>
      </c>
      <c r="AJ420" s="567">
        <f t="shared" si="532"/>
        <v>0</v>
      </c>
      <c r="AK420" s="567">
        <f t="shared" si="532"/>
        <v>0</v>
      </c>
      <c r="AL420" s="567">
        <f t="shared" si="532"/>
        <v>0</v>
      </c>
      <c r="AM420" s="567">
        <f t="shared" si="532"/>
        <v>0</v>
      </c>
      <c r="AN420" s="567">
        <f t="shared" si="532"/>
        <v>0</v>
      </c>
      <c r="AO420" s="567">
        <f t="shared" si="532"/>
        <v>0</v>
      </c>
      <c r="AP420" s="567">
        <f t="shared" si="532"/>
        <v>0</v>
      </c>
      <c r="AQ420" s="567">
        <f t="shared" si="532"/>
        <v>0</v>
      </c>
      <c r="AR420" s="567">
        <f t="shared" si="532"/>
        <v>0</v>
      </c>
      <c r="AS420" s="567">
        <f t="shared" si="532"/>
        <v>0</v>
      </c>
    </row>
    <row r="421" spans="1:45" ht="15" customHeight="1" x14ac:dyDescent="0.3">
      <c r="A421" s="394"/>
      <c r="B421" s="394"/>
      <c r="C421" s="395"/>
      <c r="D421" s="34"/>
      <c r="E421" s="686" t="str">
        <f xml:space="preserve"> 'Inputs_ FS'!E$109</f>
        <v>Interest charge: FS</v>
      </c>
      <c r="F421" s="686">
        <f xml:space="preserve"> 'Inputs_ FS'!F$109</f>
        <v>0</v>
      </c>
      <c r="G421" s="686" t="str">
        <f xml:space="preserve"> 'Inputs_ FS'!G$109</f>
        <v>$ mn</v>
      </c>
      <c r="H421" s="686" t="str">
        <f xml:space="preserve"> 'Inputs_ FS'!H$109</f>
        <v>M</v>
      </c>
      <c r="I421" s="686">
        <f xml:space="preserve"> 'Inputs_ FS'!I$109</f>
        <v>39.111939999999997</v>
      </c>
      <c r="J421" s="686">
        <f xml:space="preserve"> 'Inputs_ FS'!J$109</f>
        <v>0</v>
      </c>
      <c r="K421" s="686">
        <f xml:space="preserve"> 'Inputs_ FS'!K$109</f>
        <v>0</v>
      </c>
      <c r="L421" s="686">
        <f xml:space="preserve"> 'Inputs_ FS'!L$109</f>
        <v>0</v>
      </c>
      <c r="M421" s="686">
        <f xml:space="preserve"> 'Inputs_ FS'!M$109</f>
        <v>0</v>
      </c>
      <c r="N421" s="686">
        <f xml:space="preserve"> 'Inputs_ FS'!N$109</f>
        <v>0</v>
      </c>
      <c r="O421" s="686">
        <f xml:space="preserve"> 'Inputs_ FS'!O$109</f>
        <v>0</v>
      </c>
      <c r="P421" s="686">
        <f xml:space="preserve"> 'Inputs_ FS'!P$109</f>
        <v>0</v>
      </c>
      <c r="Q421" s="686">
        <f xml:space="preserve"> 'Inputs_ FS'!Q$109</f>
        <v>0</v>
      </c>
      <c r="R421" s="686">
        <f xml:space="preserve"> 'Inputs_ FS'!R$109</f>
        <v>0</v>
      </c>
      <c r="S421" s="686">
        <f xml:space="preserve"> 'Inputs_ FS'!S$109</f>
        <v>0</v>
      </c>
      <c r="T421" s="686">
        <f xml:space="preserve"> 'Inputs_ FS'!T$109</f>
        <v>0</v>
      </c>
      <c r="U421" s="686">
        <f xml:space="preserve"> 'Inputs_ FS'!U$109</f>
        <v>0</v>
      </c>
      <c r="V421" s="686">
        <f xml:space="preserve"> 'Inputs_ FS'!V$109</f>
        <v>0</v>
      </c>
      <c r="W421" s="686">
        <f xml:space="preserve"> 'Inputs_ FS'!W$109</f>
        <v>0</v>
      </c>
      <c r="X421" s="686">
        <f xml:space="preserve"> 'Inputs_ FS'!X$109</f>
        <v>8.7219999999999995</v>
      </c>
      <c r="Y421" s="686">
        <f xml:space="preserve"> 'Inputs_ FS'!Y$109</f>
        <v>12.85872</v>
      </c>
      <c r="Z421" s="686">
        <f xml:space="preserve"> 'Inputs_ FS'!Z$109</f>
        <v>9.1207200000000004</v>
      </c>
      <c r="AA421" s="686">
        <f xml:space="preserve"> 'Inputs_ FS'!AA$109</f>
        <v>2.8035000000000001</v>
      </c>
      <c r="AB421" s="686">
        <f xml:space="preserve"> 'Inputs_ FS'!AB$109</f>
        <v>2.2427999999999999</v>
      </c>
      <c r="AC421" s="686">
        <f xml:space="preserve"> 'Inputs_ FS'!AC$109</f>
        <v>1.6820999999999999</v>
      </c>
      <c r="AD421" s="686">
        <f xml:space="preserve"> 'Inputs_ FS'!AD$109</f>
        <v>1.1214</v>
      </c>
      <c r="AE421" s="686">
        <f xml:space="preserve"> 'Inputs_ FS'!AE$109</f>
        <v>0.56069999999999998</v>
      </c>
      <c r="AF421" s="686">
        <f xml:space="preserve"> 'Inputs_ FS'!AF$109</f>
        <v>0</v>
      </c>
      <c r="AG421" s="686">
        <f xml:space="preserve"> 'Inputs_ FS'!AG$109</f>
        <v>0</v>
      </c>
      <c r="AH421" s="686">
        <f xml:space="preserve"> 'Inputs_ FS'!AH$109</f>
        <v>0</v>
      </c>
      <c r="AI421" s="686">
        <f xml:space="preserve"> 'Inputs_ FS'!AI$109</f>
        <v>0</v>
      </c>
      <c r="AJ421" s="686">
        <f xml:space="preserve"> 'Inputs_ FS'!AJ$109</f>
        <v>0</v>
      </c>
      <c r="AK421" s="686">
        <f xml:space="preserve"> 'Inputs_ FS'!AK$109</f>
        <v>0</v>
      </c>
      <c r="AL421" s="686">
        <f xml:space="preserve"> 'Inputs_ FS'!AL$109</f>
        <v>0</v>
      </c>
      <c r="AM421" s="686">
        <f xml:space="preserve"> 'Inputs_ FS'!AM$109</f>
        <v>0</v>
      </c>
      <c r="AN421" s="686">
        <f xml:space="preserve"> 'Inputs_ FS'!AN$109</f>
        <v>0</v>
      </c>
      <c r="AO421" s="686">
        <f xml:space="preserve"> 'Inputs_ FS'!AO$109</f>
        <v>0</v>
      </c>
      <c r="AP421" s="686">
        <f xml:space="preserve"> 'Inputs_ FS'!AP$109</f>
        <v>0</v>
      </c>
      <c r="AQ421" s="686">
        <f xml:space="preserve"> 'Inputs_ FS'!AQ$109</f>
        <v>0</v>
      </c>
      <c r="AR421" s="686">
        <f xml:space="preserve"> 'Inputs_ FS'!AR$109</f>
        <v>0</v>
      </c>
      <c r="AS421" s="686">
        <f xml:space="preserve"> 'Inputs_ FS'!AS$109</f>
        <v>0</v>
      </c>
    </row>
    <row r="422" spans="1:45" ht="15" customHeight="1" x14ac:dyDescent="0.3">
      <c r="A422" s="394"/>
      <c r="B422" s="394"/>
      <c r="C422" s="395"/>
      <c r="D422" s="34"/>
      <c r="E422" s="568" t="str">
        <f xml:space="preserve"> E$396</f>
        <v>Interest bearing drawdowns</v>
      </c>
      <c r="F422" s="568">
        <f t="shared" ref="F422:I422" si="533" xml:space="preserve"> F$396</f>
        <v>0</v>
      </c>
      <c r="G422" s="568" t="str">
        <f t="shared" si="533"/>
        <v>$ mn</v>
      </c>
      <c r="H422" s="568">
        <f t="shared" si="533"/>
        <v>0</v>
      </c>
      <c r="I422" s="568">
        <f t="shared" si="533"/>
        <v>400</v>
      </c>
      <c r="J422" s="34"/>
      <c r="K422" s="568">
        <f t="shared" ref="K422:O422" si="534" xml:space="preserve"> K$396</f>
        <v>0</v>
      </c>
      <c r="L422" s="568">
        <f t="shared" si="534"/>
        <v>0</v>
      </c>
      <c r="M422" s="568">
        <f t="shared" si="534"/>
        <v>0</v>
      </c>
      <c r="N422" s="568">
        <f t="shared" si="534"/>
        <v>0</v>
      </c>
      <c r="O422" s="568">
        <f t="shared" si="534"/>
        <v>0</v>
      </c>
      <c r="P422" s="568">
        <f t="shared" ref="P422:AS422" si="535" xml:space="preserve"> P$396</f>
        <v>0</v>
      </c>
      <c r="Q422" s="568">
        <f t="shared" si="535"/>
        <v>0</v>
      </c>
      <c r="R422" s="568">
        <f t="shared" si="535"/>
        <v>0</v>
      </c>
      <c r="S422" s="568">
        <f t="shared" si="535"/>
        <v>0</v>
      </c>
      <c r="T422" s="568">
        <f t="shared" si="535"/>
        <v>0</v>
      </c>
      <c r="U422" s="568">
        <f t="shared" si="535"/>
        <v>0</v>
      </c>
      <c r="V422" s="568">
        <f t="shared" si="535"/>
        <v>0</v>
      </c>
      <c r="W422" s="568">
        <f t="shared" si="535"/>
        <v>400</v>
      </c>
      <c r="X422" s="568">
        <f t="shared" si="535"/>
        <v>0</v>
      </c>
      <c r="Y422" s="568">
        <f t="shared" si="535"/>
        <v>0</v>
      </c>
      <c r="Z422" s="568">
        <f t="shared" si="535"/>
        <v>0</v>
      </c>
      <c r="AA422" s="568">
        <f t="shared" si="535"/>
        <v>0</v>
      </c>
      <c r="AB422" s="568">
        <f t="shared" si="535"/>
        <v>0</v>
      </c>
      <c r="AC422" s="568">
        <f t="shared" si="535"/>
        <v>0</v>
      </c>
      <c r="AD422" s="568">
        <f t="shared" si="535"/>
        <v>0</v>
      </c>
      <c r="AE422" s="568">
        <f t="shared" si="535"/>
        <v>0</v>
      </c>
      <c r="AF422" s="568">
        <f t="shared" si="535"/>
        <v>0</v>
      </c>
      <c r="AG422" s="568">
        <f t="shared" si="535"/>
        <v>0</v>
      </c>
      <c r="AH422" s="568">
        <f t="shared" si="535"/>
        <v>0</v>
      </c>
      <c r="AI422" s="568">
        <f t="shared" si="535"/>
        <v>0</v>
      </c>
      <c r="AJ422" s="568">
        <f t="shared" si="535"/>
        <v>0</v>
      </c>
      <c r="AK422" s="568">
        <f t="shared" si="535"/>
        <v>0</v>
      </c>
      <c r="AL422" s="568">
        <f t="shared" si="535"/>
        <v>0</v>
      </c>
      <c r="AM422" s="568">
        <f t="shared" si="535"/>
        <v>0</v>
      </c>
      <c r="AN422" s="568">
        <f t="shared" si="535"/>
        <v>0</v>
      </c>
      <c r="AO422" s="568">
        <f t="shared" si="535"/>
        <v>0</v>
      </c>
      <c r="AP422" s="568">
        <f t="shared" si="535"/>
        <v>0</v>
      </c>
      <c r="AQ422" s="568">
        <f t="shared" si="535"/>
        <v>0</v>
      </c>
      <c r="AR422" s="568">
        <f t="shared" si="535"/>
        <v>0</v>
      </c>
      <c r="AS422" s="568">
        <f t="shared" si="535"/>
        <v>0</v>
      </c>
    </row>
    <row r="423" spans="1:45" s="143" customFormat="1" ht="15" customHeight="1" x14ac:dyDescent="0.3">
      <c r="A423" s="180"/>
      <c r="B423" s="180"/>
      <c r="C423" s="181"/>
      <c r="D423" s="36"/>
      <c r="E423" s="275" t="str">
        <f xml:space="preserve"> E$405</f>
        <v>Total interest repayments</v>
      </c>
      <c r="F423" s="275">
        <f t="shared" ref="F423:AS423" si="536" xml:space="preserve"> F$405</f>
        <v>0</v>
      </c>
      <c r="G423" s="275" t="str">
        <f t="shared" si="536"/>
        <v>$ mn</v>
      </c>
      <c r="H423" s="275">
        <f t="shared" si="536"/>
        <v>0</v>
      </c>
      <c r="I423" s="275">
        <f t="shared" si="536"/>
        <v>39.111940000000004</v>
      </c>
      <c r="J423" s="275">
        <f t="shared" si="536"/>
        <v>0</v>
      </c>
      <c r="K423" s="275">
        <f t="shared" si="536"/>
        <v>0</v>
      </c>
      <c r="L423" s="275">
        <f t="shared" si="536"/>
        <v>0</v>
      </c>
      <c r="M423" s="275">
        <f t="shared" si="536"/>
        <v>0</v>
      </c>
      <c r="N423" s="275">
        <f t="shared" si="536"/>
        <v>0</v>
      </c>
      <c r="O423" s="275">
        <f xml:space="preserve"> O$405</f>
        <v>0</v>
      </c>
      <c r="P423" s="275">
        <f t="shared" si="536"/>
        <v>0</v>
      </c>
      <c r="Q423" s="275">
        <f t="shared" si="536"/>
        <v>0</v>
      </c>
      <c r="R423" s="275">
        <f t="shared" si="536"/>
        <v>0</v>
      </c>
      <c r="S423" s="275">
        <f t="shared" si="536"/>
        <v>0</v>
      </c>
      <c r="T423" s="275">
        <f t="shared" si="536"/>
        <v>0</v>
      </c>
      <c r="U423" s="275">
        <f t="shared" si="536"/>
        <v>0</v>
      </c>
      <c r="V423" s="275">
        <f t="shared" si="536"/>
        <v>0</v>
      </c>
      <c r="W423" s="275">
        <f t="shared" si="536"/>
        <v>0</v>
      </c>
      <c r="X423" s="275">
        <f t="shared" si="536"/>
        <v>8.7219999999999995</v>
      </c>
      <c r="Y423" s="275">
        <f t="shared" si="536"/>
        <v>12.85872</v>
      </c>
      <c r="Z423" s="275">
        <f t="shared" si="536"/>
        <v>9.1207199999999986</v>
      </c>
      <c r="AA423" s="275">
        <f t="shared" si="536"/>
        <v>2.8035000000000001</v>
      </c>
      <c r="AB423" s="275">
        <f t="shared" si="536"/>
        <v>2.2427999999999999</v>
      </c>
      <c r="AC423" s="275">
        <f t="shared" si="536"/>
        <v>1.6820999999999999</v>
      </c>
      <c r="AD423" s="275">
        <f t="shared" si="536"/>
        <v>1.1214</v>
      </c>
      <c r="AE423" s="275">
        <f t="shared" si="536"/>
        <v>0.56070000000000064</v>
      </c>
      <c r="AF423" s="275">
        <f t="shared" si="536"/>
        <v>0</v>
      </c>
      <c r="AG423" s="275">
        <f t="shared" si="536"/>
        <v>0</v>
      </c>
      <c r="AH423" s="275">
        <f t="shared" si="536"/>
        <v>0</v>
      </c>
      <c r="AI423" s="275">
        <f t="shared" si="536"/>
        <v>0</v>
      </c>
      <c r="AJ423" s="275">
        <f t="shared" si="536"/>
        <v>0</v>
      </c>
      <c r="AK423" s="275">
        <f t="shared" si="536"/>
        <v>0</v>
      </c>
      <c r="AL423" s="275">
        <f t="shared" si="536"/>
        <v>0</v>
      </c>
      <c r="AM423" s="275">
        <f t="shared" si="536"/>
        <v>0</v>
      </c>
      <c r="AN423" s="275">
        <f t="shared" si="536"/>
        <v>0</v>
      </c>
      <c r="AO423" s="275">
        <f t="shared" si="536"/>
        <v>0</v>
      </c>
      <c r="AP423" s="275">
        <f t="shared" si="536"/>
        <v>0</v>
      </c>
      <c r="AQ423" s="275">
        <f t="shared" si="536"/>
        <v>0</v>
      </c>
      <c r="AR423" s="275">
        <f t="shared" si="536"/>
        <v>0</v>
      </c>
      <c r="AS423" s="275">
        <f t="shared" si="536"/>
        <v>0</v>
      </c>
    </row>
    <row r="424" spans="1:45" ht="15" customHeight="1" x14ac:dyDescent="0.3">
      <c r="A424" s="394"/>
      <c r="B424" s="394"/>
      <c r="C424" s="395"/>
      <c r="D424" s="34"/>
      <c r="E424" s="568" t="s">
        <v>468</v>
      </c>
      <c r="F424" s="568"/>
      <c r="G424" s="568" t="s">
        <v>346</v>
      </c>
      <c r="H424" s="569"/>
      <c r="I424" s="569">
        <f>SUM(K424:AS424)</f>
        <v>400</v>
      </c>
      <c r="J424" s="34"/>
      <c r="K424" s="540">
        <f>K384 + K389</f>
        <v>0</v>
      </c>
      <c r="L424" s="540">
        <f t="shared" ref="L424:AS424" si="537">L384 + L389</f>
        <v>0</v>
      </c>
      <c r="M424" s="540">
        <f t="shared" si="537"/>
        <v>0</v>
      </c>
      <c r="N424" s="540">
        <f t="shared" si="537"/>
        <v>0</v>
      </c>
      <c r="O424" s="540">
        <f t="shared" si="537"/>
        <v>0</v>
      </c>
      <c r="P424" s="540">
        <f t="shared" si="537"/>
        <v>0</v>
      </c>
      <c r="Q424" s="540">
        <f t="shared" si="537"/>
        <v>0</v>
      </c>
      <c r="R424" s="540">
        <f t="shared" si="537"/>
        <v>0</v>
      </c>
      <c r="S424" s="540">
        <f t="shared" si="537"/>
        <v>0</v>
      </c>
      <c r="T424" s="540">
        <f t="shared" si="537"/>
        <v>0</v>
      </c>
      <c r="U424" s="540">
        <f t="shared" si="537"/>
        <v>0</v>
      </c>
      <c r="V424" s="540">
        <f t="shared" si="537"/>
        <v>0</v>
      </c>
      <c r="W424" s="540">
        <f t="shared" si="537"/>
        <v>0</v>
      </c>
      <c r="X424" s="540">
        <f t="shared" si="537"/>
        <v>56</v>
      </c>
      <c r="Y424" s="540">
        <f t="shared" si="537"/>
        <v>100</v>
      </c>
      <c r="Z424" s="540">
        <f t="shared" si="537"/>
        <v>169</v>
      </c>
      <c r="AA424" s="540">
        <f t="shared" si="537"/>
        <v>15</v>
      </c>
      <c r="AB424" s="540">
        <f t="shared" si="537"/>
        <v>15</v>
      </c>
      <c r="AC424" s="540">
        <f t="shared" si="537"/>
        <v>15</v>
      </c>
      <c r="AD424" s="540">
        <f t="shared" si="537"/>
        <v>15</v>
      </c>
      <c r="AE424" s="540">
        <f t="shared" si="537"/>
        <v>15</v>
      </c>
      <c r="AF424" s="540">
        <f t="shared" si="537"/>
        <v>0</v>
      </c>
      <c r="AG424" s="540">
        <f t="shared" si="537"/>
        <v>0</v>
      </c>
      <c r="AH424" s="540">
        <f t="shared" si="537"/>
        <v>0</v>
      </c>
      <c r="AI424" s="540">
        <f t="shared" si="537"/>
        <v>0</v>
      </c>
      <c r="AJ424" s="540">
        <f t="shared" si="537"/>
        <v>0</v>
      </c>
      <c r="AK424" s="540">
        <f t="shared" si="537"/>
        <v>0</v>
      </c>
      <c r="AL424" s="540">
        <f t="shared" si="537"/>
        <v>0</v>
      </c>
      <c r="AM424" s="540">
        <f t="shared" si="537"/>
        <v>0</v>
      </c>
      <c r="AN424" s="540">
        <f t="shared" si="537"/>
        <v>0</v>
      </c>
      <c r="AO424" s="540">
        <f t="shared" si="537"/>
        <v>0</v>
      </c>
      <c r="AP424" s="540">
        <f t="shared" si="537"/>
        <v>0</v>
      </c>
      <c r="AQ424" s="540">
        <f t="shared" si="537"/>
        <v>0</v>
      </c>
      <c r="AR424" s="540">
        <f t="shared" si="537"/>
        <v>0</v>
      </c>
      <c r="AS424" s="540">
        <f t="shared" si="537"/>
        <v>0</v>
      </c>
    </row>
    <row r="425" spans="1:45" ht="15" customHeight="1" x14ac:dyDescent="0.3">
      <c r="A425" s="394"/>
      <c r="B425" s="394"/>
      <c r="C425" s="395"/>
      <c r="D425" s="34"/>
      <c r="E425" s="570" t="s">
        <v>349</v>
      </c>
      <c r="F425" s="570"/>
      <c r="G425" s="570" t="s">
        <v>346</v>
      </c>
      <c r="H425" s="571"/>
      <c r="I425" s="571"/>
      <c r="J425" s="34"/>
      <c r="K425" s="572">
        <f>K420 + K421 + K422 - K423 - K424</f>
        <v>0</v>
      </c>
      <c r="L425" s="572">
        <f t="shared" ref="L425:AS425" si="538">L420 + L421 + L422 - L423 - L424</f>
        <v>0</v>
      </c>
      <c r="M425" s="572">
        <f t="shared" si="538"/>
        <v>0</v>
      </c>
      <c r="N425" s="572">
        <f t="shared" si="538"/>
        <v>0</v>
      </c>
      <c r="O425" s="572">
        <f t="shared" si="538"/>
        <v>0</v>
      </c>
      <c r="P425" s="572">
        <f t="shared" si="538"/>
        <v>0</v>
      </c>
      <c r="Q425" s="572">
        <f t="shared" si="538"/>
        <v>0</v>
      </c>
      <c r="R425" s="572">
        <f t="shared" si="538"/>
        <v>0</v>
      </c>
      <c r="S425" s="572">
        <f t="shared" si="538"/>
        <v>0</v>
      </c>
      <c r="T425" s="572">
        <f t="shared" si="538"/>
        <v>0</v>
      </c>
      <c r="U425" s="572">
        <f>U420 + U421 + U422 - U423 - U424</f>
        <v>0</v>
      </c>
      <c r="V425" s="572">
        <f t="shared" si="538"/>
        <v>0</v>
      </c>
      <c r="W425" s="572">
        <f t="shared" si="538"/>
        <v>400</v>
      </c>
      <c r="X425" s="572">
        <f t="shared" si="538"/>
        <v>344</v>
      </c>
      <c r="Y425" s="572">
        <f t="shared" si="538"/>
        <v>244</v>
      </c>
      <c r="Z425" s="572">
        <f t="shared" si="538"/>
        <v>75</v>
      </c>
      <c r="AA425" s="572">
        <f t="shared" si="538"/>
        <v>60</v>
      </c>
      <c r="AB425" s="572">
        <f t="shared" si="538"/>
        <v>45</v>
      </c>
      <c r="AC425" s="572">
        <f t="shared" si="538"/>
        <v>30</v>
      </c>
      <c r="AD425" s="572">
        <f t="shared" si="538"/>
        <v>15</v>
      </c>
      <c r="AE425" s="572">
        <f t="shared" si="538"/>
        <v>0</v>
      </c>
      <c r="AF425" s="572">
        <f t="shared" si="538"/>
        <v>0</v>
      </c>
      <c r="AG425" s="572">
        <f t="shared" si="538"/>
        <v>0</v>
      </c>
      <c r="AH425" s="572">
        <f t="shared" si="538"/>
        <v>0</v>
      </c>
      <c r="AI425" s="572">
        <f t="shared" si="538"/>
        <v>0</v>
      </c>
      <c r="AJ425" s="572">
        <f t="shared" si="538"/>
        <v>0</v>
      </c>
      <c r="AK425" s="572">
        <f t="shared" si="538"/>
        <v>0</v>
      </c>
      <c r="AL425" s="572">
        <f t="shared" si="538"/>
        <v>0</v>
      </c>
      <c r="AM425" s="572">
        <f t="shared" si="538"/>
        <v>0</v>
      </c>
      <c r="AN425" s="572">
        <f t="shared" si="538"/>
        <v>0</v>
      </c>
      <c r="AO425" s="572">
        <f t="shared" si="538"/>
        <v>0</v>
      </c>
      <c r="AP425" s="572">
        <f t="shared" si="538"/>
        <v>0</v>
      </c>
      <c r="AQ425" s="572">
        <f t="shared" si="538"/>
        <v>0</v>
      </c>
      <c r="AR425" s="572">
        <f t="shared" si="538"/>
        <v>0</v>
      </c>
      <c r="AS425" s="572">
        <f t="shared" si="538"/>
        <v>0</v>
      </c>
    </row>
    <row r="426" spans="1:45" ht="15" customHeight="1" x14ac:dyDescent="0.3">
      <c r="I426" s="291"/>
      <c r="J426" s="42"/>
      <c r="AL426" s="290"/>
      <c r="AM426" s="290"/>
      <c r="AN426" s="290"/>
      <c r="AO426" s="290"/>
      <c r="AP426" s="290"/>
      <c r="AQ426" s="290"/>
      <c r="AR426" s="290"/>
      <c r="AS426" s="290"/>
    </row>
    <row r="427" spans="1:45" ht="15" customHeight="1" x14ac:dyDescent="0.3">
      <c r="A427" s="112"/>
      <c r="B427" s="112"/>
      <c r="C427" s="113" t="s">
        <v>471</v>
      </c>
      <c r="D427" s="42"/>
      <c r="E427" s="42"/>
      <c r="F427" s="74"/>
      <c r="G427" s="42"/>
      <c r="H427" s="116"/>
      <c r="I427" s="116"/>
      <c r="J427" s="42"/>
      <c r="K427" s="42"/>
      <c r="L427" s="42"/>
      <c r="M427" s="42"/>
      <c r="N427" s="42"/>
      <c r="O427" s="42"/>
      <c r="P427" s="42"/>
      <c r="Q427" s="42"/>
      <c r="R427" s="42"/>
      <c r="S427" s="42"/>
      <c r="T427" s="42"/>
      <c r="U427" s="42"/>
      <c r="V427" s="42"/>
      <c r="W427" s="42"/>
      <c r="X427" s="42"/>
      <c r="Y427" s="42"/>
      <c r="Z427" s="42"/>
      <c r="AA427" s="42"/>
      <c r="AB427" s="42"/>
      <c r="AC427" s="42"/>
      <c r="AD427" s="42"/>
      <c r="AE427" s="42"/>
      <c r="AF427" s="42"/>
      <c r="AG427" s="42"/>
      <c r="AH427" s="42"/>
      <c r="AI427" s="42"/>
      <c r="AJ427" s="42"/>
      <c r="AK427" s="42"/>
      <c r="AL427" s="42"/>
      <c r="AM427" s="42"/>
      <c r="AN427" s="42"/>
      <c r="AO427" s="42"/>
      <c r="AP427" s="42"/>
      <c r="AQ427" s="42"/>
      <c r="AR427" s="42"/>
      <c r="AS427" s="42"/>
    </row>
    <row r="428" spans="1:45" ht="15" customHeight="1" x14ac:dyDescent="0.3">
      <c r="A428" s="150"/>
      <c r="B428" s="150"/>
      <c r="C428" s="151"/>
      <c r="D428" s="104"/>
      <c r="E428" s="358" t="str">
        <f xml:space="preserve"> E$292</f>
        <v>Model calendar year</v>
      </c>
      <c r="F428" s="358">
        <f t="shared" ref="F428:I428" si="539" xml:space="preserve"> F$292</f>
        <v>0</v>
      </c>
      <c r="G428" s="358">
        <f t="shared" si="539"/>
        <v>0</v>
      </c>
      <c r="H428" s="358">
        <f t="shared" si="539"/>
        <v>0</v>
      </c>
      <c r="I428" s="358">
        <f t="shared" si="539"/>
        <v>0</v>
      </c>
      <c r="J428" s="42"/>
      <c r="K428" s="358">
        <f t="shared" ref="K428:O428" si="540" xml:space="preserve"> K$292</f>
        <v>2006</v>
      </c>
      <c r="L428" s="358">
        <f t="shared" si="540"/>
        <v>2007</v>
      </c>
      <c r="M428" s="358">
        <f t="shared" si="540"/>
        <v>2008</v>
      </c>
      <c r="N428" s="358">
        <f t="shared" si="540"/>
        <v>2009</v>
      </c>
      <c r="O428" s="358">
        <f t="shared" si="540"/>
        <v>2010</v>
      </c>
      <c r="P428" s="358">
        <f t="shared" ref="P428:AS428" si="541" xml:space="preserve"> P$292</f>
        <v>2011</v>
      </c>
      <c r="Q428" s="358">
        <f t="shared" si="541"/>
        <v>2012</v>
      </c>
      <c r="R428" s="358">
        <f t="shared" si="541"/>
        <v>2013</v>
      </c>
      <c r="S428" s="358">
        <f t="shared" si="541"/>
        <v>2014</v>
      </c>
      <c r="T428" s="358">
        <f t="shared" si="541"/>
        <v>2015</v>
      </c>
      <c r="U428" s="358">
        <f t="shared" si="541"/>
        <v>2016</v>
      </c>
      <c r="V428" s="358">
        <f t="shared" si="541"/>
        <v>2017</v>
      </c>
      <c r="W428" s="358">
        <f t="shared" si="541"/>
        <v>2018</v>
      </c>
      <c r="X428" s="358">
        <f t="shared" si="541"/>
        <v>2019</v>
      </c>
      <c r="Y428" s="358">
        <f t="shared" si="541"/>
        <v>2020</v>
      </c>
      <c r="Z428" s="358">
        <f t="shared" si="541"/>
        <v>2021</v>
      </c>
      <c r="AA428" s="358">
        <f t="shared" si="541"/>
        <v>2022</v>
      </c>
      <c r="AB428" s="358">
        <f t="shared" si="541"/>
        <v>2023</v>
      </c>
      <c r="AC428" s="358">
        <f t="shared" si="541"/>
        <v>2024</v>
      </c>
      <c r="AD428" s="358">
        <f t="shared" si="541"/>
        <v>2025</v>
      </c>
      <c r="AE428" s="358">
        <f t="shared" si="541"/>
        <v>2026</v>
      </c>
      <c r="AF428" s="358">
        <f t="shared" si="541"/>
        <v>2027</v>
      </c>
      <c r="AG428" s="358">
        <f t="shared" si="541"/>
        <v>2028</v>
      </c>
      <c r="AH428" s="358">
        <f t="shared" si="541"/>
        <v>2029</v>
      </c>
      <c r="AI428" s="358">
        <f t="shared" si="541"/>
        <v>2030</v>
      </c>
      <c r="AJ428" s="358">
        <f t="shared" si="541"/>
        <v>2031</v>
      </c>
      <c r="AK428" s="358">
        <f t="shared" si="541"/>
        <v>2032</v>
      </c>
      <c r="AL428" s="358">
        <f t="shared" si="541"/>
        <v>2033</v>
      </c>
      <c r="AM428" s="358">
        <f t="shared" si="541"/>
        <v>2034</v>
      </c>
      <c r="AN428" s="358">
        <f t="shared" si="541"/>
        <v>2035</v>
      </c>
      <c r="AO428" s="358">
        <f t="shared" si="541"/>
        <v>2036</v>
      </c>
      <c r="AP428" s="358">
        <f t="shared" si="541"/>
        <v>2037</v>
      </c>
      <c r="AQ428" s="358">
        <f t="shared" si="541"/>
        <v>2038</v>
      </c>
      <c r="AR428" s="358">
        <f t="shared" si="541"/>
        <v>2039</v>
      </c>
      <c r="AS428" s="358">
        <f t="shared" si="541"/>
        <v>2040</v>
      </c>
    </row>
    <row r="429" spans="1:45" ht="15" customHeight="1" x14ac:dyDescent="0.3">
      <c r="A429" s="112"/>
      <c r="B429" s="112"/>
      <c r="C429" s="113"/>
      <c r="D429" s="42"/>
      <c r="E429" s="274" t="s">
        <v>345</v>
      </c>
      <c r="F429" s="274"/>
      <c r="G429" s="274" t="s">
        <v>346</v>
      </c>
      <c r="H429" s="134"/>
      <c r="I429" s="134"/>
      <c r="J429" s="42"/>
      <c r="K429" s="107">
        <f>J433</f>
        <v>0</v>
      </c>
      <c r="L429" s="107">
        <f t="shared" ref="L429:AS429" si="542">K433</f>
        <v>-8</v>
      </c>
      <c r="M429" s="107">
        <f t="shared" si="542"/>
        <v>-15.29904</v>
      </c>
      <c r="N429" s="107">
        <f t="shared" si="542"/>
        <v>-21.870918115199999</v>
      </c>
      <c r="O429" s="107">
        <f t="shared" si="542"/>
        <v>-27.688453034346175</v>
      </c>
      <c r="P429" s="107">
        <f t="shared" si="542"/>
        <v>-32.723447408770035</v>
      </c>
      <c r="Q429" s="107">
        <f t="shared" si="542"/>
        <v>-36.946649872909859</v>
      </c>
      <c r="R429" s="107">
        <f t="shared" si="542"/>
        <v>-40.32771564515923</v>
      </c>
      <c r="S429" s="107">
        <f t="shared" si="542"/>
        <v>-42.835165655975281</v>
      </c>
      <c r="T429" s="107">
        <f t="shared" si="542"/>
        <v>-44.436344148195637</v>
      </c>
      <c r="U429" s="107">
        <f t="shared" si="542"/>
        <v>-46.09737469245519</v>
      </c>
      <c r="V429" s="107">
        <f t="shared" si="542"/>
        <v>-47.820494558459167</v>
      </c>
      <c r="W429" s="107">
        <f t="shared" si="542"/>
        <v>-49.608024645054371</v>
      </c>
      <c r="X429" s="107">
        <f t="shared" si="542"/>
        <v>148.53762739371351</v>
      </c>
      <c r="Y429" s="107">
        <f t="shared" si="542"/>
        <v>123.72896390569052</v>
      </c>
      <c r="Z429" s="107">
        <f t="shared" si="542"/>
        <v>71.849832576485227</v>
      </c>
      <c r="AA429" s="107">
        <f t="shared" si="542"/>
        <v>20.900459318194237</v>
      </c>
      <c r="AB429" s="107">
        <f t="shared" si="542"/>
        <v>3.8782184875083381</v>
      </c>
      <c r="AC429" s="107">
        <f t="shared" si="542"/>
        <v>-13.2196137054286</v>
      </c>
      <c r="AD429" s="107">
        <f t="shared" si="542"/>
        <v>-30.39586286573752</v>
      </c>
      <c r="AE429" s="107">
        <f t="shared" si="542"/>
        <v>-47.65346021965879</v>
      </c>
      <c r="AF429" s="107">
        <f t="shared" si="542"/>
        <v>-64.995446562669642</v>
      </c>
      <c r="AG429" s="107">
        <f t="shared" si="542"/>
        <v>-67.424976355182238</v>
      </c>
      <c r="AH429" s="107">
        <f t="shared" si="542"/>
        <v>-69.945321971338956</v>
      </c>
      <c r="AI429" s="107">
        <f t="shared" si="542"/>
        <v>-72.559878106627608</v>
      </c>
      <c r="AJ429" s="107">
        <f t="shared" si="542"/>
        <v>-75.272166350253343</v>
      </c>
      <c r="AK429" s="107">
        <f t="shared" si="542"/>
        <v>-78.085839928425813</v>
      </c>
      <c r="AL429" s="107">
        <f t="shared" si="542"/>
        <v>-81.004688624950376</v>
      </c>
      <c r="AM429" s="107">
        <f t="shared" si="542"/>
        <v>-84.032643885751014</v>
      </c>
      <c r="AN429" s="107">
        <f t="shared" si="542"/>
        <v>-87.173784114200387</v>
      </c>
      <c r="AO429" s="107">
        <f t="shared" si="542"/>
        <v>-90.432340164389203</v>
      </c>
      <c r="AP429" s="107">
        <f t="shared" si="542"/>
        <v>-93.812701039734065</v>
      </c>
      <c r="AQ429" s="107">
        <f t="shared" si="542"/>
        <v>-97.31941980459932</v>
      </c>
      <c r="AR429" s="107">
        <f t="shared" si="542"/>
        <v>-99.957219716895239</v>
      </c>
      <c r="AS429" s="107">
        <f t="shared" si="542"/>
        <v>-101.69362058991278</v>
      </c>
    </row>
    <row r="430" spans="1:45" ht="15" customHeight="1" x14ac:dyDescent="0.3">
      <c r="A430" s="112"/>
      <c r="B430" s="112"/>
      <c r="C430" s="113"/>
      <c r="D430" s="42"/>
      <c r="E430" s="275" t="s">
        <v>347</v>
      </c>
      <c r="F430" s="275">
        <f xml:space="preserve"> SUM(T430:AV430)</f>
        <v>-40.147843979368083</v>
      </c>
      <c r="G430" s="275" t="s">
        <v>346</v>
      </c>
      <c r="H430" s="131"/>
      <c r="I430" s="131"/>
      <c r="J430" s="42"/>
      <c r="K430" s="106">
        <f t="shared" ref="K430:O430" si="543">K429 * $F361 * $F378</f>
        <v>0</v>
      </c>
      <c r="L430" s="106">
        <f t="shared" si="543"/>
        <v>-0.29903999999999997</v>
      </c>
      <c r="M430" s="106">
        <f t="shared" si="543"/>
        <v>-0.57187811519999998</v>
      </c>
      <c r="N430" s="106">
        <f t="shared" si="543"/>
        <v>-0.81753491914617604</v>
      </c>
      <c r="O430" s="106">
        <f t="shared" si="543"/>
        <v>-1.0349943744238599</v>
      </c>
      <c r="P430" s="106">
        <f t="shared" ref="P430:AS430" si="544">P429 * $F361 * $F378</f>
        <v>-1.2232024641398238</v>
      </c>
      <c r="Q430" s="106">
        <f t="shared" si="544"/>
        <v>-1.3810657722493707</v>
      </c>
      <c r="R430" s="106">
        <f t="shared" si="544"/>
        <v>-1.507450010816052</v>
      </c>
      <c r="S430" s="106">
        <f t="shared" si="544"/>
        <v>-1.601178492220356</v>
      </c>
      <c r="T430" s="106">
        <f t="shared" si="544"/>
        <v>-1.661030544259553</v>
      </c>
      <c r="U430" s="106">
        <f t="shared" si="544"/>
        <v>-1.7231198660039748</v>
      </c>
      <c r="V430" s="106">
        <f t="shared" si="544"/>
        <v>-1.7875300865952037</v>
      </c>
      <c r="W430" s="106">
        <f t="shared" si="544"/>
        <v>-1.8543479612321323</v>
      </c>
      <c r="X430" s="106">
        <f t="shared" si="544"/>
        <v>5.5523365119770105</v>
      </c>
      <c r="Y430" s="106">
        <f t="shared" si="544"/>
        <v>4.6249886707947114</v>
      </c>
      <c r="Z430" s="106">
        <f t="shared" si="544"/>
        <v>2.6857467417090177</v>
      </c>
      <c r="AA430" s="106">
        <f t="shared" si="544"/>
        <v>0.78125916931410055</v>
      </c>
      <c r="AB430" s="106">
        <f t="shared" si="544"/>
        <v>0.14496780706306167</v>
      </c>
      <c r="AC430" s="106">
        <f t="shared" si="544"/>
        <v>-0.49414916030892109</v>
      </c>
      <c r="AD430" s="106">
        <f t="shared" si="544"/>
        <v>-1.1361973539212686</v>
      </c>
      <c r="AE430" s="106">
        <f t="shared" si="544"/>
        <v>-1.7812863430108454</v>
      </c>
      <c r="AF430" s="106">
        <f t="shared" si="544"/>
        <v>-2.4295297925125912</v>
      </c>
      <c r="AG430" s="106">
        <f t="shared" si="544"/>
        <v>-2.5203456161567122</v>
      </c>
      <c r="AH430" s="106">
        <f t="shared" si="544"/>
        <v>-2.6145561352886499</v>
      </c>
      <c r="AI430" s="106">
        <f t="shared" si="544"/>
        <v>-2.7122882436257396</v>
      </c>
      <c r="AJ430" s="106">
        <f t="shared" si="544"/>
        <v>-2.8136735781724695</v>
      </c>
      <c r="AK430" s="106">
        <f t="shared" si="544"/>
        <v>-2.9188486965245568</v>
      </c>
      <c r="AL430" s="106">
        <f t="shared" si="544"/>
        <v>-3.027955260800645</v>
      </c>
      <c r="AM430" s="106">
        <f t="shared" si="544"/>
        <v>-3.1411402284493728</v>
      </c>
      <c r="AN430" s="106">
        <f t="shared" si="544"/>
        <v>-3.25855605018881</v>
      </c>
      <c r="AO430" s="106">
        <f t="shared" si="544"/>
        <v>-3.3803608753448682</v>
      </c>
      <c r="AP430" s="106">
        <f t="shared" si="544"/>
        <v>-3.5067187648652589</v>
      </c>
      <c r="AQ430" s="106">
        <f t="shared" si="544"/>
        <v>-3.6377999122959221</v>
      </c>
      <c r="AR430" s="106">
        <f t="shared" si="544"/>
        <v>-3.7364008730175442</v>
      </c>
      <c r="AS430" s="106">
        <f t="shared" si="544"/>
        <v>-3.8013075376509402</v>
      </c>
    </row>
    <row r="431" spans="1:45" ht="15" customHeight="1" x14ac:dyDescent="0.3">
      <c r="A431" s="112"/>
      <c r="B431" s="112"/>
      <c r="C431" s="113"/>
      <c r="D431" s="42"/>
      <c r="E431" s="275" t="s">
        <v>359</v>
      </c>
      <c r="F431" s="275"/>
      <c r="G431" s="275" t="s">
        <v>346</v>
      </c>
      <c r="H431" s="275"/>
      <c r="I431" s="275"/>
      <c r="J431" s="42"/>
      <c r="K431" s="275">
        <v>-8</v>
      </c>
      <c r="L431" s="275">
        <v>-7</v>
      </c>
      <c r="M431" s="275">
        <v>-6</v>
      </c>
      <c r="N431" s="275">
        <v>-5</v>
      </c>
      <c r="O431" s="275">
        <v>-4</v>
      </c>
      <c r="P431" s="275">
        <v>-3</v>
      </c>
      <c r="Q431" s="275">
        <v>-2</v>
      </c>
      <c r="R431" s="275">
        <v>-1</v>
      </c>
      <c r="S431" s="275">
        <v>0</v>
      </c>
      <c r="T431" s="275">
        <v>0</v>
      </c>
      <c r="U431" s="275">
        <v>0</v>
      </c>
      <c r="V431" s="275">
        <v>0</v>
      </c>
      <c r="W431" s="275">
        <v>200</v>
      </c>
      <c r="X431" s="275">
        <v>0</v>
      </c>
      <c r="Y431" s="275">
        <v>0</v>
      </c>
      <c r="Z431" s="275">
        <v>0</v>
      </c>
      <c r="AA431" s="275">
        <v>0</v>
      </c>
      <c r="AB431" s="275">
        <v>0</v>
      </c>
      <c r="AC431" s="275">
        <v>0</v>
      </c>
      <c r="AD431" s="275">
        <v>0</v>
      </c>
      <c r="AE431" s="275">
        <v>0</v>
      </c>
      <c r="AF431" s="275">
        <v>0</v>
      </c>
      <c r="AG431" s="275">
        <v>0</v>
      </c>
      <c r="AH431" s="275">
        <v>0</v>
      </c>
      <c r="AI431" s="275">
        <v>0</v>
      </c>
      <c r="AJ431" s="275">
        <v>0</v>
      </c>
      <c r="AK431" s="275">
        <v>0</v>
      </c>
      <c r="AL431" s="275">
        <v>0</v>
      </c>
      <c r="AM431" s="275">
        <v>0</v>
      </c>
      <c r="AN431" s="275">
        <v>0</v>
      </c>
      <c r="AO431" s="275">
        <v>0</v>
      </c>
      <c r="AP431" s="275">
        <v>0</v>
      </c>
      <c r="AQ431" s="275">
        <v>1</v>
      </c>
      <c r="AR431" s="275">
        <v>2</v>
      </c>
      <c r="AS431" s="275">
        <v>3</v>
      </c>
    </row>
    <row r="432" spans="1:45" ht="15" customHeight="1" x14ac:dyDescent="0.3">
      <c r="A432" s="112"/>
      <c r="B432" s="112"/>
      <c r="C432" s="113"/>
      <c r="D432" s="42"/>
      <c r="E432" s="275" t="s">
        <v>348</v>
      </c>
      <c r="F432" s="275">
        <f xml:space="preserve"> SUM(T432:AV432)</f>
        <v>223.91073999999998</v>
      </c>
      <c r="G432" s="275" t="s">
        <v>346</v>
      </c>
      <c r="H432" s="131"/>
      <c r="I432" s="131"/>
      <c r="J432" s="42"/>
      <c r="K432" s="110">
        <f t="shared" ref="K432:O432" si="545" xml:space="preserve"> K$386</f>
        <v>0</v>
      </c>
      <c r="L432" s="110">
        <f t="shared" si="545"/>
        <v>0</v>
      </c>
      <c r="M432" s="110">
        <f t="shared" si="545"/>
        <v>0</v>
      </c>
      <c r="N432" s="110">
        <f t="shared" si="545"/>
        <v>0</v>
      </c>
      <c r="O432" s="110">
        <f t="shared" si="545"/>
        <v>0</v>
      </c>
      <c r="P432" s="110">
        <f t="shared" ref="P432:AS432" si="546" xml:space="preserve"> P$386</f>
        <v>0</v>
      </c>
      <c r="Q432" s="110">
        <f t="shared" si="546"/>
        <v>0</v>
      </c>
      <c r="R432" s="110">
        <f t="shared" si="546"/>
        <v>0</v>
      </c>
      <c r="S432" s="110">
        <f t="shared" si="546"/>
        <v>0</v>
      </c>
      <c r="T432" s="110">
        <f t="shared" si="546"/>
        <v>0</v>
      </c>
      <c r="U432" s="110">
        <f t="shared" si="546"/>
        <v>0</v>
      </c>
      <c r="V432" s="110">
        <f t="shared" si="546"/>
        <v>0</v>
      </c>
      <c r="W432" s="110">
        <f t="shared" si="546"/>
        <v>0</v>
      </c>
      <c r="X432" s="110">
        <f t="shared" si="546"/>
        <v>30.361000000000001</v>
      </c>
      <c r="Y432" s="110">
        <f t="shared" si="546"/>
        <v>56.50412</v>
      </c>
      <c r="Z432" s="110">
        <f t="shared" si="546"/>
        <v>53.635120000000001</v>
      </c>
      <c r="AA432" s="110">
        <f t="shared" si="546"/>
        <v>17.8035</v>
      </c>
      <c r="AB432" s="110">
        <f t="shared" si="546"/>
        <v>17.242799999999999</v>
      </c>
      <c r="AC432" s="110">
        <f t="shared" si="546"/>
        <v>16.682099999999998</v>
      </c>
      <c r="AD432" s="110">
        <f t="shared" si="546"/>
        <v>16.121400000000001</v>
      </c>
      <c r="AE432" s="110">
        <f t="shared" si="546"/>
        <v>15.560700000000001</v>
      </c>
      <c r="AF432" s="110">
        <f t="shared" si="546"/>
        <v>0</v>
      </c>
      <c r="AG432" s="110">
        <f t="shared" si="546"/>
        <v>0</v>
      </c>
      <c r="AH432" s="110">
        <f t="shared" si="546"/>
        <v>0</v>
      </c>
      <c r="AI432" s="110">
        <f t="shared" si="546"/>
        <v>0</v>
      </c>
      <c r="AJ432" s="110">
        <f t="shared" si="546"/>
        <v>0</v>
      </c>
      <c r="AK432" s="110">
        <f t="shared" si="546"/>
        <v>0</v>
      </c>
      <c r="AL432" s="110">
        <f t="shared" si="546"/>
        <v>0</v>
      </c>
      <c r="AM432" s="110">
        <f t="shared" si="546"/>
        <v>0</v>
      </c>
      <c r="AN432" s="110">
        <f t="shared" si="546"/>
        <v>0</v>
      </c>
      <c r="AO432" s="110">
        <f t="shared" si="546"/>
        <v>0</v>
      </c>
      <c r="AP432" s="110">
        <f t="shared" si="546"/>
        <v>0</v>
      </c>
      <c r="AQ432" s="110">
        <f t="shared" si="546"/>
        <v>0</v>
      </c>
      <c r="AR432" s="110">
        <f t="shared" si="546"/>
        <v>0</v>
      </c>
      <c r="AS432" s="110">
        <f t="shared" si="546"/>
        <v>0</v>
      </c>
    </row>
    <row r="433" spans="1:45" ht="15" customHeight="1" x14ac:dyDescent="0.3">
      <c r="A433" s="112"/>
      <c r="B433" s="112"/>
      <c r="C433" s="113"/>
      <c r="D433" s="42"/>
      <c r="E433" s="276" t="s">
        <v>349</v>
      </c>
      <c r="F433" s="276"/>
      <c r="G433" s="276" t="s">
        <v>346</v>
      </c>
      <c r="H433" s="162"/>
      <c r="I433" s="162"/>
      <c r="J433" s="42"/>
      <c r="K433" s="161">
        <f t="shared" ref="K433:O433" si="547">K429 + K430 + K431 - K432</f>
        <v>-8</v>
      </c>
      <c r="L433" s="161">
        <f t="shared" si="547"/>
        <v>-15.29904</v>
      </c>
      <c r="M433" s="161">
        <f t="shared" si="547"/>
        <v>-21.870918115199999</v>
      </c>
      <c r="N433" s="161">
        <f t="shared" si="547"/>
        <v>-27.688453034346175</v>
      </c>
      <c r="O433" s="161">
        <f t="shared" si="547"/>
        <v>-32.723447408770035</v>
      </c>
      <c r="P433" s="161">
        <f t="shared" ref="P433:R433" si="548">P429 + P430 + P431 - P432</f>
        <v>-36.946649872909859</v>
      </c>
      <c r="Q433" s="161">
        <f t="shared" si="548"/>
        <v>-40.32771564515923</v>
      </c>
      <c r="R433" s="161">
        <f t="shared" si="548"/>
        <v>-42.835165655975281</v>
      </c>
      <c r="S433" s="161">
        <f t="shared" ref="S433:AP433" si="549">S429 + S430 + S431 - S432</f>
        <v>-44.436344148195637</v>
      </c>
      <c r="T433" s="161">
        <f t="shared" si="549"/>
        <v>-46.09737469245519</v>
      </c>
      <c r="U433" s="161">
        <f t="shared" si="549"/>
        <v>-47.820494558459167</v>
      </c>
      <c r="V433" s="161">
        <f t="shared" si="549"/>
        <v>-49.608024645054371</v>
      </c>
      <c r="W433" s="161">
        <f t="shared" si="549"/>
        <v>148.53762739371351</v>
      </c>
      <c r="X433" s="161">
        <f t="shared" si="549"/>
        <v>123.72896390569052</v>
      </c>
      <c r="Y433" s="161">
        <f t="shared" si="549"/>
        <v>71.849832576485227</v>
      </c>
      <c r="Z433" s="161">
        <f t="shared" si="549"/>
        <v>20.900459318194237</v>
      </c>
      <c r="AA433" s="161">
        <f t="shared" si="549"/>
        <v>3.8782184875083381</v>
      </c>
      <c r="AB433" s="161">
        <f t="shared" si="549"/>
        <v>-13.2196137054286</v>
      </c>
      <c r="AC433" s="161">
        <f t="shared" si="549"/>
        <v>-30.39586286573752</v>
      </c>
      <c r="AD433" s="161">
        <f t="shared" si="549"/>
        <v>-47.65346021965879</v>
      </c>
      <c r="AE433" s="161">
        <f t="shared" si="549"/>
        <v>-64.995446562669642</v>
      </c>
      <c r="AF433" s="161">
        <f t="shared" si="549"/>
        <v>-67.424976355182238</v>
      </c>
      <c r="AG433" s="161">
        <f t="shared" si="549"/>
        <v>-69.945321971338956</v>
      </c>
      <c r="AH433" s="161">
        <f t="shared" si="549"/>
        <v>-72.559878106627608</v>
      </c>
      <c r="AI433" s="161">
        <f t="shared" si="549"/>
        <v>-75.272166350253343</v>
      </c>
      <c r="AJ433" s="161">
        <f t="shared" si="549"/>
        <v>-78.085839928425813</v>
      </c>
      <c r="AK433" s="161">
        <f t="shared" si="549"/>
        <v>-81.004688624950376</v>
      </c>
      <c r="AL433" s="161">
        <f t="shared" si="549"/>
        <v>-84.032643885751014</v>
      </c>
      <c r="AM433" s="161">
        <f t="shared" si="549"/>
        <v>-87.173784114200387</v>
      </c>
      <c r="AN433" s="161">
        <f t="shared" si="549"/>
        <v>-90.432340164389203</v>
      </c>
      <c r="AO433" s="161">
        <f t="shared" si="549"/>
        <v>-93.812701039734065</v>
      </c>
      <c r="AP433" s="161">
        <f t="shared" si="549"/>
        <v>-97.31941980459932</v>
      </c>
      <c r="AQ433" s="161">
        <f t="shared" ref="AQ433:AS433" si="550">AQ429 + AQ430 + AQ431 - AQ432</f>
        <v>-99.957219716895239</v>
      </c>
      <c r="AR433" s="161">
        <f t="shared" si="550"/>
        <v>-101.69362058991278</v>
      </c>
      <c r="AS433" s="161">
        <f t="shared" si="550"/>
        <v>-102.49492812756372</v>
      </c>
    </row>
    <row r="434" spans="1:45" ht="15" customHeight="1" x14ac:dyDescent="0.3">
      <c r="A434" s="112"/>
      <c r="B434" s="112"/>
      <c r="C434" s="113"/>
      <c r="D434" s="42"/>
      <c r="E434" s="275"/>
      <c r="F434" s="275"/>
      <c r="G434" s="275"/>
      <c r="H434" s="131"/>
      <c r="I434" s="131"/>
      <c r="J434" s="42"/>
      <c r="K434" s="106"/>
      <c r="L434" s="106"/>
      <c r="M434" s="106"/>
      <c r="N434" s="106"/>
      <c r="O434" s="106"/>
      <c r="P434" s="106"/>
      <c r="Q434" s="106"/>
      <c r="R434" s="106"/>
      <c r="S434" s="106"/>
      <c r="T434" s="106"/>
      <c r="U434" s="106"/>
      <c r="V434" s="106"/>
      <c r="W434" s="106"/>
      <c r="X434" s="106"/>
      <c r="Y434" s="106"/>
      <c r="Z434" s="106"/>
      <c r="AA434" s="106"/>
      <c r="AB434" s="106"/>
      <c r="AC434" s="106"/>
      <c r="AD434" s="106"/>
      <c r="AE434" s="106"/>
      <c r="AF434" s="106"/>
      <c r="AG434" s="106"/>
      <c r="AH434" s="106"/>
      <c r="AI434" s="106"/>
      <c r="AJ434" s="106"/>
      <c r="AK434" s="106"/>
      <c r="AL434" s="106"/>
      <c r="AM434" s="106"/>
      <c r="AN434" s="106"/>
      <c r="AO434" s="106"/>
      <c r="AP434" s="106"/>
      <c r="AQ434" s="106"/>
      <c r="AR434" s="106"/>
      <c r="AS434" s="106"/>
    </row>
    <row r="435" spans="1:45" ht="15" customHeight="1" x14ac:dyDescent="0.3">
      <c r="A435" s="112"/>
      <c r="B435" s="112"/>
      <c r="C435" s="113" t="s">
        <v>472</v>
      </c>
      <c r="D435" s="42"/>
      <c r="E435" s="275"/>
      <c r="F435" s="275"/>
      <c r="G435" s="275"/>
      <c r="H435" s="131"/>
      <c r="I435" s="131"/>
      <c r="J435" s="42"/>
      <c r="K435" s="106"/>
      <c r="L435" s="106"/>
      <c r="M435" s="106"/>
      <c r="N435" s="106"/>
      <c r="O435" s="106"/>
      <c r="P435" s="106"/>
      <c r="Q435" s="106"/>
      <c r="R435" s="106"/>
      <c r="S435" s="106"/>
      <c r="T435" s="106"/>
      <c r="U435" s="106"/>
      <c r="V435" s="106"/>
      <c r="W435" s="106"/>
      <c r="X435" s="106"/>
      <c r="Y435" s="106"/>
      <c r="Z435" s="106"/>
      <c r="AA435" s="106"/>
      <c r="AB435" s="106"/>
      <c r="AC435" s="106"/>
      <c r="AD435" s="106"/>
      <c r="AE435" s="106"/>
      <c r="AF435" s="106"/>
      <c r="AG435" s="106"/>
      <c r="AH435" s="106"/>
      <c r="AI435" s="106"/>
      <c r="AJ435" s="106"/>
      <c r="AK435" s="106"/>
      <c r="AL435" s="106"/>
      <c r="AM435" s="106"/>
      <c r="AN435" s="106"/>
      <c r="AO435" s="106"/>
      <c r="AP435" s="106"/>
      <c r="AQ435" s="106"/>
      <c r="AR435" s="106"/>
      <c r="AS435" s="106"/>
    </row>
    <row r="436" spans="1:45" ht="15" customHeight="1" x14ac:dyDescent="0.3">
      <c r="A436" s="150"/>
      <c r="B436" s="150"/>
      <c r="C436" s="151"/>
      <c r="D436" s="104"/>
      <c r="E436" s="358" t="str">
        <f xml:space="preserve"> E$292</f>
        <v>Model calendar year</v>
      </c>
      <c r="F436" s="358">
        <f t="shared" ref="F436:I436" si="551" xml:space="preserve"> F$292</f>
        <v>0</v>
      </c>
      <c r="G436" s="358">
        <f t="shared" si="551"/>
        <v>0</v>
      </c>
      <c r="H436" s="358">
        <f t="shared" si="551"/>
        <v>0</v>
      </c>
      <c r="I436" s="358">
        <f t="shared" si="551"/>
        <v>0</v>
      </c>
      <c r="J436" s="42"/>
      <c r="K436" s="358">
        <f t="shared" ref="K436:O436" si="552" xml:space="preserve"> K$292</f>
        <v>2006</v>
      </c>
      <c r="L436" s="358">
        <f t="shared" si="552"/>
        <v>2007</v>
      </c>
      <c r="M436" s="358">
        <f t="shared" si="552"/>
        <v>2008</v>
      </c>
      <c r="N436" s="358">
        <f t="shared" si="552"/>
        <v>2009</v>
      </c>
      <c r="O436" s="358">
        <f t="shared" si="552"/>
        <v>2010</v>
      </c>
      <c r="P436" s="358">
        <f t="shared" ref="P436:AS436" si="553" xml:space="preserve"> P$292</f>
        <v>2011</v>
      </c>
      <c r="Q436" s="358">
        <f t="shared" si="553"/>
        <v>2012</v>
      </c>
      <c r="R436" s="358">
        <f t="shared" si="553"/>
        <v>2013</v>
      </c>
      <c r="S436" s="358">
        <f t="shared" si="553"/>
        <v>2014</v>
      </c>
      <c r="T436" s="358">
        <f t="shared" si="553"/>
        <v>2015</v>
      </c>
      <c r="U436" s="358">
        <f t="shared" si="553"/>
        <v>2016</v>
      </c>
      <c r="V436" s="358">
        <f t="shared" si="553"/>
        <v>2017</v>
      </c>
      <c r="W436" s="358">
        <f t="shared" si="553"/>
        <v>2018</v>
      </c>
      <c r="X436" s="358">
        <f t="shared" si="553"/>
        <v>2019</v>
      </c>
      <c r="Y436" s="358">
        <f t="shared" si="553"/>
        <v>2020</v>
      </c>
      <c r="Z436" s="358">
        <f t="shared" si="553"/>
        <v>2021</v>
      </c>
      <c r="AA436" s="358">
        <f t="shared" si="553"/>
        <v>2022</v>
      </c>
      <c r="AB436" s="358">
        <f t="shared" si="553"/>
        <v>2023</v>
      </c>
      <c r="AC436" s="358">
        <f t="shared" si="553"/>
        <v>2024</v>
      </c>
      <c r="AD436" s="358">
        <f t="shared" si="553"/>
        <v>2025</v>
      </c>
      <c r="AE436" s="358">
        <f t="shared" si="553"/>
        <v>2026</v>
      </c>
      <c r="AF436" s="358">
        <f t="shared" si="553"/>
        <v>2027</v>
      </c>
      <c r="AG436" s="358">
        <f t="shared" si="553"/>
        <v>2028</v>
      </c>
      <c r="AH436" s="358">
        <f t="shared" si="553"/>
        <v>2029</v>
      </c>
      <c r="AI436" s="358">
        <f t="shared" si="553"/>
        <v>2030</v>
      </c>
      <c r="AJ436" s="358">
        <f t="shared" si="553"/>
        <v>2031</v>
      </c>
      <c r="AK436" s="358">
        <f t="shared" si="553"/>
        <v>2032</v>
      </c>
      <c r="AL436" s="358">
        <f t="shared" si="553"/>
        <v>2033</v>
      </c>
      <c r="AM436" s="358">
        <f t="shared" si="553"/>
        <v>2034</v>
      </c>
      <c r="AN436" s="358">
        <f t="shared" si="553"/>
        <v>2035</v>
      </c>
      <c r="AO436" s="358">
        <f t="shared" si="553"/>
        <v>2036</v>
      </c>
      <c r="AP436" s="358">
        <f t="shared" si="553"/>
        <v>2037</v>
      </c>
      <c r="AQ436" s="358">
        <f t="shared" si="553"/>
        <v>2038</v>
      </c>
      <c r="AR436" s="358">
        <f t="shared" si="553"/>
        <v>2039</v>
      </c>
      <c r="AS436" s="358">
        <f t="shared" si="553"/>
        <v>2040</v>
      </c>
    </row>
    <row r="437" spans="1:45" ht="15" customHeight="1" x14ac:dyDescent="0.3">
      <c r="A437" s="112"/>
      <c r="B437" s="112"/>
      <c r="C437" s="113"/>
      <c r="D437" s="42"/>
      <c r="E437" s="274" t="s">
        <v>345</v>
      </c>
      <c r="F437" s="274"/>
      <c r="G437" s="274" t="s">
        <v>346</v>
      </c>
      <c r="H437" s="134"/>
      <c r="I437" s="134"/>
      <c r="J437" s="42"/>
      <c r="K437" s="107">
        <f>J441</f>
        <v>0</v>
      </c>
      <c r="L437" s="107">
        <f t="shared" ref="L437:AS437" si="554">K441</f>
        <v>-8</v>
      </c>
      <c r="M437" s="107">
        <f t="shared" si="554"/>
        <v>-15.29904</v>
      </c>
      <c r="N437" s="107">
        <f t="shared" si="554"/>
        <v>-21.870918115199999</v>
      </c>
      <c r="O437" s="107">
        <f t="shared" si="554"/>
        <v>-27.688453034346175</v>
      </c>
      <c r="P437" s="107">
        <f t="shared" si="554"/>
        <v>-32.723447408770035</v>
      </c>
      <c r="Q437" s="107">
        <f t="shared" si="554"/>
        <v>-36.946649872909859</v>
      </c>
      <c r="R437" s="107">
        <f t="shared" si="554"/>
        <v>-40.32771564515923</v>
      </c>
      <c r="S437" s="107">
        <f t="shared" si="554"/>
        <v>-42.835165655975281</v>
      </c>
      <c r="T437" s="107">
        <f t="shared" si="554"/>
        <v>-44.436344148195637</v>
      </c>
      <c r="U437" s="107">
        <f t="shared" si="554"/>
        <v>-46.09737469245519</v>
      </c>
      <c r="V437" s="107">
        <f t="shared" si="554"/>
        <v>-47.820494558459167</v>
      </c>
      <c r="W437" s="107">
        <f t="shared" si="554"/>
        <v>-49.608024645054371</v>
      </c>
      <c r="X437" s="107">
        <f t="shared" si="554"/>
        <v>148.53762739371351</v>
      </c>
      <c r="Y437" s="107">
        <f t="shared" si="554"/>
        <v>119.72896390569053</v>
      </c>
      <c r="Z437" s="107">
        <f t="shared" si="554"/>
        <v>67.849832576485255</v>
      </c>
      <c r="AA437" s="107">
        <f t="shared" si="554"/>
        <v>-54.099540681805735</v>
      </c>
      <c r="AB437" s="107">
        <f t="shared" si="554"/>
        <v>-56.12178151249163</v>
      </c>
      <c r="AC437" s="107">
        <f t="shared" si="554"/>
        <v>-58.219613705428564</v>
      </c>
      <c r="AD437" s="107">
        <f t="shared" si="554"/>
        <v>-60.395862865737485</v>
      </c>
      <c r="AE437" s="107">
        <f t="shared" si="554"/>
        <v>-62.653460219658754</v>
      </c>
      <c r="AF437" s="107">
        <f t="shared" si="554"/>
        <v>-64.995446562669599</v>
      </c>
      <c r="AG437" s="107">
        <f t="shared" si="554"/>
        <v>-67.424976355182196</v>
      </c>
      <c r="AH437" s="107">
        <f t="shared" si="554"/>
        <v>-69.945321971338899</v>
      </c>
      <c r="AI437" s="107">
        <f t="shared" si="554"/>
        <v>-72.559878106627551</v>
      </c>
      <c r="AJ437" s="107">
        <f t="shared" si="554"/>
        <v>-75.272166350253286</v>
      </c>
      <c r="AK437" s="107">
        <f t="shared" si="554"/>
        <v>-78.085839928425756</v>
      </c>
      <c r="AL437" s="107">
        <f t="shared" si="554"/>
        <v>-81.004688624950305</v>
      </c>
      <c r="AM437" s="107">
        <f t="shared" si="554"/>
        <v>-84.032643885750943</v>
      </c>
      <c r="AN437" s="107">
        <f t="shared" si="554"/>
        <v>-87.173784114200316</v>
      </c>
      <c r="AO437" s="107">
        <f t="shared" si="554"/>
        <v>-90.432340164389117</v>
      </c>
      <c r="AP437" s="107">
        <f t="shared" si="554"/>
        <v>-93.81270103973398</v>
      </c>
      <c r="AQ437" s="107">
        <f t="shared" si="554"/>
        <v>-97.319419804599235</v>
      </c>
      <c r="AR437" s="107">
        <f t="shared" si="554"/>
        <v>-99.957219716895153</v>
      </c>
      <c r="AS437" s="107">
        <f t="shared" si="554"/>
        <v>-101.6936205899127</v>
      </c>
    </row>
    <row r="438" spans="1:45" ht="15" customHeight="1" x14ac:dyDescent="0.3">
      <c r="A438" s="112"/>
      <c r="B438" s="112"/>
      <c r="C438" s="113"/>
      <c r="D438" s="42"/>
      <c r="E438" s="275" t="s">
        <v>347</v>
      </c>
      <c r="F438" s="275">
        <f xml:space="preserve"> SUM(T438:AV438)</f>
        <v>-48.857383979368038</v>
      </c>
      <c r="G438" s="275" t="s">
        <v>346</v>
      </c>
      <c r="H438" s="131"/>
      <c r="I438" s="131"/>
      <c r="J438" s="42"/>
      <c r="K438" s="106">
        <f t="shared" ref="K438:O438" si="555">K437 * $F361 * $F375</f>
        <v>0</v>
      </c>
      <c r="L438" s="106">
        <f t="shared" si="555"/>
        <v>-0.29903999999999997</v>
      </c>
      <c r="M438" s="106">
        <f t="shared" si="555"/>
        <v>-0.57187811519999998</v>
      </c>
      <c r="N438" s="106">
        <f t="shared" si="555"/>
        <v>-0.81753491914617604</v>
      </c>
      <c r="O438" s="106">
        <f t="shared" si="555"/>
        <v>-1.0349943744238599</v>
      </c>
      <c r="P438" s="106">
        <f t="shared" ref="P438:AS438" si="556">P437 * $F361 * $F375</f>
        <v>-1.2232024641398238</v>
      </c>
      <c r="Q438" s="106">
        <f t="shared" si="556"/>
        <v>-1.3810657722493707</v>
      </c>
      <c r="R438" s="106">
        <f t="shared" si="556"/>
        <v>-1.507450010816052</v>
      </c>
      <c r="S438" s="106">
        <f t="shared" si="556"/>
        <v>-1.601178492220356</v>
      </c>
      <c r="T438" s="106">
        <f t="shared" si="556"/>
        <v>-1.661030544259553</v>
      </c>
      <c r="U438" s="106">
        <f t="shared" si="556"/>
        <v>-1.7231198660039748</v>
      </c>
      <c r="V438" s="106">
        <f t="shared" si="556"/>
        <v>-1.7875300865952037</v>
      </c>
      <c r="W438" s="106">
        <f t="shared" si="556"/>
        <v>-1.8543479612321323</v>
      </c>
      <c r="X438" s="106">
        <f t="shared" si="556"/>
        <v>5.5523365119770105</v>
      </c>
      <c r="Y438" s="106">
        <f t="shared" si="556"/>
        <v>4.4754686707947124</v>
      </c>
      <c r="Z438" s="106">
        <f t="shared" si="556"/>
        <v>2.5362267417090187</v>
      </c>
      <c r="AA438" s="106">
        <f t="shared" si="556"/>
        <v>-2.0222408306858983</v>
      </c>
      <c r="AB438" s="106">
        <f t="shared" si="556"/>
        <v>-2.097832192936937</v>
      </c>
      <c r="AC438" s="106">
        <f t="shared" si="556"/>
        <v>-2.1762491603089198</v>
      </c>
      <c r="AD438" s="106">
        <f t="shared" si="556"/>
        <v>-2.2575973539212675</v>
      </c>
      <c r="AE438" s="106">
        <f t="shared" si="556"/>
        <v>-2.3419863430108441</v>
      </c>
      <c r="AF438" s="106">
        <f t="shared" si="556"/>
        <v>-2.4295297925125894</v>
      </c>
      <c r="AG438" s="106">
        <f t="shared" si="556"/>
        <v>-2.5203456161567104</v>
      </c>
      <c r="AH438" s="106">
        <f t="shared" si="556"/>
        <v>-2.6145561352886477</v>
      </c>
      <c r="AI438" s="106">
        <f t="shared" si="556"/>
        <v>-2.7122882436257378</v>
      </c>
      <c r="AJ438" s="106">
        <f t="shared" si="556"/>
        <v>-2.8136735781724678</v>
      </c>
      <c r="AK438" s="106">
        <f t="shared" si="556"/>
        <v>-2.918848696524555</v>
      </c>
      <c r="AL438" s="106">
        <f t="shared" si="556"/>
        <v>-3.0279552608006424</v>
      </c>
      <c r="AM438" s="106">
        <f t="shared" si="556"/>
        <v>-3.1411402284493701</v>
      </c>
      <c r="AN438" s="106">
        <f t="shared" si="556"/>
        <v>-3.2585560501888078</v>
      </c>
      <c r="AO438" s="106">
        <f t="shared" si="556"/>
        <v>-3.3803608753448651</v>
      </c>
      <c r="AP438" s="106">
        <f t="shared" si="556"/>
        <v>-3.5067187648652558</v>
      </c>
      <c r="AQ438" s="106">
        <f t="shared" si="556"/>
        <v>-3.637799912295919</v>
      </c>
      <c r="AR438" s="106">
        <f t="shared" si="556"/>
        <v>-3.7364008730175411</v>
      </c>
      <c r="AS438" s="106">
        <f t="shared" si="556"/>
        <v>-3.8013075376509362</v>
      </c>
    </row>
    <row r="439" spans="1:45" ht="15" customHeight="1" x14ac:dyDescent="0.3">
      <c r="A439" s="112"/>
      <c r="B439" s="112"/>
      <c r="C439" s="113"/>
      <c r="D439" s="42"/>
      <c r="E439" s="275" t="s">
        <v>359</v>
      </c>
      <c r="F439" s="275"/>
      <c r="G439" s="275" t="s">
        <v>346</v>
      </c>
      <c r="H439" s="275"/>
      <c r="I439" s="275"/>
      <c r="J439" s="42"/>
      <c r="K439" s="275">
        <v>-8</v>
      </c>
      <c r="L439" s="275">
        <v>-7</v>
      </c>
      <c r="M439" s="275">
        <v>-6</v>
      </c>
      <c r="N439" s="275">
        <v>-5</v>
      </c>
      <c r="O439" s="275">
        <v>-4</v>
      </c>
      <c r="P439" s="275">
        <v>-3</v>
      </c>
      <c r="Q439" s="275">
        <v>-2</v>
      </c>
      <c r="R439" s="275">
        <v>-1</v>
      </c>
      <c r="S439" s="275">
        <v>0</v>
      </c>
      <c r="T439" s="275">
        <v>0</v>
      </c>
      <c r="U439" s="275">
        <v>0</v>
      </c>
      <c r="V439" s="275">
        <v>0</v>
      </c>
      <c r="W439" s="275">
        <v>200</v>
      </c>
      <c r="X439" s="275">
        <v>0</v>
      </c>
      <c r="Y439" s="275">
        <v>0</v>
      </c>
      <c r="Z439" s="275">
        <v>0</v>
      </c>
      <c r="AA439" s="275">
        <v>0</v>
      </c>
      <c r="AB439" s="275">
        <v>0</v>
      </c>
      <c r="AC439" s="275">
        <v>0</v>
      </c>
      <c r="AD439" s="275">
        <v>0</v>
      </c>
      <c r="AE439" s="275">
        <v>0</v>
      </c>
      <c r="AF439" s="275">
        <v>0</v>
      </c>
      <c r="AG439" s="275">
        <v>0</v>
      </c>
      <c r="AH439" s="275">
        <v>0</v>
      </c>
      <c r="AI439" s="275">
        <v>0</v>
      </c>
      <c r="AJ439" s="275">
        <v>0</v>
      </c>
      <c r="AK439" s="275">
        <v>0</v>
      </c>
      <c r="AL439" s="275">
        <v>0</v>
      </c>
      <c r="AM439" s="275">
        <v>0</v>
      </c>
      <c r="AN439" s="275">
        <v>0</v>
      </c>
      <c r="AO439" s="275">
        <v>0</v>
      </c>
      <c r="AP439" s="275">
        <v>0</v>
      </c>
      <c r="AQ439" s="275">
        <v>1</v>
      </c>
      <c r="AR439" s="275">
        <v>2</v>
      </c>
      <c r="AS439" s="275">
        <v>3</v>
      </c>
    </row>
    <row r="440" spans="1:45" ht="15" customHeight="1" x14ac:dyDescent="0.3">
      <c r="A440" s="112"/>
      <c r="B440" s="112"/>
      <c r="C440" s="113"/>
      <c r="D440" s="42"/>
      <c r="E440" s="275" t="s">
        <v>348</v>
      </c>
      <c r="F440" s="275">
        <f xml:space="preserve"> SUM(T440:AV440)</f>
        <v>215.2012</v>
      </c>
      <c r="G440" s="275" t="s">
        <v>346</v>
      </c>
      <c r="H440" s="131"/>
      <c r="I440" s="131"/>
      <c r="J440" s="42"/>
      <c r="K440" s="110">
        <f t="shared" ref="K440:O440" si="557" xml:space="preserve"> K$391</f>
        <v>0</v>
      </c>
      <c r="L440" s="110">
        <f t="shared" si="557"/>
        <v>0</v>
      </c>
      <c r="M440" s="110">
        <f t="shared" si="557"/>
        <v>0</v>
      </c>
      <c r="N440" s="110">
        <f t="shared" si="557"/>
        <v>0</v>
      </c>
      <c r="O440" s="110">
        <f t="shared" si="557"/>
        <v>0</v>
      </c>
      <c r="P440" s="110">
        <f t="shared" ref="P440:AS440" si="558" xml:space="preserve"> P$391</f>
        <v>0</v>
      </c>
      <c r="Q440" s="110">
        <f t="shared" si="558"/>
        <v>0</v>
      </c>
      <c r="R440" s="110">
        <f t="shared" si="558"/>
        <v>0</v>
      </c>
      <c r="S440" s="110">
        <f t="shared" si="558"/>
        <v>0</v>
      </c>
      <c r="T440" s="110">
        <f t="shared" si="558"/>
        <v>0</v>
      </c>
      <c r="U440" s="110">
        <f t="shared" si="558"/>
        <v>0</v>
      </c>
      <c r="V440" s="110">
        <f t="shared" si="558"/>
        <v>0</v>
      </c>
      <c r="W440" s="110">
        <f t="shared" si="558"/>
        <v>0</v>
      </c>
      <c r="X440" s="110">
        <f t="shared" si="558"/>
        <v>34.360999999999997</v>
      </c>
      <c r="Y440" s="110">
        <f t="shared" si="558"/>
        <v>56.354599999999998</v>
      </c>
      <c r="Z440" s="110">
        <f t="shared" si="558"/>
        <v>124.48560000000001</v>
      </c>
      <c r="AA440" s="110">
        <f t="shared" si="558"/>
        <v>0</v>
      </c>
      <c r="AB440" s="110">
        <f t="shared" si="558"/>
        <v>0</v>
      </c>
      <c r="AC440" s="110">
        <f t="shared" si="558"/>
        <v>0</v>
      </c>
      <c r="AD440" s="110">
        <f t="shared" si="558"/>
        <v>0</v>
      </c>
      <c r="AE440" s="110">
        <f t="shared" si="558"/>
        <v>0</v>
      </c>
      <c r="AF440" s="110">
        <f t="shared" si="558"/>
        <v>0</v>
      </c>
      <c r="AG440" s="110">
        <f t="shared" si="558"/>
        <v>0</v>
      </c>
      <c r="AH440" s="110">
        <f t="shared" si="558"/>
        <v>0</v>
      </c>
      <c r="AI440" s="110">
        <f t="shared" si="558"/>
        <v>0</v>
      </c>
      <c r="AJ440" s="110">
        <f t="shared" si="558"/>
        <v>0</v>
      </c>
      <c r="AK440" s="110">
        <f t="shared" si="558"/>
        <v>0</v>
      </c>
      <c r="AL440" s="110">
        <f t="shared" si="558"/>
        <v>0</v>
      </c>
      <c r="AM440" s="110">
        <f t="shared" si="558"/>
        <v>0</v>
      </c>
      <c r="AN440" s="110">
        <f t="shared" si="558"/>
        <v>0</v>
      </c>
      <c r="AO440" s="110">
        <f t="shared" si="558"/>
        <v>0</v>
      </c>
      <c r="AP440" s="110">
        <f t="shared" si="558"/>
        <v>0</v>
      </c>
      <c r="AQ440" s="110">
        <f t="shared" si="558"/>
        <v>0</v>
      </c>
      <c r="AR440" s="110">
        <f t="shared" si="558"/>
        <v>0</v>
      </c>
      <c r="AS440" s="110">
        <f t="shared" si="558"/>
        <v>0</v>
      </c>
    </row>
    <row r="441" spans="1:45" ht="15" customHeight="1" x14ac:dyDescent="0.3">
      <c r="A441" s="112"/>
      <c r="B441" s="112"/>
      <c r="C441" s="113"/>
      <c r="D441" s="42"/>
      <c r="E441" s="276" t="s">
        <v>349</v>
      </c>
      <c r="F441" s="276"/>
      <c r="G441" s="276" t="s">
        <v>346</v>
      </c>
      <c r="H441" s="162"/>
      <c r="I441" s="162"/>
      <c r="J441" s="42"/>
      <c r="K441" s="161">
        <f t="shared" ref="K441:O441" si="559">K437 + K438 + K439 - K440</f>
        <v>-8</v>
      </c>
      <c r="L441" s="161">
        <f t="shared" si="559"/>
        <v>-15.29904</v>
      </c>
      <c r="M441" s="161">
        <f t="shared" si="559"/>
        <v>-21.870918115199999</v>
      </c>
      <c r="N441" s="161">
        <f t="shared" si="559"/>
        <v>-27.688453034346175</v>
      </c>
      <c r="O441" s="161">
        <f t="shared" si="559"/>
        <v>-32.723447408770035</v>
      </c>
      <c r="P441" s="161">
        <f t="shared" ref="P441:R441" si="560">P437 + P438 + P439 - P440</f>
        <v>-36.946649872909859</v>
      </c>
      <c r="Q441" s="161">
        <f t="shared" si="560"/>
        <v>-40.32771564515923</v>
      </c>
      <c r="R441" s="161">
        <f t="shared" si="560"/>
        <v>-42.835165655975281</v>
      </c>
      <c r="S441" s="161">
        <f t="shared" ref="S441:AP441" si="561">S437 + S438 + S439 - S440</f>
        <v>-44.436344148195637</v>
      </c>
      <c r="T441" s="161">
        <f t="shared" si="561"/>
        <v>-46.09737469245519</v>
      </c>
      <c r="U441" s="161">
        <f t="shared" si="561"/>
        <v>-47.820494558459167</v>
      </c>
      <c r="V441" s="161">
        <f t="shared" si="561"/>
        <v>-49.608024645054371</v>
      </c>
      <c r="W441" s="161">
        <f t="shared" si="561"/>
        <v>148.53762739371351</v>
      </c>
      <c r="X441" s="161">
        <f t="shared" si="561"/>
        <v>119.72896390569053</v>
      </c>
      <c r="Y441" s="161">
        <f t="shared" si="561"/>
        <v>67.849832576485255</v>
      </c>
      <c r="Z441" s="161">
        <f t="shared" si="561"/>
        <v>-54.099540681805735</v>
      </c>
      <c r="AA441" s="161">
        <f t="shared" si="561"/>
        <v>-56.12178151249163</v>
      </c>
      <c r="AB441" s="161">
        <f t="shared" si="561"/>
        <v>-58.219613705428564</v>
      </c>
      <c r="AC441" s="161">
        <f t="shared" si="561"/>
        <v>-60.395862865737485</v>
      </c>
      <c r="AD441" s="161">
        <f t="shared" si="561"/>
        <v>-62.653460219658754</v>
      </c>
      <c r="AE441" s="161">
        <f t="shared" si="561"/>
        <v>-64.995446562669599</v>
      </c>
      <c r="AF441" s="161">
        <f t="shared" si="561"/>
        <v>-67.424976355182196</v>
      </c>
      <c r="AG441" s="161">
        <f t="shared" si="561"/>
        <v>-69.945321971338899</v>
      </c>
      <c r="AH441" s="161">
        <f t="shared" si="561"/>
        <v>-72.559878106627551</v>
      </c>
      <c r="AI441" s="161">
        <f t="shared" si="561"/>
        <v>-75.272166350253286</v>
      </c>
      <c r="AJ441" s="161">
        <f t="shared" si="561"/>
        <v>-78.085839928425756</v>
      </c>
      <c r="AK441" s="161">
        <f t="shared" si="561"/>
        <v>-81.004688624950305</v>
      </c>
      <c r="AL441" s="161">
        <f t="shared" si="561"/>
        <v>-84.032643885750943</v>
      </c>
      <c r="AM441" s="161">
        <f t="shared" si="561"/>
        <v>-87.173784114200316</v>
      </c>
      <c r="AN441" s="161">
        <f t="shared" si="561"/>
        <v>-90.432340164389117</v>
      </c>
      <c r="AO441" s="161">
        <f t="shared" si="561"/>
        <v>-93.81270103973398</v>
      </c>
      <c r="AP441" s="161">
        <f t="shared" si="561"/>
        <v>-97.319419804599235</v>
      </c>
      <c r="AQ441" s="161">
        <f t="shared" ref="AQ441:AS441" si="562">AQ437 + AQ438 + AQ439 - AQ440</f>
        <v>-99.957219716895153</v>
      </c>
      <c r="AR441" s="161">
        <f t="shared" si="562"/>
        <v>-101.6936205899127</v>
      </c>
      <c r="AS441" s="161">
        <f t="shared" si="562"/>
        <v>-102.49492812756364</v>
      </c>
    </row>
    <row r="442" spans="1:45" ht="15" customHeight="1" x14ac:dyDescent="0.3">
      <c r="A442" s="112"/>
      <c r="B442" s="112"/>
      <c r="C442" s="113"/>
      <c r="D442" s="42"/>
      <c r="E442" s="42"/>
      <c r="F442" s="42"/>
      <c r="G442" s="42"/>
      <c r="H442" s="116"/>
      <c r="I442" s="116"/>
      <c r="J442" s="42"/>
      <c r="K442" s="42"/>
      <c r="L442" s="42"/>
      <c r="M442" s="42"/>
      <c r="N442" s="42"/>
      <c r="O442" s="42"/>
      <c r="P442" s="42"/>
      <c r="Q442" s="42"/>
      <c r="R442" s="42"/>
      <c r="S442" s="42"/>
      <c r="T442" s="42"/>
      <c r="U442" s="42"/>
      <c r="V442" s="42"/>
      <c r="W442" s="42"/>
      <c r="X442" s="42"/>
      <c r="Y442" s="42"/>
      <c r="Z442" s="42"/>
      <c r="AA442" s="42"/>
      <c r="AB442" s="42"/>
      <c r="AC442" s="42"/>
      <c r="AD442" s="42"/>
      <c r="AE442" s="42"/>
      <c r="AF442" s="42"/>
      <c r="AG442" s="42"/>
      <c r="AH442" s="42"/>
      <c r="AI442" s="42"/>
      <c r="AJ442" s="42"/>
      <c r="AK442" s="42"/>
      <c r="AL442" s="42"/>
      <c r="AM442" s="42"/>
      <c r="AN442" s="42"/>
      <c r="AO442" s="42"/>
      <c r="AP442" s="42"/>
      <c r="AQ442" s="42"/>
      <c r="AR442" s="42"/>
      <c r="AS442" s="42"/>
    </row>
    <row r="443" spans="1:45" ht="15" customHeight="1" x14ac:dyDescent="0.3">
      <c r="A443" s="112"/>
      <c r="B443" s="112"/>
      <c r="C443" s="113" t="s">
        <v>370</v>
      </c>
      <c r="D443" s="42"/>
      <c r="E443" s="42"/>
      <c r="F443" s="74"/>
      <c r="G443" s="42"/>
      <c r="H443" s="116"/>
      <c r="I443" s="116"/>
      <c r="J443" s="42"/>
      <c r="K443" s="42"/>
      <c r="L443" s="42"/>
      <c r="M443" s="42"/>
      <c r="N443" s="42"/>
      <c r="O443" s="42"/>
      <c r="P443" s="42"/>
      <c r="Q443" s="42"/>
      <c r="R443" s="42"/>
      <c r="S443" s="42"/>
      <c r="T443" s="42"/>
      <c r="U443" s="42"/>
      <c r="V443" s="42"/>
      <c r="W443" s="42"/>
      <c r="X443" s="42"/>
      <c r="Y443" s="42"/>
      <c r="Z443" s="42"/>
      <c r="AA443" s="42"/>
      <c r="AB443" s="42"/>
      <c r="AC443" s="42"/>
      <c r="AD443" s="42"/>
      <c r="AE443" s="42"/>
      <c r="AF443" s="42"/>
      <c r="AG443" s="42"/>
      <c r="AH443" s="42"/>
      <c r="AI443" s="42"/>
      <c r="AJ443" s="42"/>
      <c r="AK443" s="42"/>
      <c r="AL443" s="42"/>
      <c r="AM443" s="42"/>
      <c r="AN443" s="42"/>
      <c r="AO443" s="42"/>
      <c r="AP443" s="42"/>
      <c r="AQ443" s="42"/>
      <c r="AR443" s="42"/>
      <c r="AS443" s="42"/>
    </row>
    <row r="444" spans="1:45" ht="15" customHeight="1" x14ac:dyDescent="0.3">
      <c r="A444" s="150"/>
      <c r="B444" s="150"/>
      <c r="C444" s="151"/>
      <c r="D444" s="104"/>
      <c r="E444" s="358" t="str">
        <f xml:space="preserve"> E$292</f>
        <v>Model calendar year</v>
      </c>
      <c r="F444" s="358">
        <f t="shared" ref="F444:I444" si="563" xml:space="preserve"> F$292</f>
        <v>0</v>
      </c>
      <c r="G444" s="358">
        <f t="shared" si="563"/>
        <v>0</v>
      </c>
      <c r="H444" s="358">
        <f t="shared" si="563"/>
        <v>0</v>
      </c>
      <c r="I444" s="358">
        <f t="shared" si="563"/>
        <v>0</v>
      </c>
      <c r="J444" s="42"/>
      <c r="K444" s="358">
        <f t="shared" ref="K444:O444" si="564" xml:space="preserve"> K$292</f>
        <v>2006</v>
      </c>
      <c r="L444" s="358">
        <f t="shared" si="564"/>
        <v>2007</v>
      </c>
      <c r="M444" s="358">
        <f t="shared" si="564"/>
        <v>2008</v>
      </c>
      <c r="N444" s="358">
        <f t="shared" si="564"/>
        <v>2009</v>
      </c>
      <c r="O444" s="358">
        <f t="shared" si="564"/>
        <v>2010</v>
      </c>
      <c r="P444" s="358">
        <f t="shared" ref="P444:AS444" si="565" xml:space="preserve"> P$292</f>
        <v>2011</v>
      </c>
      <c r="Q444" s="358">
        <f t="shared" si="565"/>
        <v>2012</v>
      </c>
      <c r="R444" s="358">
        <f t="shared" si="565"/>
        <v>2013</v>
      </c>
      <c r="S444" s="358">
        <f t="shared" si="565"/>
        <v>2014</v>
      </c>
      <c r="T444" s="358">
        <f t="shared" si="565"/>
        <v>2015</v>
      </c>
      <c r="U444" s="358">
        <f t="shared" si="565"/>
        <v>2016</v>
      </c>
      <c r="V444" s="358">
        <f t="shared" si="565"/>
        <v>2017</v>
      </c>
      <c r="W444" s="358">
        <f t="shared" si="565"/>
        <v>2018</v>
      </c>
      <c r="X444" s="358">
        <f t="shared" si="565"/>
        <v>2019</v>
      </c>
      <c r="Y444" s="358">
        <f t="shared" si="565"/>
        <v>2020</v>
      </c>
      <c r="Z444" s="358">
        <f t="shared" si="565"/>
        <v>2021</v>
      </c>
      <c r="AA444" s="358">
        <f t="shared" si="565"/>
        <v>2022</v>
      </c>
      <c r="AB444" s="358">
        <f t="shared" si="565"/>
        <v>2023</v>
      </c>
      <c r="AC444" s="358">
        <f t="shared" si="565"/>
        <v>2024</v>
      </c>
      <c r="AD444" s="358">
        <f t="shared" si="565"/>
        <v>2025</v>
      </c>
      <c r="AE444" s="358">
        <f t="shared" si="565"/>
        <v>2026</v>
      </c>
      <c r="AF444" s="358">
        <f t="shared" si="565"/>
        <v>2027</v>
      </c>
      <c r="AG444" s="358">
        <f t="shared" si="565"/>
        <v>2028</v>
      </c>
      <c r="AH444" s="358">
        <f t="shared" si="565"/>
        <v>2029</v>
      </c>
      <c r="AI444" s="358">
        <f t="shared" si="565"/>
        <v>2030</v>
      </c>
      <c r="AJ444" s="358">
        <f t="shared" si="565"/>
        <v>2031</v>
      </c>
      <c r="AK444" s="358">
        <f t="shared" si="565"/>
        <v>2032</v>
      </c>
      <c r="AL444" s="358">
        <f t="shared" si="565"/>
        <v>2033</v>
      </c>
      <c r="AM444" s="358">
        <f t="shared" si="565"/>
        <v>2034</v>
      </c>
      <c r="AN444" s="358">
        <f t="shared" si="565"/>
        <v>2035</v>
      </c>
      <c r="AO444" s="358">
        <f t="shared" si="565"/>
        <v>2036</v>
      </c>
      <c r="AP444" s="358">
        <f t="shared" si="565"/>
        <v>2037</v>
      </c>
      <c r="AQ444" s="358">
        <f t="shared" si="565"/>
        <v>2038</v>
      </c>
      <c r="AR444" s="358">
        <f t="shared" si="565"/>
        <v>2039</v>
      </c>
      <c r="AS444" s="358">
        <f t="shared" si="565"/>
        <v>2040</v>
      </c>
    </row>
    <row r="445" spans="1:45" ht="15" customHeight="1" x14ac:dyDescent="0.3">
      <c r="A445" s="112"/>
      <c r="B445" s="112"/>
      <c r="C445" s="113"/>
      <c r="D445" s="42"/>
      <c r="E445" s="274" t="s">
        <v>345</v>
      </c>
      <c r="F445" s="274"/>
      <c r="G445" s="274" t="s">
        <v>346</v>
      </c>
      <c r="H445" s="134"/>
      <c r="I445" s="134"/>
      <c r="J445" s="42"/>
      <c r="K445" s="107">
        <f>J449</f>
        <v>0</v>
      </c>
      <c r="L445" s="107">
        <f t="shared" ref="L445:AS445" si="566">K449</f>
        <v>0</v>
      </c>
      <c r="M445" s="107">
        <f t="shared" si="566"/>
        <v>0</v>
      </c>
      <c r="N445" s="107">
        <f t="shared" si="566"/>
        <v>0</v>
      </c>
      <c r="O445" s="107">
        <f t="shared" si="566"/>
        <v>0</v>
      </c>
      <c r="P445" s="107">
        <f t="shared" si="566"/>
        <v>0</v>
      </c>
      <c r="Q445" s="107">
        <f t="shared" si="566"/>
        <v>0</v>
      </c>
      <c r="R445" s="107">
        <f t="shared" si="566"/>
        <v>0</v>
      </c>
      <c r="S445" s="107">
        <f t="shared" si="566"/>
        <v>0</v>
      </c>
      <c r="T445" s="107">
        <f t="shared" si="566"/>
        <v>0</v>
      </c>
      <c r="U445" s="107">
        <f t="shared" si="566"/>
        <v>0</v>
      </c>
      <c r="V445" s="107">
        <f t="shared" si="566"/>
        <v>0</v>
      </c>
      <c r="W445" s="107">
        <f t="shared" si="566"/>
        <v>0</v>
      </c>
      <c r="X445" s="107">
        <f t="shared" si="566"/>
        <v>400</v>
      </c>
      <c r="Y445" s="107">
        <f t="shared" si="566"/>
        <v>350.23</v>
      </c>
      <c r="Z445" s="107">
        <f t="shared" si="566"/>
        <v>250.46287740000002</v>
      </c>
      <c r="AA445" s="107">
        <f t="shared" si="566"/>
        <v>81.704459757212021</v>
      </c>
      <c r="AB445" s="107">
        <f t="shared" si="566"/>
        <v>66.955072462936613</v>
      </c>
      <c r="AC445" s="107">
        <f t="shared" si="566"/>
        <v>52.215053071601176</v>
      </c>
      <c r="AD445" s="107">
        <f t="shared" si="566"/>
        <v>37.484751755417626</v>
      </c>
      <c r="AE445" s="107">
        <f t="shared" si="566"/>
        <v>22.764531776035135</v>
      </c>
      <c r="AF445" s="107">
        <f t="shared" si="566"/>
        <v>8.0547699738233263</v>
      </c>
      <c r="AG445" s="107">
        <f t="shared" si="566"/>
        <v>8.3558572754448424</v>
      </c>
      <c r="AH445" s="107">
        <f t="shared" si="566"/>
        <v>8.6681992204009699</v>
      </c>
      <c r="AI445" s="107">
        <f t="shared" si="566"/>
        <v>8.9922165072595579</v>
      </c>
      <c r="AJ445" s="107">
        <f t="shared" si="566"/>
        <v>9.3283455603009209</v>
      </c>
      <c r="AK445" s="107">
        <f t="shared" si="566"/>
        <v>9.6770391173449699</v>
      </c>
      <c r="AL445" s="107">
        <f t="shared" si="566"/>
        <v>10.038766839551325</v>
      </c>
      <c r="AM445" s="107">
        <f t="shared" si="566"/>
        <v>10.414015944013753</v>
      </c>
      <c r="AN445" s="107">
        <f t="shared" si="566"/>
        <v>10.803291860000988</v>
      </c>
      <c r="AO445" s="107">
        <f t="shared" si="566"/>
        <v>11.207118909727825</v>
      </c>
      <c r="AP445" s="107">
        <f t="shared" si="566"/>
        <v>11.626041014573451</v>
      </c>
      <c r="AQ445" s="107">
        <f t="shared" si="566"/>
        <v>12.060622427698206</v>
      </c>
      <c r="AR445" s="107">
        <f t="shared" si="566"/>
        <v>12.511448494045565</v>
      </c>
      <c r="AS445" s="107">
        <f t="shared" si="566"/>
        <v>12.979126438752989</v>
      </c>
    </row>
    <row r="446" spans="1:45" ht="15" customHeight="1" x14ac:dyDescent="0.3">
      <c r="A446" s="112"/>
      <c r="B446" s="112"/>
      <c r="C446" s="113"/>
      <c r="D446" s="42"/>
      <c r="E446" s="275" t="s">
        <v>368</v>
      </c>
      <c r="F446" s="275">
        <f xml:space="preserve"> SUM(T446:AV446)</f>
        <v>52.576226185033562</v>
      </c>
      <c r="G446" s="275" t="s">
        <v>346</v>
      </c>
      <c r="H446" s="131"/>
      <c r="I446" s="131"/>
      <c r="J446" s="42"/>
      <c r="K446" s="106">
        <f t="shared" ref="K446:O446" si="567">K445* $F361 * $F375</f>
        <v>0</v>
      </c>
      <c r="L446" s="106">
        <f t="shared" si="567"/>
        <v>0</v>
      </c>
      <c r="M446" s="106">
        <f t="shared" si="567"/>
        <v>0</v>
      </c>
      <c r="N446" s="106">
        <f t="shared" si="567"/>
        <v>0</v>
      </c>
      <c r="O446" s="106">
        <f t="shared" si="567"/>
        <v>0</v>
      </c>
      <c r="P446" s="106">
        <f t="shared" ref="P446:AS446" si="568">P445* $F361 * $F375</f>
        <v>0</v>
      </c>
      <c r="Q446" s="106">
        <f t="shared" si="568"/>
        <v>0</v>
      </c>
      <c r="R446" s="106">
        <f t="shared" si="568"/>
        <v>0</v>
      </c>
      <c r="S446" s="106">
        <f t="shared" si="568"/>
        <v>0</v>
      </c>
      <c r="T446" s="106">
        <f t="shared" si="568"/>
        <v>0</v>
      </c>
      <c r="U446" s="106">
        <f t="shared" si="568"/>
        <v>0</v>
      </c>
      <c r="V446" s="106">
        <f t="shared" si="568"/>
        <v>0</v>
      </c>
      <c r="W446" s="106">
        <f t="shared" si="568"/>
        <v>0</v>
      </c>
      <c r="X446" s="106">
        <f t="shared" si="568"/>
        <v>14.951999999999998</v>
      </c>
      <c r="Y446" s="106">
        <f t="shared" si="568"/>
        <v>13.091597399999999</v>
      </c>
      <c r="Z446" s="106">
        <f t="shared" si="568"/>
        <v>9.3623023572120019</v>
      </c>
      <c r="AA446" s="106">
        <f t="shared" si="568"/>
        <v>3.0541127057245854</v>
      </c>
      <c r="AB446" s="106">
        <f t="shared" si="568"/>
        <v>2.5027806086645707</v>
      </c>
      <c r="AC446" s="106">
        <f t="shared" si="568"/>
        <v>1.9517986838164521</v>
      </c>
      <c r="AD446" s="106">
        <f t="shared" si="568"/>
        <v>1.4011800206175109</v>
      </c>
      <c r="AE446" s="106">
        <f t="shared" si="568"/>
        <v>0.85093819778819335</v>
      </c>
      <c r="AF446" s="106">
        <f t="shared" si="568"/>
        <v>0.30108730162151592</v>
      </c>
      <c r="AG446" s="106">
        <f t="shared" si="568"/>
        <v>0.31234194495612821</v>
      </c>
      <c r="AH446" s="106">
        <f t="shared" si="568"/>
        <v>0.32401728685858827</v>
      </c>
      <c r="AI446" s="106">
        <f t="shared" si="568"/>
        <v>0.33612905304136226</v>
      </c>
      <c r="AJ446" s="106">
        <f t="shared" si="568"/>
        <v>0.34869355704404842</v>
      </c>
      <c r="AK446" s="106">
        <f t="shared" si="568"/>
        <v>0.36172772220635496</v>
      </c>
      <c r="AL446" s="106">
        <f t="shared" si="568"/>
        <v>0.37524910446242854</v>
      </c>
      <c r="AM446" s="106">
        <f t="shared" si="568"/>
        <v>0.3892759159872341</v>
      </c>
      <c r="AN446" s="106">
        <f t="shared" si="568"/>
        <v>0.40382704972683686</v>
      </c>
      <c r="AO446" s="106">
        <f t="shared" si="568"/>
        <v>0.41892210484562614</v>
      </c>
      <c r="AP446" s="106">
        <f t="shared" si="568"/>
        <v>0.43458141312475557</v>
      </c>
      <c r="AQ446" s="106">
        <f t="shared" si="568"/>
        <v>0.45082606634735894</v>
      </c>
      <c r="AR446" s="106">
        <f t="shared" si="568"/>
        <v>0.46767794470742324</v>
      </c>
      <c r="AS446" s="106">
        <f t="shared" si="568"/>
        <v>0.48515974628058672</v>
      </c>
    </row>
    <row r="447" spans="1:45" ht="15" customHeight="1" x14ac:dyDescent="0.3">
      <c r="A447" s="112"/>
      <c r="B447" s="112"/>
      <c r="C447" s="113"/>
      <c r="D447" s="42"/>
      <c r="E447" s="275" t="str">
        <f xml:space="preserve"> E$396</f>
        <v>Interest bearing drawdowns</v>
      </c>
      <c r="F447" s="275">
        <f xml:space="preserve"> F$396</f>
        <v>0</v>
      </c>
      <c r="G447" s="275" t="str">
        <f t="shared" ref="G447:I447" si="569" xml:space="preserve"> G$396</f>
        <v>$ mn</v>
      </c>
      <c r="H447" s="275">
        <f t="shared" si="569"/>
        <v>0</v>
      </c>
      <c r="I447" s="275">
        <f t="shared" si="569"/>
        <v>400</v>
      </c>
      <c r="J447" s="42"/>
      <c r="K447" s="275">
        <f t="shared" ref="K447:O447" si="570" xml:space="preserve"> K$396</f>
        <v>0</v>
      </c>
      <c r="L447" s="275">
        <f t="shared" si="570"/>
        <v>0</v>
      </c>
      <c r="M447" s="275">
        <f t="shared" si="570"/>
        <v>0</v>
      </c>
      <c r="N447" s="275">
        <f t="shared" si="570"/>
        <v>0</v>
      </c>
      <c r="O447" s="275">
        <f t="shared" si="570"/>
        <v>0</v>
      </c>
      <c r="P447" s="275">
        <f t="shared" ref="P447:AS447" si="571" xml:space="preserve"> P$396</f>
        <v>0</v>
      </c>
      <c r="Q447" s="275">
        <f t="shared" si="571"/>
        <v>0</v>
      </c>
      <c r="R447" s="275">
        <f t="shared" si="571"/>
        <v>0</v>
      </c>
      <c r="S447" s="275">
        <f t="shared" si="571"/>
        <v>0</v>
      </c>
      <c r="T447" s="275">
        <f t="shared" si="571"/>
        <v>0</v>
      </c>
      <c r="U447" s="275">
        <f t="shared" si="571"/>
        <v>0</v>
      </c>
      <c r="V447" s="275">
        <f t="shared" si="571"/>
        <v>0</v>
      </c>
      <c r="W447" s="275">
        <f t="shared" si="571"/>
        <v>400</v>
      </c>
      <c r="X447" s="275">
        <f t="shared" si="571"/>
        <v>0</v>
      </c>
      <c r="Y447" s="275">
        <f t="shared" si="571"/>
        <v>0</v>
      </c>
      <c r="Z447" s="275">
        <f t="shared" si="571"/>
        <v>0</v>
      </c>
      <c r="AA447" s="275">
        <f t="shared" si="571"/>
        <v>0</v>
      </c>
      <c r="AB447" s="275">
        <f t="shared" si="571"/>
        <v>0</v>
      </c>
      <c r="AC447" s="275">
        <f t="shared" si="571"/>
        <v>0</v>
      </c>
      <c r="AD447" s="275">
        <f t="shared" si="571"/>
        <v>0</v>
      </c>
      <c r="AE447" s="275">
        <f t="shared" si="571"/>
        <v>0</v>
      </c>
      <c r="AF447" s="275">
        <f t="shared" si="571"/>
        <v>0</v>
      </c>
      <c r="AG447" s="275">
        <f t="shared" si="571"/>
        <v>0</v>
      </c>
      <c r="AH447" s="275">
        <f t="shared" si="571"/>
        <v>0</v>
      </c>
      <c r="AI447" s="275">
        <f t="shared" si="571"/>
        <v>0</v>
      </c>
      <c r="AJ447" s="275">
        <f t="shared" si="571"/>
        <v>0</v>
      </c>
      <c r="AK447" s="275">
        <f t="shared" si="571"/>
        <v>0</v>
      </c>
      <c r="AL447" s="275">
        <f t="shared" si="571"/>
        <v>0</v>
      </c>
      <c r="AM447" s="275">
        <f t="shared" si="571"/>
        <v>0</v>
      </c>
      <c r="AN447" s="275">
        <f t="shared" si="571"/>
        <v>0</v>
      </c>
      <c r="AO447" s="275">
        <f t="shared" si="571"/>
        <v>0</v>
      </c>
      <c r="AP447" s="275">
        <f t="shared" si="571"/>
        <v>0</v>
      </c>
      <c r="AQ447" s="275">
        <f t="shared" si="571"/>
        <v>0</v>
      </c>
      <c r="AR447" s="275">
        <f t="shared" si="571"/>
        <v>0</v>
      </c>
      <c r="AS447" s="275">
        <f t="shared" si="571"/>
        <v>0</v>
      </c>
    </row>
    <row r="448" spans="1:45" ht="15" customHeight="1" x14ac:dyDescent="0.3">
      <c r="A448" s="112"/>
      <c r="B448" s="112"/>
      <c r="C448" s="113"/>
      <c r="D448" s="42"/>
      <c r="E448" s="275" t="s">
        <v>348</v>
      </c>
      <c r="F448" s="275">
        <f xml:space="preserve"> SUM(T448:AV448)</f>
        <v>439.11193999999995</v>
      </c>
      <c r="G448" s="275" t="s">
        <v>346</v>
      </c>
      <c r="H448" s="131"/>
      <c r="I448" s="131"/>
      <c r="J448" s="42"/>
      <c r="K448" s="106">
        <f t="shared" ref="K448:O448" si="572">K432 + K440</f>
        <v>0</v>
      </c>
      <c r="L448" s="106">
        <f t="shared" si="572"/>
        <v>0</v>
      </c>
      <c r="M448" s="106">
        <f t="shared" si="572"/>
        <v>0</v>
      </c>
      <c r="N448" s="106">
        <f t="shared" si="572"/>
        <v>0</v>
      </c>
      <c r="O448" s="106">
        <f t="shared" si="572"/>
        <v>0</v>
      </c>
      <c r="P448" s="106">
        <f t="shared" ref="P448:R448" si="573">P432 + P440</f>
        <v>0</v>
      </c>
      <c r="Q448" s="106">
        <f t="shared" si="573"/>
        <v>0</v>
      </c>
      <c r="R448" s="106">
        <f t="shared" si="573"/>
        <v>0</v>
      </c>
      <c r="S448" s="106">
        <f>S432 + S440</f>
        <v>0</v>
      </c>
      <c r="T448" s="106">
        <f t="shared" ref="T448:AP448" si="574">T432 + T440</f>
        <v>0</v>
      </c>
      <c r="U448" s="106">
        <f t="shared" si="574"/>
        <v>0</v>
      </c>
      <c r="V448" s="106">
        <f t="shared" si="574"/>
        <v>0</v>
      </c>
      <c r="W448" s="106">
        <f t="shared" si="574"/>
        <v>0</v>
      </c>
      <c r="X448" s="106">
        <f>X432 + X440</f>
        <v>64.721999999999994</v>
      </c>
      <c r="Y448" s="106">
        <f t="shared" si="574"/>
        <v>112.85872000000001</v>
      </c>
      <c r="Z448" s="106">
        <f t="shared" si="574"/>
        <v>178.12072000000001</v>
      </c>
      <c r="AA448" s="106">
        <f t="shared" si="574"/>
        <v>17.8035</v>
      </c>
      <c r="AB448" s="106">
        <f t="shared" si="574"/>
        <v>17.242799999999999</v>
      </c>
      <c r="AC448" s="106">
        <f t="shared" si="574"/>
        <v>16.682099999999998</v>
      </c>
      <c r="AD448" s="106">
        <f t="shared" si="574"/>
        <v>16.121400000000001</v>
      </c>
      <c r="AE448" s="106">
        <f t="shared" si="574"/>
        <v>15.560700000000001</v>
      </c>
      <c r="AF448" s="106">
        <f t="shared" si="574"/>
        <v>0</v>
      </c>
      <c r="AG448" s="106">
        <f t="shared" si="574"/>
        <v>0</v>
      </c>
      <c r="AH448" s="106">
        <f t="shared" si="574"/>
        <v>0</v>
      </c>
      <c r="AI448" s="106">
        <f t="shared" si="574"/>
        <v>0</v>
      </c>
      <c r="AJ448" s="106">
        <f t="shared" si="574"/>
        <v>0</v>
      </c>
      <c r="AK448" s="106">
        <f t="shared" si="574"/>
        <v>0</v>
      </c>
      <c r="AL448" s="106">
        <f t="shared" si="574"/>
        <v>0</v>
      </c>
      <c r="AM448" s="106">
        <f t="shared" si="574"/>
        <v>0</v>
      </c>
      <c r="AN448" s="106">
        <f t="shared" si="574"/>
        <v>0</v>
      </c>
      <c r="AO448" s="106">
        <f t="shared" si="574"/>
        <v>0</v>
      </c>
      <c r="AP448" s="106">
        <f t="shared" si="574"/>
        <v>0</v>
      </c>
      <c r="AQ448" s="106">
        <f t="shared" ref="AQ448:AS448" si="575">AQ432 + AQ440</f>
        <v>0</v>
      </c>
      <c r="AR448" s="106">
        <f t="shared" si="575"/>
        <v>0</v>
      </c>
      <c r="AS448" s="106">
        <f t="shared" si="575"/>
        <v>0</v>
      </c>
    </row>
    <row r="449" spans="1:45" ht="15" customHeight="1" x14ac:dyDescent="0.3">
      <c r="A449" s="112"/>
      <c r="B449" s="112"/>
      <c r="C449" s="113"/>
      <c r="D449" s="42"/>
      <c r="E449" s="276" t="s">
        <v>349</v>
      </c>
      <c r="F449" s="276"/>
      <c r="G449" s="276" t="s">
        <v>346</v>
      </c>
      <c r="H449" s="162"/>
      <c r="I449" s="162"/>
      <c r="J449" s="42"/>
      <c r="K449" s="161">
        <f t="shared" ref="K449:O449" si="576">K445 + K446 + K447 - K448</f>
        <v>0</v>
      </c>
      <c r="L449" s="161">
        <f t="shared" si="576"/>
        <v>0</v>
      </c>
      <c r="M449" s="161">
        <f t="shared" si="576"/>
        <v>0</v>
      </c>
      <c r="N449" s="161">
        <f t="shared" si="576"/>
        <v>0</v>
      </c>
      <c r="O449" s="161">
        <f t="shared" si="576"/>
        <v>0</v>
      </c>
      <c r="P449" s="161">
        <f t="shared" ref="P449:R449" si="577">P445 + P446 + P447 - P448</f>
        <v>0</v>
      </c>
      <c r="Q449" s="161">
        <f t="shared" si="577"/>
        <v>0</v>
      </c>
      <c r="R449" s="161">
        <f t="shared" si="577"/>
        <v>0</v>
      </c>
      <c r="S449" s="161">
        <f t="shared" ref="S449:AP449" si="578">S445 + S446 + S447 - S448</f>
        <v>0</v>
      </c>
      <c r="T449" s="161">
        <f t="shared" si="578"/>
        <v>0</v>
      </c>
      <c r="U449" s="161">
        <f t="shared" si="578"/>
        <v>0</v>
      </c>
      <c r="V449" s="161">
        <f t="shared" si="578"/>
        <v>0</v>
      </c>
      <c r="W449" s="161">
        <f t="shared" si="578"/>
        <v>400</v>
      </c>
      <c r="X449" s="161">
        <f t="shared" si="578"/>
        <v>350.23</v>
      </c>
      <c r="Y449" s="161">
        <f t="shared" si="578"/>
        <v>250.46287740000002</v>
      </c>
      <c r="Z449" s="161">
        <f t="shared" si="578"/>
        <v>81.704459757212021</v>
      </c>
      <c r="AA449" s="161">
        <f t="shared" si="578"/>
        <v>66.955072462936613</v>
      </c>
      <c r="AB449" s="161">
        <f t="shared" si="578"/>
        <v>52.215053071601176</v>
      </c>
      <c r="AC449" s="161">
        <f t="shared" si="578"/>
        <v>37.484751755417626</v>
      </c>
      <c r="AD449" s="161">
        <f t="shared" si="578"/>
        <v>22.764531776035135</v>
      </c>
      <c r="AE449" s="161">
        <f t="shared" si="578"/>
        <v>8.0547699738233263</v>
      </c>
      <c r="AF449" s="161">
        <f t="shared" si="578"/>
        <v>8.3558572754448424</v>
      </c>
      <c r="AG449" s="161">
        <f t="shared" si="578"/>
        <v>8.6681992204009699</v>
      </c>
      <c r="AH449" s="161">
        <f t="shared" si="578"/>
        <v>8.9922165072595579</v>
      </c>
      <c r="AI449" s="161">
        <f t="shared" si="578"/>
        <v>9.3283455603009209</v>
      </c>
      <c r="AJ449" s="161">
        <f t="shared" si="578"/>
        <v>9.6770391173449699</v>
      </c>
      <c r="AK449" s="161">
        <f t="shared" si="578"/>
        <v>10.038766839551325</v>
      </c>
      <c r="AL449" s="161">
        <f t="shared" si="578"/>
        <v>10.414015944013753</v>
      </c>
      <c r="AM449" s="161">
        <f t="shared" si="578"/>
        <v>10.803291860000988</v>
      </c>
      <c r="AN449" s="161">
        <f t="shared" si="578"/>
        <v>11.207118909727825</v>
      </c>
      <c r="AO449" s="161">
        <f t="shared" si="578"/>
        <v>11.626041014573451</v>
      </c>
      <c r="AP449" s="161">
        <f t="shared" si="578"/>
        <v>12.060622427698206</v>
      </c>
      <c r="AQ449" s="161">
        <f t="shared" ref="AQ449:AS449" si="579">AQ445 + AQ446 + AQ447 - AQ448</f>
        <v>12.511448494045565</v>
      </c>
      <c r="AR449" s="161">
        <f t="shared" si="579"/>
        <v>12.979126438752989</v>
      </c>
      <c r="AS449" s="161">
        <f t="shared" si="579"/>
        <v>13.464286185033576</v>
      </c>
    </row>
    <row r="450" spans="1:45" ht="15" customHeight="1" x14ac:dyDescent="0.3">
      <c r="A450" s="112"/>
      <c r="B450" s="112"/>
      <c r="C450" s="113"/>
      <c r="D450" s="42"/>
      <c r="E450" s="42"/>
      <c r="F450" s="74"/>
      <c r="G450" s="42"/>
      <c r="H450" s="116"/>
      <c r="I450" s="116"/>
      <c r="J450" s="42"/>
      <c r="K450" s="42"/>
      <c r="L450" s="42"/>
      <c r="M450" s="42"/>
      <c r="N450" s="42"/>
      <c r="O450" s="42"/>
      <c r="P450" s="42"/>
      <c r="Q450" s="42"/>
      <c r="R450" s="42"/>
      <c r="S450" s="42"/>
      <c r="T450" s="42"/>
      <c r="U450" s="42"/>
      <c r="V450" s="42"/>
      <c r="W450" s="42"/>
      <c r="X450" s="42"/>
      <c r="Y450" s="42"/>
      <c r="Z450" s="42"/>
      <c r="AA450" s="42"/>
      <c r="AB450" s="42"/>
      <c r="AC450" s="42"/>
      <c r="AD450" s="42"/>
      <c r="AE450" s="42"/>
      <c r="AF450" s="42"/>
      <c r="AG450" s="42"/>
      <c r="AH450" s="42"/>
      <c r="AI450" s="42"/>
      <c r="AJ450" s="42"/>
      <c r="AK450" s="42"/>
      <c r="AL450" s="42"/>
      <c r="AM450" s="42"/>
      <c r="AN450" s="42"/>
      <c r="AO450" s="42"/>
      <c r="AP450" s="42"/>
      <c r="AQ450" s="42"/>
      <c r="AR450" s="42"/>
      <c r="AS450" s="42"/>
    </row>
    <row r="451" spans="1:45" ht="15" customHeight="1" x14ac:dyDescent="0.3">
      <c r="E451" s="169" t="str">
        <f xml:space="preserve"> E$355</f>
        <v>Cashflow after tax</v>
      </c>
      <c r="F451" s="169">
        <f t="shared" ref="F451:I451" si="580" xml:space="preserve"> F$355</f>
        <v>0</v>
      </c>
      <c r="G451" s="169" t="str">
        <f t="shared" si="580"/>
        <v>$ mn</v>
      </c>
      <c r="H451" s="169">
        <f t="shared" si="580"/>
        <v>0</v>
      </c>
      <c r="I451" s="169">
        <f t="shared" si="580"/>
        <v>2702.8200764076196</v>
      </c>
      <c r="J451" s="42"/>
      <c r="K451" s="169">
        <f t="shared" ref="K451:O451" si="581" xml:space="preserve"> K$355</f>
        <v>0</v>
      </c>
      <c r="L451" s="169">
        <f t="shared" si="581"/>
        <v>0</v>
      </c>
      <c r="M451" s="169">
        <f t="shared" si="581"/>
        <v>0</v>
      </c>
      <c r="N451" s="169">
        <f t="shared" si="581"/>
        <v>0</v>
      </c>
      <c r="O451" s="169">
        <f t="shared" si="581"/>
        <v>0</v>
      </c>
      <c r="P451" s="169">
        <f t="shared" ref="P451:AS451" si="582" xml:space="preserve"> P$355</f>
        <v>0</v>
      </c>
      <c r="Q451" s="169">
        <f t="shared" si="582"/>
        <v>0</v>
      </c>
      <c r="R451" s="169">
        <f t="shared" si="582"/>
        <v>0</v>
      </c>
      <c r="S451" s="169">
        <f t="shared" si="582"/>
        <v>0</v>
      </c>
      <c r="T451" s="169">
        <f t="shared" si="582"/>
        <v>0</v>
      </c>
      <c r="U451" s="169">
        <f t="shared" si="582"/>
        <v>0</v>
      </c>
      <c r="V451" s="169">
        <f t="shared" si="582"/>
        <v>-253.26045835000005</v>
      </c>
      <c r="W451" s="169">
        <f t="shared" si="582"/>
        <v>-23.633746630000019</v>
      </c>
      <c r="X451" s="169">
        <f t="shared" si="582"/>
        <v>-42.224732266975991</v>
      </c>
      <c r="Y451" s="169">
        <f t="shared" si="582"/>
        <v>222.8105153275601</v>
      </c>
      <c r="Z451" s="169">
        <f t="shared" si="582"/>
        <v>453.68762259521588</v>
      </c>
      <c r="AA451" s="169">
        <f t="shared" si="582"/>
        <v>196.76911517766803</v>
      </c>
      <c r="AB451" s="169">
        <f t="shared" si="582"/>
        <v>168.22633327869596</v>
      </c>
      <c r="AC451" s="169">
        <f t="shared" si="582"/>
        <v>242.14286698302124</v>
      </c>
      <c r="AD451" s="169">
        <f t="shared" si="582"/>
        <v>275.37315698302132</v>
      </c>
      <c r="AE451" s="169">
        <f t="shared" si="582"/>
        <v>275.20494698302127</v>
      </c>
      <c r="AF451" s="169">
        <f t="shared" si="582"/>
        <v>275.03673698302134</v>
      </c>
      <c r="AG451" s="169">
        <f t="shared" si="582"/>
        <v>275.03673698302134</v>
      </c>
      <c r="AH451" s="169">
        <f t="shared" si="582"/>
        <v>275.03673698302134</v>
      </c>
      <c r="AI451" s="169">
        <f t="shared" si="582"/>
        <v>150.88362324968784</v>
      </c>
      <c r="AJ451" s="169">
        <f t="shared" si="582"/>
        <v>182.42852300464392</v>
      </c>
      <c r="AK451" s="169">
        <f t="shared" si="582"/>
        <v>29.302099122995969</v>
      </c>
      <c r="AL451" s="169">
        <f t="shared" si="582"/>
        <v>0</v>
      </c>
      <c r="AM451" s="169">
        <f t="shared" si="582"/>
        <v>0</v>
      </c>
      <c r="AN451" s="169">
        <f t="shared" si="582"/>
        <v>0</v>
      </c>
      <c r="AO451" s="169">
        <f t="shared" si="582"/>
        <v>0</v>
      </c>
      <c r="AP451" s="169">
        <f t="shared" si="582"/>
        <v>0</v>
      </c>
      <c r="AQ451" s="169">
        <f t="shared" si="582"/>
        <v>0</v>
      </c>
      <c r="AR451" s="169">
        <f t="shared" si="582"/>
        <v>0</v>
      </c>
      <c r="AS451" s="169">
        <f t="shared" si="582"/>
        <v>0</v>
      </c>
    </row>
    <row r="452" spans="1:45" ht="15" customHeight="1" x14ac:dyDescent="0.3">
      <c r="E452" s="40" t="str">
        <f xml:space="preserve"> E$400</f>
        <v>Total drawdowns</v>
      </c>
      <c r="F452" s="40">
        <f t="shared" ref="F452:I452" si="583" xml:space="preserve"> F$400</f>
        <v>0</v>
      </c>
      <c r="G452" s="40" t="str">
        <f t="shared" si="583"/>
        <v>$ mn</v>
      </c>
      <c r="H452" s="40">
        <f t="shared" si="583"/>
        <v>0</v>
      </c>
      <c r="I452" s="40">
        <f t="shared" si="583"/>
        <v>499</v>
      </c>
      <c r="J452" s="42"/>
      <c r="K452" s="40">
        <f t="shared" ref="K452:O452" si="584" xml:space="preserve"> K$400</f>
        <v>0</v>
      </c>
      <c r="L452" s="40">
        <f t="shared" si="584"/>
        <v>0</v>
      </c>
      <c r="M452" s="40">
        <f t="shared" si="584"/>
        <v>0</v>
      </c>
      <c r="N452" s="40">
        <f t="shared" si="584"/>
        <v>0</v>
      </c>
      <c r="O452" s="40">
        <f t="shared" si="584"/>
        <v>0</v>
      </c>
      <c r="P452" s="40">
        <f t="shared" ref="P452:AS452" si="585" xml:space="preserve"> P$400</f>
        <v>0</v>
      </c>
      <c r="Q452" s="40">
        <f t="shared" si="585"/>
        <v>0</v>
      </c>
      <c r="R452" s="40">
        <f t="shared" si="585"/>
        <v>0</v>
      </c>
      <c r="S452" s="40">
        <f t="shared" si="585"/>
        <v>0</v>
      </c>
      <c r="T452" s="40">
        <f t="shared" si="585"/>
        <v>0</v>
      </c>
      <c r="U452" s="40">
        <f t="shared" si="585"/>
        <v>0</v>
      </c>
      <c r="V452" s="40">
        <f t="shared" si="585"/>
        <v>99</v>
      </c>
      <c r="W452" s="40">
        <f t="shared" si="585"/>
        <v>400</v>
      </c>
      <c r="X452" s="40">
        <f t="shared" si="585"/>
        <v>0</v>
      </c>
      <c r="Y452" s="40">
        <f t="shared" si="585"/>
        <v>0</v>
      </c>
      <c r="Z452" s="40">
        <f t="shared" si="585"/>
        <v>0</v>
      </c>
      <c r="AA452" s="40">
        <f t="shared" si="585"/>
        <v>0</v>
      </c>
      <c r="AB452" s="40">
        <f t="shared" si="585"/>
        <v>0</v>
      </c>
      <c r="AC452" s="40">
        <f t="shared" si="585"/>
        <v>0</v>
      </c>
      <c r="AD452" s="40">
        <f t="shared" si="585"/>
        <v>0</v>
      </c>
      <c r="AE452" s="40">
        <f t="shared" si="585"/>
        <v>0</v>
      </c>
      <c r="AF452" s="40">
        <f t="shared" si="585"/>
        <v>0</v>
      </c>
      <c r="AG452" s="40">
        <f t="shared" si="585"/>
        <v>0</v>
      </c>
      <c r="AH452" s="40">
        <f t="shared" si="585"/>
        <v>0</v>
      </c>
      <c r="AI452" s="40">
        <f t="shared" si="585"/>
        <v>0</v>
      </c>
      <c r="AJ452" s="40">
        <f t="shared" si="585"/>
        <v>0</v>
      </c>
      <c r="AK452" s="40">
        <f t="shared" si="585"/>
        <v>0</v>
      </c>
      <c r="AL452" s="40">
        <f t="shared" si="585"/>
        <v>0</v>
      </c>
      <c r="AM452" s="40">
        <f t="shared" si="585"/>
        <v>0</v>
      </c>
      <c r="AN452" s="40">
        <f t="shared" si="585"/>
        <v>0</v>
      </c>
      <c r="AO452" s="40">
        <f t="shared" si="585"/>
        <v>0</v>
      </c>
      <c r="AP452" s="40">
        <f t="shared" si="585"/>
        <v>0</v>
      </c>
      <c r="AQ452" s="40">
        <f t="shared" si="585"/>
        <v>0</v>
      </c>
      <c r="AR452" s="40">
        <f t="shared" si="585"/>
        <v>0</v>
      </c>
      <c r="AS452" s="40">
        <f t="shared" si="585"/>
        <v>0</v>
      </c>
    </row>
    <row r="453" spans="1:45" ht="15" customHeight="1" x14ac:dyDescent="0.3">
      <c r="E453" s="40" t="str">
        <f xml:space="preserve"> E$416</f>
        <v>Total repayments</v>
      </c>
      <c r="F453" s="40">
        <f t="shared" ref="F453:I453" si="586" xml:space="preserve"> F$416</f>
        <v>0</v>
      </c>
      <c r="G453" s="40" t="str">
        <f t="shared" si="586"/>
        <v>$ mn</v>
      </c>
      <c r="H453" s="40">
        <f t="shared" si="586"/>
        <v>0</v>
      </c>
      <c r="I453" s="40">
        <f t="shared" si="586"/>
        <v>538.11194</v>
      </c>
      <c r="J453" s="42"/>
      <c r="K453" s="40">
        <f t="shared" ref="K453:O453" si="587" xml:space="preserve"> K$416</f>
        <v>0</v>
      </c>
      <c r="L453" s="40">
        <f t="shared" si="587"/>
        <v>0</v>
      </c>
      <c r="M453" s="40">
        <f t="shared" si="587"/>
        <v>0</v>
      </c>
      <c r="N453" s="40">
        <f t="shared" si="587"/>
        <v>0</v>
      </c>
      <c r="O453" s="40">
        <f t="shared" si="587"/>
        <v>0</v>
      </c>
      <c r="P453" s="40">
        <f t="shared" ref="P453:AS453" si="588" xml:space="preserve"> P$416</f>
        <v>0</v>
      </c>
      <c r="Q453" s="40">
        <f t="shared" si="588"/>
        <v>0</v>
      </c>
      <c r="R453" s="40">
        <f t="shared" si="588"/>
        <v>0</v>
      </c>
      <c r="S453" s="40">
        <f t="shared" si="588"/>
        <v>0</v>
      </c>
      <c r="T453" s="40">
        <f t="shared" si="588"/>
        <v>0</v>
      </c>
      <c r="U453" s="40">
        <f t="shared" si="588"/>
        <v>0</v>
      </c>
      <c r="V453" s="40">
        <f t="shared" si="588"/>
        <v>0</v>
      </c>
      <c r="W453" s="40">
        <f t="shared" si="588"/>
        <v>99</v>
      </c>
      <c r="X453" s="40">
        <f t="shared" si="588"/>
        <v>64.721999999999994</v>
      </c>
      <c r="Y453" s="40">
        <f t="shared" si="588"/>
        <v>112.85872000000001</v>
      </c>
      <c r="Z453" s="40">
        <f t="shared" si="588"/>
        <v>178.12072000000001</v>
      </c>
      <c r="AA453" s="40">
        <f t="shared" si="588"/>
        <v>17.8035</v>
      </c>
      <c r="AB453" s="40">
        <f t="shared" si="588"/>
        <v>17.242799999999999</v>
      </c>
      <c r="AC453" s="40">
        <f t="shared" si="588"/>
        <v>16.682099999999998</v>
      </c>
      <c r="AD453" s="40">
        <f t="shared" si="588"/>
        <v>16.121400000000001</v>
      </c>
      <c r="AE453" s="40">
        <f t="shared" si="588"/>
        <v>15.560700000000001</v>
      </c>
      <c r="AF453" s="40">
        <f t="shared" si="588"/>
        <v>0</v>
      </c>
      <c r="AG453" s="40">
        <f t="shared" si="588"/>
        <v>0</v>
      </c>
      <c r="AH453" s="40">
        <f t="shared" si="588"/>
        <v>0</v>
      </c>
      <c r="AI453" s="40">
        <f t="shared" si="588"/>
        <v>0</v>
      </c>
      <c r="AJ453" s="40">
        <f t="shared" si="588"/>
        <v>0</v>
      </c>
      <c r="AK453" s="40">
        <f t="shared" si="588"/>
        <v>0</v>
      </c>
      <c r="AL453" s="40">
        <f t="shared" si="588"/>
        <v>0</v>
      </c>
      <c r="AM453" s="40">
        <f t="shared" si="588"/>
        <v>0</v>
      </c>
      <c r="AN453" s="40">
        <f t="shared" si="588"/>
        <v>0</v>
      </c>
      <c r="AO453" s="40">
        <f t="shared" si="588"/>
        <v>0</v>
      </c>
      <c r="AP453" s="40">
        <f t="shared" si="588"/>
        <v>0</v>
      </c>
      <c r="AQ453" s="40">
        <f t="shared" si="588"/>
        <v>0</v>
      </c>
      <c r="AR453" s="40">
        <f t="shared" si="588"/>
        <v>0</v>
      </c>
      <c r="AS453" s="40">
        <f t="shared" si="588"/>
        <v>0</v>
      </c>
    </row>
    <row r="454" spans="1:45" ht="15" customHeight="1" x14ac:dyDescent="0.3">
      <c r="A454" s="303"/>
      <c r="B454" s="303"/>
      <c r="C454" s="304"/>
      <c r="D454" s="305"/>
      <c r="E454" s="305" t="s">
        <v>473</v>
      </c>
      <c r="F454" s="305"/>
      <c r="G454" s="111" t="str">
        <f xml:space="preserve"> G$383</f>
        <v>$ mn</v>
      </c>
      <c r="H454" s="111"/>
      <c r="I454" s="111">
        <f>SUM(K454:AS454)</f>
        <v>2663.7081364076198</v>
      </c>
      <c r="J454" s="42"/>
      <c r="K454" s="305">
        <f t="shared" ref="K454:O454" si="589">K451 + K452 - K453</f>
        <v>0</v>
      </c>
      <c r="L454" s="305">
        <f t="shared" si="589"/>
        <v>0</v>
      </c>
      <c r="M454" s="305">
        <f t="shared" si="589"/>
        <v>0</v>
      </c>
      <c r="N454" s="305">
        <f t="shared" si="589"/>
        <v>0</v>
      </c>
      <c r="O454" s="305">
        <f t="shared" si="589"/>
        <v>0</v>
      </c>
      <c r="P454" s="305">
        <f t="shared" ref="P454:R454" si="590">P451 + P452 - P453</f>
        <v>0</v>
      </c>
      <c r="Q454" s="305">
        <f t="shared" si="590"/>
        <v>0</v>
      </c>
      <c r="R454" s="305">
        <f t="shared" si="590"/>
        <v>0</v>
      </c>
      <c r="S454" s="305">
        <f>S451 + S452 - S453</f>
        <v>0</v>
      </c>
      <c r="T454" s="305">
        <f t="shared" ref="T454:AP454" si="591">T451 + T452 - T453</f>
        <v>0</v>
      </c>
      <c r="U454" s="305">
        <f t="shared" si="591"/>
        <v>0</v>
      </c>
      <c r="V454" s="305">
        <f t="shared" si="591"/>
        <v>-154.26045835000005</v>
      </c>
      <c r="W454" s="305">
        <f t="shared" si="591"/>
        <v>277.36625336999998</v>
      </c>
      <c r="X454" s="305">
        <f t="shared" si="591"/>
        <v>-106.94673226697599</v>
      </c>
      <c r="Y454" s="305">
        <f t="shared" si="591"/>
        <v>109.95179532756009</v>
      </c>
      <c r="Z454" s="305">
        <f t="shared" si="591"/>
        <v>275.56690259521588</v>
      </c>
      <c r="AA454" s="305">
        <f t="shared" si="591"/>
        <v>178.96561517766804</v>
      </c>
      <c r="AB454" s="305">
        <f t="shared" si="591"/>
        <v>150.98353327869597</v>
      </c>
      <c r="AC454" s="305">
        <f t="shared" si="591"/>
        <v>225.46076698302124</v>
      </c>
      <c r="AD454" s="305">
        <f t="shared" si="591"/>
        <v>259.25175698302132</v>
      </c>
      <c r="AE454" s="305">
        <f t="shared" si="591"/>
        <v>259.64424698302128</v>
      </c>
      <c r="AF454" s="305">
        <f t="shared" si="591"/>
        <v>275.03673698302134</v>
      </c>
      <c r="AG454" s="305">
        <f t="shared" si="591"/>
        <v>275.03673698302134</v>
      </c>
      <c r="AH454" s="305">
        <f t="shared" si="591"/>
        <v>275.03673698302134</v>
      </c>
      <c r="AI454" s="305">
        <f t="shared" si="591"/>
        <v>150.88362324968784</v>
      </c>
      <c r="AJ454" s="305">
        <f t="shared" si="591"/>
        <v>182.42852300464392</v>
      </c>
      <c r="AK454" s="305">
        <f t="shared" si="591"/>
        <v>29.302099122995969</v>
      </c>
      <c r="AL454" s="305">
        <f t="shared" si="591"/>
        <v>0</v>
      </c>
      <c r="AM454" s="305">
        <f t="shared" si="591"/>
        <v>0</v>
      </c>
      <c r="AN454" s="305">
        <f t="shared" si="591"/>
        <v>0</v>
      </c>
      <c r="AO454" s="305">
        <f t="shared" si="591"/>
        <v>0</v>
      </c>
      <c r="AP454" s="305">
        <f t="shared" si="591"/>
        <v>0</v>
      </c>
      <c r="AQ454" s="305">
        <f t="shared" ref="AQ454:AS454" si="592">AQ451 + AQ452 - AQ453</f>
        <v>0</v>
      </c>
      <c r="AR454" s="305">
        <f t="shared" si="592"/>
        <v>0</v>
      </c>
      <c r="AS454" s="305">
        <f t="shared" si="592"/>
        <v>0</v>
      </c>
    </row>
    <row r="455" spans="1:45" ht="15" customHeight="1" x14ac:dyDescent="0.3">
      <c r="I455" s="291"/>
      <c r="J455" s="42"/>
      <c r="AL455" s="290"/>
      <c r="AM455" s="290"/>
      <c r="AN455" s="290"/>
      <c r="AO455" s="290"/>
      <c r="AP455" s="290"/>
      <c r="AQ455" s="290"/>
      <c r="AR455" s="290"/>
      <c r="AS455" s="290"/>
    </row>
    <row r="456" spans="1:45" ht="15" customHeight="1" collapsed="1" x14ac:dyDescent="0.3">
      <c r="A456" s="15" t="s">
        <v>295</v>
      </c>
      <c r="B456" s="119"/>
      <c r="C456" s="120"/>
      <c r="D456" s="121"/>
      <c r="E456" s="119"/>
      <c r="F456" s="119"/>
      <c r="G456" s="119"/>
      <c r="H456" s="119"/>
      <c r="I456" s="119"/>
      <c r="J456" s="42"/>
      <c r="K456" s="16"/>
      <c r="L456" s="16"/>
      <c r="M456" s="16"/>
      <c r="N456" s="16"/>
      <c r="O456" s="16"/>
      <c r="P456" s="16"/>
      <c r="Q456" s="16"/>
      <c r="R456" s="16"/>
      <c r="S456" s="16"/>
      <c r="T456" s="16"/>
      <c r="U456" s="16"/>
      <c r="V456" s="16"/>
      <c r="W456" s="16"/>
      <c r="X456" s="16"/>
      <c r="Y456" s="16"/>
      <c r="Z456" s="16"/>
      <c r="AA456" s="16"/>
      <c r="AB456" s="16"/>
      <c r="AC456" s="16"/>
      <c r="AD456" s="16"/>
      <c r="AE456" s="16"/>
      <c r="AF456" s="16"/>
      <c r="AG456" s="16"/>
      <c r="AH456" s="16"/>
      <c r="AI456" s="16"/>
      <c r="AJ456" s="16"/>
      <c r="AK456" s="16"/>
      <c r="AL456" s="16"/>
      <c r="AM456" s="16"/>
      <c r="AN456" s="16"/>
      <c r="AO456" s="16"/>
      <c r="AP456" s="16"/>
      <c r="AQ456" s="16"/>
      <c r="AR456" s="16"/>
      <c r="AS456" s="16"/>
    </row>
    <row r="457" spans="1:45" ht="15" customHeight="1" x14ac:dyDescent="0.3">
      <c r="I457" s="291"/>
      <c r="J457" s="42"/>
      <c r="AL457" s="290"/>
      <c r="AM457" s="290"/>
      <c r="AN457" s="290"/>
      <c r="AO457" s="290"/>
      <c r="AP457" s="290"/>
      <c r="AQ457" s="290"/>
      <c r="AR457" s="290"/>
      <c r="AS457" s="290"/>
    </row>
    <row r="458" spans="1:45" ht="15" customHeight="1" x14ac:dyDescent="0.3">
      <c r="E458" s="42" t="s">
        <v>232</v>
      </c>
      <c r="F458" s="73">
        <v>0.28000000000000003</v>
      </c>
      <c r="G458" s="42" t="s">
        <v>34</v>
      </c>
      <c r="I458" s="291"/>
      <c r="J458" s="42"/>
      <c r="AL458" s="290"/>
      <c r="AM458" s="290"/>
      <c r="AN458" s="290"/>
      <c r="AO458" s="290"/>
      <c r="AP458" s="290"/>
      <c r="AQ458" s="290"/>
      <c r="AR458" s="290"/>
      <c r="AS458" s="290"/>
    </row>
    <row r="459" spans="1:45" ht="15" customHeight="1" x14ac:dyDescent="0.3">
      <c r="E459" s="42" t="s">
        <v>233</v>
      </c>
      <c r="F459" s="73">
        <v>0.33</v>
      </c>
      <c r="G459" s="42" t="s">
        <v>34</v>
      </c>
      <c r="I459" s="291"/>
      <c r="J459" s="42"/>
      <c r="AL459" s="290"/>
      <c r="AM459" s="290"/>
      <c r="AN459" s="290"/>
      <c r="AO459" s="290"/>
      <c r="AP459" s="290"/>
      <c r="AQ459" s="290"/>
      <c r="AR459" s="290"/>
      <c r="AS459" s="290"/>
    </row>
    <row r="460" spans="1:45" ht="15" customHeight="1" x14ac:dyDescent="0.3">
      <c r="I460" s="291"/>
      <c r="J460" s="42"/>
      <c r="AL460" s="290"/>
      <c r="AM460" s="290"/>
      <c r="AN460" s="290"/>
      <c r="AO460" s="290"/>
      <c r="AP460" s="290"/>
      <c r="AQ460" s="290"/>
      <c r="AR460" s="290"/>
      <c r="AS460" s="290"/>
    </row>
    <row r="461" spans="1:45" ht="15" customHeight="1" x14ac:dyDescent="0.3">
      <c r="A461" s="112"/>
      <c r="B461" s="112"/>
      <c r="C461" s="113"/>
      <c r="D461" s="42"/>
      <c r="E461" s="42" t="s">
        <v>235</v>
      </c>
      <c r="F461" s="42"/>
      <c r="G461" s="42"/>
      <c r="H461" s="116"/>
      <c r="I461" s="116"/>
      <c r="J461" s="42"/>
      <c r="K461" s="72">
        <f t="shared" ref="K461:AS461" si="593">IF(K40 &lt; 2024, $F458, $F459)</f>
        <v>0.28000000000000003</v>
      </c>
      <c r="L461" s="72">
        <f t="shared" si="593"/>
        <v>0.28000000000000003</v>
      </c>
      <c r="M461" s="72">
        <f t="shared" si="593"/>
        <v>0.28000000000000003</v>
      </c>
      <c r="N461" s="72">
        <f t="shared" si="593"/>
        <v>0.28000000000000003</v>
      </c>
      <c r="O461" s="72">
        <f t="shared" si="593"/>
        <v>0.28000000000000003</v>
      </c>
      <c r="P461" s="72">
        <f t="shared" si="593"/>
        <v>0.28000000000000003</v>
      </c>
      <c r="Q461" s="72">
        <f t="shared" si="593"/>
        <v>0.28000000000000003</v>
      </c>
      <c r="R461" s="72">
        <f t="shared" si="593"/>
        <v>0.28000000000000003</v>
      </c>
      <c r="S461" s="72">
        <f t="shared" si="593"/>
        <v>0.28000000000000003</v>
      </c>
      <c r="T461" s="72">
        <f t="shared" si="593"/>
        <v>0.28000000000000003</v>
      </c>
      <c r="U461" s="72">
        <f t="shared" si="593"/>
        <v>0.28000000000000003</v>
      </c>
      <c r="V461" s="72">
        <f t="shared" si="593"/>
        <v>0.28000000000000003</v>
      </c>
      <c r="W461" s="72">
        <f t="shared" si="593"/>
        <v>0.28000000000000003</v>
      </c>
      <c r="X461" s="72">
        <f t="shared" si="593"/>
        <v>0.28000000000000003</v>
      </c>
      <c r="Y461" s="72">
        <f t="shared" si="593"/>
        <v>0.28000000000000003</v>
      </c>
      <c r="Z461" s="72">
        <f t="shared" si="593"/>
        <v>0.28000000000000003</v>
      </c>
      <c r="AA461" s="72">
        <f t="shared" si="593"/>
        <v>0.28000000000000003</v>
      </c>
      <c r="AB461" s="72">
        <f t="shared" si="593"/>
        <v>0.28000000000000003</v>
      </c>
      <c r="AC461" s="72">
        <f t="shared" si="593"/>
        <v>0.33</v>
      </c>
      <c r="AD461" s="72">
        <f t="shared" si="593"/>
        <v>0.33</v>
      </c>
      <c r="AE461" s="72">
        <f t="shared" si="593"/>
        <v>0.33</v>
      </c>
      <c r="AF461" s="72">
        <f t="shared" si="593"/>
        <v>0.33</v>
      </c>
      <c r="AG461" s="72">
        <f t="shared" si="593"/>
        <v>0.33</v>
      </c>
      <c r="AH461" s="72">
        <f t="shared" si="593"/>
        <v>0.33</v>
      </c>
      <c r="AI461" s="72">
        <f t="shared" si="593"/>
        <v>0.28000000000000003</v>
      </c>
      <c r="AJ461" s="72">
        <f t="shared" si="593"/>
        <v>0.28000000000000003</v>
      </c>
      <c r="AK461" s="72">
        <f t="shared" si="593"/>
        <v>0.28000000000000003</v>
      </c>
      <c r="AL461" s="72">
        <f t="shared" si="593"/>
        <v>0.28000000000000003</v>
      </c>
      <c r="AM461" s="72">
        <f t="shared" si="593"/>
        <v>0.28000000000000003</v>
      </c>
      <c r="AN461" s="72">
        <f t="shared" si="593"/>
        <v>0.28000000000000003</v>
      </c>
      <c r="AO461" s="72">
        <f t="shared" si="593"/>
        <v>0.28000000000000003</v>
      </c>
      <c r="AP461" s="72">
        <f t="shared" si="593"/>
        <v>0.28000000000000003</v>
      </c>
      <c r="AQ461" s="72">
        <f t="shared" si="593"/>
        <v>0.28000000000000003</v>
      </c>
      <c r="AR461" s="72">
        <f t="shared" si="593"/>
        <v>0.28000000000000003</v>
      </c>
      <c r="AS461" s="72">
        <f t="shared" si="593"/>
        <v>0.28000000000000003</v>
      </c>
    </row>
    <row r="462" spans="1:45" ht="15" customHeight="1" x14ac:dyDescent="0.3">
      <c r="I462" s="291"/>
      <c r="AL462" s="290"/>
      <c r="AM462" s="290"/>
      <c r="AN462" s="290"/>
      <c r="AO462" s="290"/>
      <c r="AP462" s="290"/>
      <c r="AQ462" s="290"/>
      <c r="AR462" s="290"/>
      <c r="AS462" s="290"/>
    </row>
    <row r="463" spans="1:45" ht="15" customHeight="1" x14ac:dyDescent="0.3">
      <c r="E463" s="169" t="str">
        <f xml:space="preserve"> E$160</f>
        <v>Capital costs: FS</v>
      </c>
      <c r="F463" s="169" t="str">
        <f xml:space="preserve"> F$160</f>
        <v>FS</v>
      </c>
      <c r="G463" s="169" t="str">
        <f xml:space="preserve"> G$160</f>
        <v>$ mn</v>
      </c>
      <c r="H463" s="169">
        <f xml:space="preserve"> H$160</f>
        <v>0</v>
      </c>
      <c r="I463" s="169">
        <f xml:space="preserve"> I$160</f>
        <v>824.72191894000002</v>
      </c>
      <c r="J463" s="42"/>
      <c r="K463" s="169">
        <f t="shared" ref="K463:O463" si="594" xml:space="preserve"> K$160</f>
        <v>0</v>
      </c>
      <c r="L463" s="169">
        <f t="shared" si="594"/>
        <v>0</v>
      </c>
      <c r="M463" s="169">
        <f t="shared" si="594"/>
        <v>0</v>
      </c>
      <c r="N463" s="169">
        <f t="shared" si="594"/>
        <v>0</v>
      </c>
      <c r="O463" s="169">
        <f t="shared" si="594"/>
        <v>0</v>
      </c>
      <c r="P463" s="169">
        <f t="shared" ref="P463:AS463" si="595" xml:space="preserve"> P$160</f>
        <v>0</v>
      </c>
      <c r="Q463" s="169">
        <f t="shared" si="595"/>
        <v>0</v>
      </c>
      <c r="R463" s="169">
        <f t="shared" si="595"/>
        <v>0</v>
      </c>
      <c r="S463" s="169">
        <f t="shared" si="595"/>
        <v>0</v>
      </c>
      <c r="T463" s="169">
        <f t="shared" si="595"/>
        <v>0</v>
      </c>
      <c r="U463" s="169">
        <f t="shared" si="595"/>
        <v>0</v>
      </c>
      <c r="V463" s="169">
        <f t="shared" si="595"/>
        <v>245.02819335000001</v>
      </c>
      <c r="W463" s="169">
        <f t="shared" si="595"/>
        <v>111.33372773000001</v>
      </c>
      <c r="X463" s="169">
        <f t="shared" si="595"/>
        <v>148.28970892000001</v>
      </c>
      <c r="Y463" s="169">
        <f t="shared" si="595"/>
        <v>4.7877627</v>
      </c>
      <c r="Z463" s="169">
        <f t="shared" si="595"/>
        <v>81.812290399999995</v>
      </c>
      <c r="AA463" s="169">
        <f t="shared" si="595"/>
        <v>100.30613584</v>
      </c>
      <c r="AB463" s="169">
        <f t="shared" si="595"/>
        <v>99.765600000000006</v>
      </c>
      <c r="AC463" s="169">
        <f t="shared" si="595"/>
        <v>33.398499999999999</v>
      </c>
      <c r="AD463" s="169">
        <f t="shared" si="595"/>
        <v>0</v>
      </c>
      <c r="AE463" s="169">
        <f t="shared" si="595"/>
        <v>0</v>
      </c>
      <c r="AF463" s="169">
        <f t="shared" si="595"/>
        <v>0</v>
      </c>
      <c r="AG463" s="169">
        <f t="shared" si="595"/>
        <v>0</v>
      </c>
      <c r="AH463" s="169">
        <f t="shared" si="595"/>
        <v>0</v>
      </c>
      <c r="AI463" s="169">
        <f t="shared" si="595"/>
        <v>0</v>
      </c>
      <c r="AJ463" s="169">
        <f t="shared" si="595"/>
        <v>0</v>
      </c>
      <c r="AK463" s="169">
        <f t="shared" si="595"/>
        <v>0</v>
      </c>
      <c r="AL463" s="169">
        <f t="shared" si="595"/>
        <v>0</v>
      </c>
      <c r="AM463" s="169">
        <f t="shared" si="595"/>
        <v>0</v>
      </c>
      <c r="AN463" s="169">
        <f t="shared" si="595"/>
        <v>0</v>
      </c>
      <c r="AO463" s="169">
        <f t="shared" si="595"/>
        <v>0</v>
      </c>
      <c r="AP463" s="169">
        <f t="shared" si="595"/>
        <v>0</v>
      </c>
      <c r="AQ463" s="169">
        <f t="shared" si="595"/>
        <v>0</v>
      </c>
      <c r="AR463" s="169">
        <f t="shared" si="595"/>
        <v>0</v>
      </c>
      <c r="AS463" s="169">
        <f t="shared" si="595"/>
        <v>0</v>
      </c>
    </row>
    <row r="464" spans="1:45" ht="15" customHeight="1" x14ac:dyDescent="0.3">
      <c r="A464" s="112"/>
      <c r="B464" s="112"/>
      <c r="C464" s="113"/>
      <c r="D464" s="42"/>
      <c r="E464" s="42" t="s">
        <v>234</v>
      </c>
      <c r="F464" s="42"/>
      <c r="G464" s="42" t="s">
        <v>346</v>
      </c>
      <c r="H464" s="116"/>
      <c r="I464" s="116">
        <f>SUM(K464:AS464)</f>
        <v>232.59206230320001</v>
      </c>
      <c r="J464" s="127"/>
      <c r="K464" s="42">
        <f t="shared" ref="K464:O464" si="596">K461* K463</f>
        <v>0</v>
      </c>
      <c r="L464" s="42">
        <f t="shared" si="596"/>
        <v>0</v>
      </c>
      <c r="M464" s="42">
        <f t="shared" si="596"/>
        <v>0</v>
      </c>
      <c r="N464" s="42">
        <f t="shared" si="596"/>
        <v>0</v>
      </c>
      <c r="O464" s="42">
        <f t="shared" si="596"/>
        <v>0</v>
      </c>
      <c r="P464" s="42">
        <f t="shared" ref="P464:R464" si="597">P461* P463</f>
        <v>0</v>
      </c>
      <c r="Q464" s="42">
        <f t="shared" si="597"/>
        <v>0</v>
      </c>
      <c r="R464" s="42">
        <f t="shared" si="597"/>
        <v>0</v>
      </c>
      <c r="S464" s="42">
        <f>S461* S463</f>
        <v>0</v>
      </c>
      <c r="T464" s="42">
        <f t="shared" ref="T464:AP464" si="598">T461* T463</f>
        <v>0</v>
      </c>
      <c r="U464" s="42">
        <f t="shared" si="598"/>
        <v>0</v>
      </c>
      <c r="V464" s="42">
        <f t="shared" si="598"/>
        <v>68.607894138000006</v>
      </c>
      <c r="W464" s="42">
        <f t="shared" si="598"/>
        <v>31.173443764400005</v>
      </c>
      <c r="X464" s="42">
        <f t="shared" si="598"/>
        <v>41.521118497600007</v>
      </c>
      <c r="Y464" s="42">
        <f t="shared" si="598"/>
        <v>1.3405735560000001</v>
      </c>
      <c r="Z464" s="42">
        <f t="shared" si="598"/>
        <v>22.907441312</v>
      </c>
      <c r="AA464" s="42">
        <f t="shared" si="598"/>
        <v>28.085718035200003</v>
      </c>
      <c r="AB464" s="42">
        <f t="shared" si="598"/>
        <v>27.934368000000003</v>
      </c>
      <c r="AC464" s="42">
        <f t="shared" si="598"/>
        <v>11.021504999999999</v>
      </c>
      <c r="AD464" s="42">
        <f t="shared" si="598"/>
        <v>0</v>
      </c>
      <c r="AE464" s="42">
        <f t="shared" si="598"/>
        <v>0</v>
      </c>
      <c r="AF464" s="42">
        <f t="shared" si="598"/>
        <v>0</v>
      </c>
      <c r="AG464" s="42">
        <f t="shared" si="598"/>
        <v>0</v>
      </c>
      <c r="AH464" s="42">
        <f t="shared" si="598"/>
        <v>0</v>
      </c>
      <c r="AI464" s="42">
        <f t="shared" si="598"/>
        <v>0</v>
      </c>
      <c r="AJ464" s="42">
        <f t="shared" si="598"/>
        <v>0</v>
      </c>
      <c r="AK464" s="42">
        <f t="shared" si="598"/>
        <v>0</v>
      </c>
      <c r="AL464" s="42">
        <f t="shared" si="598"/>
        <v>0</v>
      </c>
      <c r="AM464" s="42">
        <f t="shared" si="598"/>
        <v>0</v>
      </c>
      <c r="AN464" s="42">
        <f t="shared" si="598"/>
        <v>0</v>
      </c>
      <c r="AO464" s="42">
        <f t="shared" si="598"/>
        <v>0</v>
      </c>
      <c r="AP464" s="42">
        <f t="shared" si="598"/>
        <v>0</v>
      </c>
      <c r="AQ464" s="42">
        <f t="shared" ref="AQ464:AS464" si="599">AQ461* AQ463</f>
        <v>0</v>
      </c>
      <c r="AR464" s="42">
        <f t="shared" si="599"/>
        <v>0</v>
      </c>
      <c r="AS464" s="42">
        <f t="shared" si="599"/>
        <v>0</v>
      </c>
    </row>
    <row r="465" spans="1:45" ht="15" customHeight="1" x14ac:dyDescent="0.3">
      <c r="I465" s="291"/>
      <c r="AL465" s="290"/>
      <c r="AM465" s="290"/>
      <c r="AN465" s="290"/>
      <c r="AO465" s="290"/>
      <c r="AP465" s="290"/>
      <c r="AQ465" s="290"/>
      <c r="AR465" s="290"/>
      <c r="AS465" s="290"/>
    </row>
    <row r="466" spans="1:45" ht="15" customHeight="1" x14ac:dyDescent="0.3">
      <c r="E466" s="169" t="str">
        <f xml:space="preserve"> E$454</f>
        <v>Cashflow after loan</v>
      </c>
      <c r="F466" s="169">
        <f t="shared" ref="F466:O466" si="600" xml:space="preserve"> F$454</f>
        <v>0</v>
      </c>
      <c r="G466" s="169" t="str">
        <f t="shared" si="600"/>
        <v>$ mn</v>
      </c>
      <c r="H466" s="169">
        <f t="shared" si="600"/>
        <v>0</v>
      </c>
      <c r="I466" s="169">
        <f t="shared" si="600"/>
        <v>2663.7081364076198</v>
      </c>
      <c r="J466" s="169">
        <f t="shared" si="600"/>
        <v>0</v>
      </c>
      <c r="K466" s="169">
        <f t="shared" si="600"/>
        <v>0</v>
      </c>
      <c r="L466" s="169">
        <f t="shared" si="600"/>
        <v>0</v>
      </c>
      <c r="M466" s="169">
        <f t="shared" si="600"/>
        <v>0</v>
      </c>
      <c r="N466" s="169">
        <f t="shared" si="600"/>
        <v>0</v>
      </c>
      <c r="O466" s="169">
        <f t="shared" si="600"/>
        <v>0</v>
      </c>
      <c r="P466" s="169">
        <f t="shared" ref="P466:AS466" si="601" xml:space="preserve"> P$454</f>
        <v>0</v>
      </c>
      <c r="Q466" s="169">
        <f t="shared" si="601"/>
        <v>0</v>
      </c>
      <c r="R466" s="169">
        <f t="shared" si="601"/>
        <v>0</v>
      </c>
      <c r="S466" s="169">
        <f t="shared" si="601"/>
        <v>0</v>
      </c>
      <c r="T466" s="169">
        <f t="shared" si="601"/>
        <v>0</v>
      </c>
      <c r="U466" s="169">
        <f t="shared" si="601"/>
        <v>0</v>
      </c>
      <c r="V466" s="169">
        <f t="shared" si="601"/>
        <v>-154.26045835000005</v>
      </c>
      <c r="W466" s="169">
        <f t="shared" si="601"/>
        <v>277.36625336999998</v>
      </c>
      <c r="X466" s="169">
        <f t="shared" si="601"/>
        <v>-106.94673226697599</v>
      </c>
      <c r="Y466" s="169">
        <f t="shared" si="601"/>
        <v>109.95179532756009</v>
      </c>
      <c r="Z466" s="169">
        <f t="shared" si="601"/>
        <v>275.56690259521588</v>
      </c>
      <c r="AA466" s="169">
        <f t="shared" si="601"/>
        <v>178.96561517766804</v>
      </c>
      <c r="AB466" s="169">
        <f t="shared" si="601"/>
        <v>150.98353327869597</v>
      </c>
      <c r="AC466" s="169">
        <f t="shared" si="601"/>
        <v>225.46076698302124</v>
      </c>
      <c r="AD466" s="169">
        <f t="shared" si="601"/>
        <v>259.25175698302132</v>
      </c>
      <c r="AE466" s="169">
        <f t="shared" si="601"/>
        <v>259.64424698302128</v>
      </c>
      <c r="AF466" s="169">
        <f t="shared" si="601"/>
        <v>275.03673698302134</v>
      </c>
      <c r="AG466" s="169">
        <f t="shared" si="601"/>
        <v>275.03673698302134</v>
      </c>
      <c r="AH466" s="169">
        <f t="shared" si="601"/>
        <v>275.03673698302134</v>
      </c>
      <c r="AI466" s="169">
        <f t="shared" si="601"/>
        <v>150.88362324968784</v>
      </c>
      <c r="AJ466" s="169">
        <f t="shared" si="601"/>
        <v>182.42852300464392</v>
      </c>
      <c r="AK466" s="169">
        <f t="shared" si="601"/>
        <v>29.302099122995969</v>
      </c>
      <c r="AL466" s="169">
        <f t="shared" si="601"/>
        <v>0</v>
      </c>
      <c r="AM466" s="169">
        <f t="shared" si="601"/>
        <v>0</v>
      </c>
      <c r="AN466" s="169">
        <f t="shared" si="601"/>
        <v>0</v>
      </c>
      <c r="AO466" s="169">
        <f t="shared" si="601"/>
        <v>0</v>
      </c>
      <c r="AP466" s="169">
        <f t="shared" si="601"/>
        <v>0</v>
      </c>
      <c r="AQ466" s="169">
        <f t="shared" si="601"/>
        <v>0</v>
      </c>
      <c r="AR466" s="169">
        <f t="shared" si="601"/>
        <v>0</v>
      </c>
      <c r="AS466" s="169">
        <f t="shared" si="601"/>
        <v>0</v>
      </c>
    </row>
    <row r="467" spans="1:45" ht="15" customHeight="1" x14ac:dyDescent="0.3">
      <c r="A467" s="112"/>
      <c r="B467" s="112"/>
      <c r="C467" s="113"/>
      <c r="D467" s="42"/>
      <c r="E467" s="42" t="s">
        <v>236</v>
      </c>
      <c r="F467" s="42"/>
      <c r="G467" s="42" t="s">
        <v>346</v>
      </c>
      <c r="H467" s="116"/>
      <c r="I467" s="116">
        <f>SUM(K467:AS467)</f>
        <v>897.4496406617933</v>
      </c>
      <c r="J467" s="127"/>
      <c r="K467" s="42">
        <f t="shared" ref="K467:O467" si="602">(K466 &gt; 0) * K466 * K461</f>
        <v>0</v>
      </c>
      <c r="L467" s="42">
        <f t="shared" si="602"/>
        <v>0</v>
      </c>
      <c r="M467" s="42">
        <f t="shared" si="602"/>
        <v>0</v>
      </c>
      <c r="N467" s="42">
        <f t="shared" si="602"/>
        <v>0</v>
      </c>
      <c r="O467" s="42">
        <f t="shared" si="602"/>
        <v>0</v>
      </c>
      <c r="P467" s="42">
        <f t="shared" ref="P467:R467" si="603">(P466 &gt; 0) * P466 * P461</f>
        <v>0</v>
      </c>
      <c r="Q467" s="42">
        <f t="shared" si="603"/>
        <v>0</v>
      </c>
      <c r="R467" s="42">
        <f t="shared" si="603"/>
        <v>0</v>
      </c>
      <c r="S467" s="42">
        <f>(S466 &gt; 0) * S466 * S461</f>
        <v>0</v>
      </c>
      <c r="T467" s="42">
        <f t="shared" ref="T467:AP467" si="604">(T466 &gt; 0) * T466 * T461</f>
        <v>0</v>
      </c>
      <c r="U467" s="42">
        <f t="shared" si="604"/>
        <v>0</v>
      </c>
      <c r="V467" s="42">
        <f t="shared" si="604"/>
        <v>0</v>
      </c>
      <c r="W467" s="42">
        <f>(W466 &gt; 0) * W466 * W461</f>
        <v>77.662550943599996</v>
      </c>
      <c r="X467" s="42">
        <f t="shared" si="604"/>
        <v>0</v>
      </c>
      <c r="Y467" s="42">
        <f t="shared" si="604"/>
        <v>30.78650269171683</v>
      </c>
      <c r="Z467" s="42">
        <f t="shared" si="604"/>
        <v>77.15873272666046</v>
      </c>
      <c r="AA467" s="42">
        <f t="shared" si="604"/>
        <v>50.110372249747059</v>
      </c>
      <c r="AB467" s="42">
        <f t="shared" si="604"/>
        <v>42.275389318034875</v>
      </c>
      <c r="AC467" s="42">
        <f t="shared" si="604"/>
        <v>74.402053104397012</v>
      </c>
      <c r="AD467" s="42">
        <f t="shared" si="604"/>
        <v>85.553079804397044</v>
      </c>
      <c r="AE467" s="42">
        <f t="shared" si="604"/>
        <v>85.682601504397027</v>
      </c>
      <c r="AF467" s="42">
        <f t="shared" si="604"/>
        <v>90.762123204397042</v>
      </c>
      <c r="AG467" s="42">
        <f t="shared" si="604"/>
        <v>90.762123204397042</v>
      </c>
      <c r="AH467" s="42">
        <f t="shared" si="604"/>
        <v>90.762123204397042</v>
      </c>
      <c r="AI467" s="42">
        <f t="shared" si="604"/>
        <v>42.247414509912602</v>
      </c>
      <c r="AJ467" s="42">
        <f t="shared" si="604"/>
        <v>51.079986441300299</v>
      </c>
      <c r="AK467" s="42">
        <f t="shared" si="604"/>
        <v>8.2045877544388723</v>
      </c>
      <c r="AL467" s="42">
        <f t="shared" si="604"/>
        <v>0</v>
      </c>
      <c r="AM467" s="42">
        <f t="shared" si="604"/>
        <v>0</v>
      </c>
      <c r="AN467" s="42">
        <f t="shared" si="604"/>
        <v>0</v>
      </c>
      <c r="AO467" s="42">
        <f t="shared" si="604"/>
        <v>0</v>
      </c>
      <c r="AP467" s="42">
        <f t="shared" si="604"/>
        <v>0</v>
      </c>
      <c r="AQ467" s="42">
        <f t="shared" ref="AQ467:AS467" si="605">(AQ466 &gt; 0) * AQ466 * AQ461</f>
        <v>0</v>
      </c>
      <c r="AR467" s="42">
        <f t="shared" si="605"/>
        <v>0</v>
      </c>
      <c r="AS467" s="42">
        <f t="shared" si="605"/>
        <v>0</v>
      </c>
    </row>
    <row r="468" spans="1:45" ht="15" customHeight="1" x14ac:dyDescent="0.3">
      <c r="I468" s="291"/>
      <c r="AL468" s="290"/>
      <c r="AM468" s="290"/>
      <c r="AN468" s="290"/>
      <c r="AO468" s="290"/>
      <c r="AP468" s="290"/>
      <c r="AQ468" s="290"/>
      <c r="AR468" s="290"/>
      <c r="AS468" s="290"/>
    </row>
    <row r="469" spans="1:45" ht="15" customHeight="1" collapsed="1" x14ac:dyDescent="0.3">
      <c r="A469" s="15" t="s">
        <v>296</v>
      </c>
      <c r="B469" s="119"/>
      <c r="C469" s="120"/>
      <c r="D469" s="121"/>
      <c r="E469" s="119"/>
      <c r="F469" s="119"/>
      <c r="G469" s="119"/>
      <c r="H469" s="119"/>
      <c r="I469" s="119"/>
      <c r="J469" s="16"/>
      <c r="K469" s="16"/>
      <c r="L469" s="16"/>
      <c r="M469" s="16"/>
      <c r="N469" s="16"/>
      <c r="O469" s="16"/>
      <c r="P469" s="16"/>
      <c r="Q469" s="16"/>
      <c r="R469" s="16"/>
      <c r="S469" s="16"/>
      <c r="T469" s="16"/>
      <c r="U469" s="16"/>
      <c r="V469" s="16"/>
      <c r="W469" s="16"/>
      <c r="X469" s="16"/>
      <c r="Y469" s="16"/>
      <c r="Z469" s="16"/>
      <c r="AA469" s="16"/>
      <c r="AB469" s="16"/>
      <c r="AC469" s="16"/>
      <c r="AD469" s="16"/>
      <c r="AE469" s="16"/>
      <c r="AF469" s="16"/>
      <c r="AG469" s="16"/>
      <c r="AH469" s="16"/>
      <c r="AI469" s="16"/>
      <c r="AJ469" s="16"/>
      <c r="AK469" s="16"/>
      <c r="AL469" s="16"/>
      <c r="AM469" s="16"/>
      <c r="AN469" s="16"/>
      <c r="AO469" s="16"/>
      <c r="AP469" s="16"/>
      <c r="AQ469" s="16"/>
      <c r="AR469" s="16"/>
      <c r="AS469" s="16"/>
    </row>
    <row r="470" spans="1:45" ht="15" customHeight="1" x14ac:dyDescent="0.3">
      <c r="I470" s="291"/>
      <c r="AL470" s="290"/>
      <c r="AM470" s="290"/>
      <c r="AN470" s="290"/>
      <c r="AO470" s="290"/>
      <c r="AP470" s="290"/>
      <c r="AQ470" s="290"/>
      <c r="AR470" s="290"/>
      <c r="AS470" s="290"/>
    </row>
    <row r="471" spans="1:45" ht="15" customHeight="1" x14ac:dyDescent="0.3">
      <c r="A471" s="112"/>
      <c r="B471" s="112" t="s">
        <v>237</v>
      </c>
      <c r="C471" s="113"/>
      <c r="D471" s="42"/>
      <c r="E471" s="42"/>
      <c r="F471" s="42"/>
      <c r="G471" s="42"/>
      <c r="H471" s="116"/>
      <c r="I471" s="116"/>
      <c r="J471" s="127"/>
      <c r="K471" s="42"/>
      <c r="L471" s="42"/>
      <c r="M471" s="42"/>
      <c r="N471" s="42"/>
      <c r="O471" s="42"/>
      <c r="P471" s="42"/>
      <c r="Q471" s="42"/>
      <c r="R471" s="42"/>
      <c r="S471" s="42"/>
      <c r="T471" s="42"/>
      <c r="U471" s="42"/>
      <c r="V471" s="42"/>
      <c r="W471" s="42"/>
      <c r="X471" s="42"/>
      <c r="Y471" s="42"/>
      <c r="Z471" s="42"/>
      <c r="AA471" s="42"/>
      <c r="AB471" s="42"/>
      <c r="AC471" s="42"/>
      <c r="AD471" s="42"/>
      <c r="AE471" s="42"/>
      <c r="AF471" s="42"/>
      <c r="AG471" s="42"/>
      <c r="AH471" s="42"/>
      <c r="AI471" s="42"/>
      <c r="AJ471" s="42"/>
      <c r="AK471" s="42"/>
      <c r="AL471" s="42"/>
      <c r="AM471" s="42"/>
      <c r="AN471" s="42"/>
      <c r="AO471" s="42"/>
      <c r="AP471" s="42"/>
      <c r="AQ471" s="42"/>
      <c r="AR471" s="42"/>
      <c r="AS471" s="42"/>
    </row>
    <row r="472" spans="1:45" ht="15" customHeight="1" x14ac:dyDescent="0.3">
      <c r="I472" s="291"/>
      <c r="AL472" s="290"/>
      <c r="AM472" s="290"/>
      <c r="AN472" s="290"/>
      <c r="AO472" s="290"/>
      <c r="AP472" s="290"/>
      <c r="AQ472" s="290"/>
      <c r="AR472" s="290"/>
      <c r="AS472" s="290"/>
    </row>
    <row r="473" spans="1:45" ht="15" customHeight="1" x14ac:dyDescent="0.3">
      <c r="E473" s="169" t="str">
        <f xml:space="preserve"> E$454</f>
        <v>Cashflow after loan</v>
      </c>
      <c r="F473" s="169">
        <f t="shared" ref="F473:O473" si="606" xml:space="preserve"> F$454</f>
        <v>0</v>
      </c>
      <c r="G473" s="169" t="str">
        <f t="shared" si="606"/>
        <v>$ mn</v>
      </c>
      <c r="H473" s="169">
        <f t="shared" si="606"/>
        <v>0</v>
      </c>
      <c r="I473" s="169">
        <f t="shared" si="606"/>
        <v>2663.7081364076198</v>
      </c>
      <c r="J473" s="169">
        <f t="shared" si="606"/>
        <v>0</v>
      </c>
      <c r="K473" s="169">
        <f t="shared" si="606"/>
        <v>0</v>
      </c>
      <c r="L473" s="169">
        <f t="shared" si="606"/>
        <v>0</v>
      </c>
      <c r="M473" s="169">
        <f t="shared" si="606"/>
        <v>0</v>
      </c>
      <c r="N473" s="169">
        <f t="shared" si="606"/>
        <v>0</v>
      </c>
      <c r="O473" s="169">
        <f t="shared" si="606"/>
        <v>0</v>
      </c>
      <c r="P473" s="169">
        <f t="shared" ref="P473:AS473" si="607" xml:space="preserve"> P$454</f>
        <v>0</v>
      </c>
      <c r="Q473" s="169">
        <f t="shared" si="607"/>
        <v>0</v>
      </c>
      <c r="R473" s="169">
        <f t="shared" si="607"/>
        <v>0</v>
      </c>
      <c r="S473" s="169">
        <f t="shared" si="607"/>
        <v>0</v>
      </c>
      <c r="T473" s="169">
        <f t="shared" si="607"/>
        <v>0</v>
      </c>
      <c r="U473" s="169">
        <f t="shared" si="607"/>
        <v>0</v>
      </c>
      <c r="V473" s="169">
        <f t="shared" si="607"/>
        <v>-154.26045835000005</v>
      </c>
      <c r="W473" s="169">
        <f t="shared" si="607"/>
        <v>277.36625336999998</v>
      </c>
      <c r="X473" s="169">
        <f t="shared" si="607"/>
        <v>-106.94673226697599</v>
      </c>
      <c r="Y473" s="169">
        <f t="shared" si="607"/>
        <v>109.95179532756009</v>
      </c>
      <c r="Z473" s="169">
        <f t="shared" si="607"/>
        <v>275.56690259521588</v>
      </c>
      <c r="AA473" s="169">
        <f t="shared" si="607"/>
        <v>178.96561517766804</v>
      </c>
      <c r="AB473" s="169">
        <f t="shared" si="607"/>
        <v>150.98353327869597</v>
      </c>
      <c r="AC473" s="169">
        <f t="shared" si="607"/>
        <v>225.46076698302124</v>
      </c>
      <c r="AD473" s="169">
        <f t="shared" si="607"/>
        <v>259.25175698302132</v>
      </c>
      <c r="AE473" s="169">
        <f t="shared" si="607"/>
        <v>259.64424698302128</v>
      </c>
      <c r="AF473" s="169">
        <f t="shared" si="607"/>
        <v>275.03673698302134</v>
      </c>
      <c r="AG473" s="169">
        <f t="shared" si="607"/>
        <v>275.03673698302134</v>
      </c>
      <c r="AH473" s="169">
        <f t="shared" si="607"/>
        <v>275.03673698302134</v>
      </c>
      <c r="AI473" s="169">
        <f t="shared" si="607"/>
        <v>150.88362324968784</v>
      </c>
      <c r="AJ473" s="169">
        <f t="shared" si="607"/>
        <v>182.42852300464392</v>
      </c>
      <c r="AK473" s="169">
        <f t="shared" si="607"/>
        <v>29.302099122995969</v>
      </c>
      <c r="AL473" s="169">
        <f t="shared" si="607"/>
        <v>0</v>
      </c>
      <c r="AM473" s="169">
        <f t="shared" si="607"/>
        <v>0</v>
      </c>
      <c r="AN473" s="169">
        <f t="shared" si="607"/>
        <v>0</v>
      </c>
      <c r="AO473" s="169">
        <f t="shared" si="607"/>
        <v>0</v>
      </c>
      <c r="AP473" s="169">
        <f t="shared" si="607"/>
        <v>0</v>
      </c>
      <c r="AQ473" s="169">
        <f t="shared" si="607"/>
        <v>0</v>
      </c>
      <c r="AR473" s="169">
        <f t="shared" si="607"/>
        <v>0</v>
      </c>
      <c r="AS473" s="169">
        <f t="shared" si="607"/>
        <v>0</v>
      </c>
    </row>
    <row r="474" spans="1:45" ht="15" customHeight="1" x14ac:dyDescent="0.3">
      <c r="A474" s="112"/>
      <c r="B474" s="112"/>
      <c r="C474" s="113"/>
      <c r="D474" s="42"/>
      <c r="E474" s="40" t="str">
        <f xml:space="preserve"> E$464</f>
        <v>Gecamines share of capex</v>
      </c>
      <c r="F474" s="40">
        <f t="shared" ref="F474:O474" si="608" xml:space="preserve"> F$464</f>
        <v>0</v>
      </c>
      <c r="G474" s="40" t="str">
        <f t="shared" si="608"/>
        <v>$ mn</v>
      </c>
      <c r="H474" s="40">
        <f t="shared" si="608"/>
        <v>0</v>
      </c>
      <c r="I474" s="40">
        <f t="shared" si="608"/>
        <v>232.59206230320001</v>
      </c>
      <c r="J474" s="40">
        <f t="shared" si="608"/>
        <v>0</v>
      </c>
      <c r="K474" s="40">
        <f t="shared" si="608"/>
        <v>0</v>
      </c>
      <c r="L474" s="40">
        <f t="shared" si="608"/>
        <v>0</v>
      </c>
      <c r="M474" s="40">
        <f t="shared" si="608"/>
        <v>0</v>
      </c>
      <c r="N474" s="40">
        <f t="shared" si="608"/>
        <v>0</v>
      </c>
      <c r="O474" s="40">
        <f t="shared" si="608"/>
        <v>0</v>
      </c>
      <c r="P474" s="40">
        <f t="shared" ref="P474:AS474" si="609" xml:space="preserve"> P$464</f>
        <v>0</v>
      </c>
      <c r="Q474" s="40">
        <f t="shared" si="609"/>
        <v>0</v>
      </c>
      <c r="R474" s="40">
        <f t="shared" si="609"/>
        <v>0</v>
      </c>
      <c r="S474" s="40">
        <f t="shared" si="609"/>
        <v>0</v>
      </c>
      <c r="T474" s="40">
        <f t="shared" si="609"/>
        <v>0</v>
      </c>
      <c r="U474" s="40">
        <f t="shared" si="609"/>
        <v>0</v>
      </c>
      <c r="V474" s="40">
        <f t="shared" si="609"/>
        <v>68.607894138000006</v>
      </c>
      <c r="W474" s="40">
        <f t="shared" si="609"/>
        <v>31.173443764400005</v>
      </c>
      <c r="X474" s="40">
        <f t="shared" si="609"/>
        <v>41.521118497600007</v>
      </c>
      <c r="Y474" s="40">
        <f t="shared" si="609"/>
        <v>1.3405735560000001</v>
      </c>
      <c r="Z474" s="40">
        <f t="shared" si="609"/>
        <v>22.907441312</v>
      </c>
      <c r="AA474" s="40">
        <f t="shared" si="609"/>
        <v>28.085718035200003</v>
      </c>
      <c r="AB474" s="40">
        <f t="shared" si="609"/>
        <v>27.934368000000003</v>
      </c>
      <c r="AC474" s="40">
        <f t="shared" si="609"/>
        <v>11.021504999999999</v>
      </c>
      <c r="AD474" s="40">
        <f t="shared" si="609"/>
        <v>0</v>
      </c>
      <c r="AE474" s="40">
        <f t="shared" si="609"/>
        <v>0</v>
      </c>
      <c r="AF474" s="40">
        <f t="shared" si="609"/>
        <v>0</v>
      </c>
      <c r="AG474" s="40">
        <f t="shared" si="609"/>
        <v>0</v>
      </c>
      <c r="AH474" s="40">
        <f t="shared" si="609"/>
        <v>0</v>
      </c>
      <c r="AI474" s="40">
        <f t="shared" si="609"/>
        <v>0</v>
      </c>
      <c r="AJ474" s="40">
        <f t="shared" si="609"/>
        <v>0</v>
      </c>
      <c r="AK474" s="40">
        <f t="shared" si="609"/>
        <v>0</v>
      </c>
      <c r="AL474" s="40">
        <f t="shared" si="609"/>
        <v>0</v>
      </c>
      <c r="AM474" s="40">
        <f t="shared" si="609"/>
        <v>0</v>
      </c>
      <c r="AN474" s="40">
        <f t="shared" si="609"/>
        <v>0</v>
      </c>
      <c r="AO474" s="40">
        <f t="shared" si="609"/>
        <v>0</v>
      </c>
      <c r="AP474" s="40">
        <f t="shared" si="609"/>
        <v>0</v>
      </c>
      <c r="AQ474" s="40">
        <f t="shared" si="609"/>
        <v>0</v>
      </c>
      <c r="AR474" s="40">
        <f t="shared" si="609"/>
        <v>0</v>
      </c>
      <c r="AS474" s="40">
        <f t="shared" si="609"/>
        <v>0</v>
      </c>
    </row>
    <row r="475" spans="1:45" ht="15" customHeight="1" x14ac:dyDescent="0.3">
      <c r="A475" s="112"/>
      <c r="B475" s="112"/>
      <c r="C475" s="113"/>
      <c r="D475" s="42"/>
      <c r="E475" s="40" t="str">
        <f xml:space="preserve"> E$467</f>
        <v>Gecamines share of dividends</v>
      </c>
      <c r="F475" s="40">
        <f t="shared" ref="F475:O475" si="610" xml:space="preserve"> F$467</f>
        <v>0</v>
      </c>
      <c r="G475" s="40" t="str">
        <f t="shared" si="610"/>
        <v>$ mn</v>
      </c>
      <c r="H475" s="40">
        <f t="shared" si="610"/>
        <v>0</v>
      </c>
      <c r="I475" s="40">
        <f t="shared" si="610"/>
        <v>897.4496406617933</v>
      </c>
      <c r="J475" s="40">
        <f t="shared" si="610"/>
        <v>0</v>
      </c>
      <c r="K475" s="40">
        <f t="shared" si="610"/>
        <v>0</v>
      </c>
      <c r="L475" s="40">
        <f t="shared" si="610"/>
        <v>0</v>
      </c>
      <c r="M475" s="40">
        <f t="shared" si="610"/>
        <v>0</v>
      </c>
      <c r="N475" s="40">
        <f t="shared" si="610"/>
        <v>0</v>
      </c>
      <c r="O475" s="40">
        <f t="shared" si="610"/>
        <v>0</v>
      </c>
      <c r="P475" s="40">
        <f t="shared" ref="P475:AS475" si="611" xml:space="preserve"> P$467</f>
        <v>0</v>
      </c>
      <c r="Q475" s="40">
        <f t="shared" si="611"/>
        <v>0</v>
      </c>
      <c r="R475" s="40">
        <f t="shared" si="611"/>
        <v>0</v>
      </c>
      <c r="S475" s="40">
        <f t="shared" si="611"/>
        <v>0</v>
      </c>
      <c r="T475" s="40">
        <f t="shared" si="611"/>
        <v>0</v>
      </c>
      <c r="U475" s="40">
        <f t="shared" si="611"/>
        <v>0</v>
      </c>
      <c r="V475" s="40">
        <f t="shared" si="611"/>
        <v>0</v>
      </c>
      <c r="W475" s="40">
        <f t="shared" si="611"/>
        <v>77.662550943599996</v>
      </c>
      <c r="X475" s="40">
        <f t="shared" si="611"/>
        <v>0</v>
      </c>
      <c r="Y475" s="40">
        <f t="shared" si="611"/>
        <v>30.78650269171683</v>
      </c>
      <c r="Z475" s="40">
        <f t="shared" si="611"/>
        <v>77.15873272666046</v>
      </c>
      <c r="AA475" s="40">
        <f t="shared" si="611"/>
        <v>50.110372249747059</v>
      </c>
      <c r="AB475" s="40">
        <f t="shared" si="611"/>
        <v>42.275389318034875</v>
      </c>
      <c r="AC475" s="40">
        <f t="shared" si="611"/>
        <v>74.402053104397012</v>
      </c>
      <c r="AD475" s="40">
        <f t="shared" si="611"/>
        <v>85.553079804397044</v>
      </c>
      <c r="AE475" s="40">
        <f t="shared" si="611"/>
        <v>85.682601504397027</v>
      </c>
      <c r="AF475" s="40">
        <f t="shared" si="611"/>
        <v>90.762123204397042</v>
      </c>
      <c r="AG475" s="40">
        <f t="shared" si="611"/>
        <v>90.762123204397042</v>
      </c>
      <c r="AH475" s="40">
        <f t="shared" si="611"/>
        <v>90.762123204397042</v>
      </c>
      <c r="AI475" s="40">
        <f t="shared" si="611"/>
        <v>42.247414509912602</v>
      </c>
      <c r="AJ475" s="40">
        <f t="shared" si="611"/>
        <v>51.079986441300299</v>
      </c>
      <c r="AK475" s="40">
        <f t="shared" si="611"/>
        <v>8.2045877544388723</v>
      </c>
      <c r="AL475" s="40">
        <f t="shared" si="611"/>
        <v>0</v>
      </c>
      <c r="AM475" s="40">
        <f t="shared" si="611"/>
        <v>0</v>
      </c>
      <c r="AN475" s="40">
        <f t="shared" si="611"/>
        <v>0</v>
      </c>
      <c r="AO475" s="40">
        <f t="shared" si="611"/>
        <v>0</v>
      </c>
      <c r="AP475" s="40">
        <f t="shared" si="611"/>
        <v>0</v>
      </c>
      <c r="AQ475" s="40">
        <f t="shared" si="611"/>
        <v>0</v>
      </c>
      <c r="AR475" s="40">
        <f t="shared" si="611"/>
        <v>0</v>
      </c>
      <c r="AS475" s="40">
        <f t="shared" si="611"/>
        <v>0</v>
      </c>
    </row>
    <row r="476" spans="1:45" ht="15" customHeight="1" x14ac:dyDescent="0.3">
      <c r="A476" s="303"/>
      <c r="B476" s="303"/>
      <c r="C476" s="304"/>
      <c r="D476" s="305"/>
      <c r="E476" s="305" t="s">
        <v>238</v>
      </c>
      <c r="F476" s="305"/>
      <c r="G476" s="111" t="str">
        <f xml:space="preserve"> G$383</f>
        <v>$ mn</v>
      </c>
      <c r="H476" s="307"/>
      <c r="I476" s="307">
        <f>SUM(K476:AS476)</f>
        <v>1998.8505580490266</v>
      </c>
      <c r="J476" s="305"/>
      <c r="K476" s="305">
        <f t="shared" ref="K476:O476" si="612">K473 + K474 - K475</f>
        <v>0</v>
      </c>
      <c r="L476" s="305">
        <f t="shared" si="612"/>
        <v>0</v>
      </c>
      <c r="M476" s="305">
        <f t="shared" si="612"/>
        <v>0</v>
      </c>
      <c r="N476" s="305">
        <f t="shared" si="612"/>
        <v>0</v>
      </c>
      <c r="O476" s="305">
        <f t="shared" si="612"/>
        <v>0</v>
      </c>
      <c r="P476" s="305">
        <f t="shared" ref="P476:R476" si="613">P473 + P474 - P475</f>
        <v>0</v>
      </c>
      <c r="Q476" s="305">
        <f t="shared" si="613"/>
        <v>0</v>
      </c>
      <c r="R476" s="305">
        <f t="shared" si="613"/>
        <v>0</v>
      </c>
      <c r="S476" s="305">
        <f>S473 + S474 - S475</f>
        <v>0</v>
      </c>
      <c r="T476" s="305">
        <f t="shared" ref="T476:AP476" si="614">T473 + T474 - T475</f>
        <v>0</v>
      </c>
      <c r="U476" s="305">
        <f t="shared" si="614"/>
        <v>0</v>
      </c>
      <c r="V476" s="305">
        <f t="shared" si="614"/>
        <v>-85.652564212000044</v>
      </c>
      <c r="W476" s="305">
        <f t="shared" si="614"/>
        <v>230.8771461908</v>
      </c>
      <c r="X476" s="305">
        <f t="shared" si="614"/>
        <v>-65.425613769375985</v>
      </c>
      <c r="Y476" s="305">
        <f t="shared" si="614"/>
        <v>80.505866191843253</v>
      </c>
      <c r="Z476" s="305">
        <f t="shared" si="614"/>
        <v>221.31561118055544</v>
      </c>
      <c r="AA476" s="305">
        <f t="shared" si="614"/>
        <v>156.94096096312097</v>
      </c>
      <c r="AB476" s="305">
        <f t="shared" si="614"/>
        <v>136.6425119606611</v>
      </c>
      <c r="AC476" s="305">
        <f t="shared" si="614"/>
        <v>162.08021887862424</v>
      </c>
      <c r="AD476" s="305">
        <f t="shared" si="614"/>
        <v>173.69867717862428</v>
      </c>
      <c r="AE476" s="305">
        <f t="shared" si="614"/>
        <v>173.96164547862423</v>
      </c>
      <c r="AF476" s="305">
        <f t="shared" si="614"/>
        <v>184.27461377862431</v>
      </c>
      <c r="AG476" s="305">
        <f t="shared" si="614"/>
        <v>184.27461377862431</v>
      </c>
      <c r="AH476" s="305">
        <f t="shared" si="614"/>
        <v>184.27461377862431</v>
      </c>
      <c r="AI476" s="305">
        <f t="shared" si="614"/>
        <v>108.63620873977524</v>
      </c>
      <c r="AJ476" s="305">
        <f t="shared" si="614"/>
        <v>131.34853656334363</v>
      </c>
      <c r="AK476" s="305">
        <f t="shared" si="614"/>
        <v>21.097511368557097</v>
      </c>
      <c r="AL476" s="305">
        <f t="shared" si="614"/>
        <v>0</v>
      </c>
      <c r="AM476" s="305">
        <f t="shared" si="614"/>
        <v>0</v>
      </c>
      <c r="AN476" s="305">
        <f t="shared" si="614"/>
        <v>0</v>
      </c>
      <c r="AO476" s="305">
        <f t="shared" si="614"/>
        <v>0</v>
      </c>
      <c r="AP476" s="305">
        <f t="shared" si="614"/>
        <v>0</v>
      </c>
      <c r="AQ476" s="305">
        <f t="shared" ref="AQ476:AS476" si="615">AQ473 + AQ474 - AQ475</f>
        <v>0</v>
      </c>
      <c r="AR476" s="305">
        <f t="shared" si="615"/>
        <v>0</v>
      </c>
      <c r="AS476" s="305">
        <f t="shared" si="615"/>
        <v>0</v>
      </c>
    </row>
    <row r="477" spans="1:45" ht="15" customHeight="1" x14ac:dyDescent="0.3">
      <c r="I477" s="291"/>
      <c r="AL477" s="290"/>
      <c r="AM477" s="290"/>
      <c r="AN477" s="290"/>
      <c r="AO477" s="290"/>
      <c r="AP477" s="290"/>
      <c r="AQ477" s="290"/>
      <c r="AR477" s="290"/>
      <c r="AS477" s="290"/>
    </row>
    <row r="478" spans="1:45" ht="15" customHeight="1" x14ac:dyDescent="0.3">
      <c r="A478" s="129"/>
      <c r="B478" s="129"/>
      <c r="C478" s="130"/>
      <c r="D478" s="106"/>
      <c r="E478" s="106" t="s">
        <v>474</v>
      </c>
      <c r="F478" s="73">
        <v>0.1</v>
      </c>
      <c r="G478" s="106" t="s">
        <v>34</v>
      </c>
      <c r="H478" s="84"/>
      <c r="I478" s="84"/>
      <c r="J478" s="128"/>
      <c r="K478" s="106"/>
      <c r="L478" s="106"/>
      <c r="M478" s="106"/>
      <c r="N478" s="106"/>
      <c r="O478" s="106"/>
      <c r="P478" s="106"/>
      <c r="Q478" s="106"/>
      <c r="R478" s="106"/>
      <c r="S478" s="106"/>
      <c r="T478" s="106"/>
      <c r="U478" s="106"/>
      <c r="V478" s="106"/>
      <c r="W478" s="106"/>
      <c r="X478" s="106"/>
      <c r="Y478" s="106"/>
      <c r="Z478" s="106"/>
      <c r="AA478" s="106"/>
      <c r="AB478" s="106"/>
      <c r="AC478" s="106"/>
      <c r="AD478" s="106"/>
      <c r="AE478" s="106"/>
      <c r="AF478" s="106"/>
      <c r="AG478" s="106"/>
      <c r="AH478" s="106"/>
      <c r="AI478" s="106"/>
      <c r="AJ478" s="106"/>
      <c r="AK478" s="106"/>
      <c r="AL478" s="106"/>
      <c r="AM478" s="106"/>
      <c r="AN478" s="106"/>
      <c r="AO478" s="106"/>
      <c r="AP478" s="106"/>
      <c r="AQ478" s="106"/>
      <c r="AR478" s="106"/>
      <c r="AS478" s="106"/>
    </row>
    <row r="479" spans="1:45" ht="15" customHeight="1" x14ac:dyDescent="0.3">
      <c r="A479" s="112"/>
      <c r="B479" s="112"/>
      <c r="C479" s="113"/>
      <c r="D479" s="42"/>
      <c r="E479" s="42"/>
      <c r="F479" s="42"/>
      <c r="G479" s="42"/>
      <c r="H479" s="116"/>
      <c r="I479" s="116"/>
      <c r="J479" s="127"/>
      <c r="K479" s="42"/>
      <c r="L479" s="42"/>
      <c r="M479" s="42"/>
      <c r="N479" s="42"/>
      <c r="O479" s="42"/>
      <c r="P479" s="42"/>
      <c r="Q479" s="42"/>
      <c r="R479" s="42"/>
      <c r="S479" s="42"/>
      <c r="T479" s="42"/>
      <c r="U479" s="42"/>
      <c r="V479" s="42"/>
      <c r="W479" s="42"/>
      <c r="X479" s="42"/>
      <c r="Y479" s="42"/>
      <c r="Z479" s="42"/>
      <c r="AA479" s="42"/>
      <c r="AB479" s="42"/>
      <c r="AC479" s="42"/>
      <c r="AD479" s="42"/>
      <c r="AE479" s="42"/>
      <c r="AF479" s="42"/>
      <c r="AG479" s="42"/>
      <c r="AH479" s="42"/>
      <c r="AI479" s="42"/>
      <c r="AJ479" s="42"/>
      <c r="AK479" s="42"/>
      <c r="AL479" s="42"/>
      <c r="AM479" s="42"/>
      <c r="AN479" s="42"/>
      <c r="AO479" s="42"/>
      <c r="AP479" s="42"/>
      <c r="AQ479" s="42"/>
      <c r="AR479" s="42"/>
      <c r="AS479" s="42"/>
    </row>
    <row r="480" spans="1:45" ht="15" customHeight="1" x14ac:dyDescent="0.3">
      <c r="A480" s="112"/>
      <c r="B480" s="112"/>
      <c r="C480" s="113"/>
      <c r="D480" s="42"/>
      <c r="E480" s="42" t="s">
        <v>239</v>
      </c>
      <c r="F480" s="42"/>
      <c r="G480" s="42" t="s">
        <v>346</v>
      </c>
      <c r="H480" s="116"/>
      <c r="I480" s="116">
        <f>SUM(K480:AS480)</f>
        <v>214.99287360304032</v>
      </c>
      <c r="J480" s="127"/>
      <c r="K480" s="42">
        <f t="shared" ref="K480:O480" si="616">(K476 &gt; 0) *K476 * $F478</f>
        <v>0</v>
      </c>
      <c r="L480" s="42">
        <f t="shared" si="616"/>
        <v>0</v>
      </c>
      <c r="M480" s="42">
        <f t="shared" si="616"/>
        <v>0</v>
      </c>
      <c r="N480" s="42">
        <f t="shared" si="616"/>
        <v>0</v>
      </c>
      <c r="O480" s="42">
        <f t="shared" si="616"/>
        <v>0</v>
      </c>
      <c r="P480" s="42">
        <f t="shared" ref="P480:AS480" si="617">(P476 &gt; 0) *P476 * $F478</f>
        <v>0</v>
      </c>
      <c r="Q480" s="42">
        <f t="shared" si="617"/>
        <v>0</v>
      </c>
      <c r="R480" s="42">
        <f t="shared" si="617"/>
        <v>0</v>
      </c>
      <c r="S480" s="42">
        <f t="shared" si="617"/>
        <v>0</v>
      </c>
      <c r="T480" s="42">
        <f t="shared" si="617"/>
        <v>0</v>
      </c>
      <c r="U480" s="42">
        <f t="shared" si="617"/>
        <v>0</v>
      </c>
      <c r="V480" s="42">
        <f t="shared" si="617"/>
        <v>0</v>
      </c>
      <c r="W480" s="42">
        <f t="shared" si="617"/>
        <v>23.087714619080003</v>
      </c>
      <c r="X480" s="42">
        <f t="shared" si="617"/>
        <v>0</v>
      </c>
      <c r="Y480" s="42">
        <f t="shared" si="617"/>
        <v>8.0505866191843261</v>
      </c>
      <c r="Z480" s="42">
        <f t="shared" si="617"/>
        <v>22.131561118055544</v>
      </c>
      <c r="AA480" s="42">
        <f t="shared" si="617"/>
        <v>15.694096096312098</v>
      </c>
      <c r="AB480" s="42">
        <f t="shared" si="617"/>
        <v>13.664251196066111</v>
      </c>
      <c r="AC480" s="42">
        <f t="shared" si="617"/>
        <v>16.208021887862426</v>
      </c>
      <c r="AD480" s="42">
        <f t="shared" si="617"/>
        <v>17.36986771786243</v>
      </c>
      <c r="AE480" s="42">
        <f t="shared" si="617"/>
        <v>17.396164547862423</v>
      </c>
      <c r="AF480" s="42">
        <f t="shared" si="617"/>
        <v>18.427461377862432</v>
      </c>
      <c r="AG480" s="42">
        <f t="shared" si="617"/>
        <v>18.427461377862432</v>
      </c>
      <c r="AH480" s="42">
        <f t="shared" si="617"/>
        <v>18.427461377862432</v>
      </c>
      <c r="AI480" s="42">
        <f t="shared" si="617"/>
        <v>10.863620873977524</v>
      </c>
      <c r="AJ480" s="42">
        <f t="shared" si="617"/>
        <v>13.134853656334364</v>
      </c>
      <c r="AK480" s="42">
        <f t="shared" si="617"/>
        <v>2.1097511368557096</v>
      </c>
      <c r="AL480" s="42">
        <f t="shared" si="617"/>
        <v>0</v>
      </c>
      <c r="AM480" s="42">
        <f t="shared" si="617"/>
        <v>0</v>
      </c>
      <c r="AN480" s="42">
        <f t="shared" si="617"/>
        <v>0</v>
      </c>
      <c r="AO480" s="42">
        <f t="shared" si="617"/>
        <v>0</v>
      </c>
      <c r="AP480" s="42">
        <f t="shared" si="617"/>
        <v>0</v>
      </c>
      <c r="AQ480" s="42">
        <f t="shared" si="617"/>
        <v>0</v>
      </c>
      <c r="AR480" s="42">
        <f t="shared" si="617"/>
        <v>0</v>
      </c>
      <c r="AS480" s="42">
        <f t="shared" si="617"/>
        <v>0</v>
      </c>
    </row>
    <row r="481" spans="1:45" ht="15" customHeight="1" x14ac:dyDescent="0.3">
      <c r="I481" s="291"/>
      <c r="AL481" s="290"/>
      <c r="AM481" s="290"/>
      <c r="AN481" s="290"/>
      <c r="AO481" s="290"/>
      <c r="AP481" s="290"/>
      <c r="AQ481" s="290"/>
      <c r="AR481" s="290"/>
      <c r="AS481" s="290"/>
    </row>
    <row r="482" spans="1:45" ht="15" customHeight="1" x14ac:dyDescent="0.3">
      <c r="E482" s="290" t="s">
        <v>243</v>
      </c>
      <c r="G482" s="42" t="s">
        <v>346</v>
      </c>
      <c r="I482" s="291">
        <f>SUM(K482:AS482)</f>
        <v>1783.8576844459863</v>
      </c>
      <c r="K482" s="290">
        <f t="shared" ref="K482:O482" si="618">K476 - K480</f>
        <v>0</v>
      </c>
      <c r="L482" s="290">
        <f t="shared" si="618"/>
        <v>0</v>
      </c>
      <c r="M482" s="290">
        <f t="shared" si="618"/>
        <v>0</v>
      </c>
      <c r="N482" s="290">
        <f t="shared" si="618"/>
        <v>0</v>
      </c>
      <c r="O482" s="290">
        <f t="shared" si="618"/>
        <v>0</v>
      </c>
      <c r="P482" s="290">
        <f t="shared" ref="P482:R482" si="619">P476 - P480</f>
        <v>0</v>
      </c>
      <c r="Q482" s="290">
        <f t="shared" si="619"/>
        <v>0</v>
      </c>
      <c r="R482" s="290">
        <f t="shared" si="619"/>
        <v>0</v>
      </c>
      <c r="S482" s="290">
        <f>S476 - S480</f>
        <v>0</v>
      </c>
      <c r="T482" s="290">
        <f t="shared" ref="T482:AP482" si="620">T476 - T480</f>
        <v>0</v>
      </c>
      <c r="U482" s="290">
        <f t="shared" si="620"/>
        <v>0</v>
      </c>
      <c r="V482" s="290">
        <f t="shared" si="620"/>
        <v>-85.652564212000044</v>
      </c>
      <c r="W482" s="290">
        <f t="shared" si="620"/>
        <v>207.78943157172</v>
      </c>
      <c r="X482" s="290">
        <f t="shared" si="620"/>
        <v>-65.425613769375985</v>
      </c>
      <c r="Y482" s="290">
        <f t="shared" si="620"/>
        <v>72.455279572658924</v>
      </c>
      <c r="Z482" s="290">
        <f t="shared" si="620"/>
        <v>199.18405006249989</v>
      </c>
      <c r="AA482" s="290">
        <f t="shared" si="620"/>
        <v>141.24686486680886</v>
      </c>
      <c r="AB482" s="290">
        <f t="shared" si="620"/>
        <v>122.97826076459498</v>
      </c>
      <c r="AC482" s="290">
        <f t="shared" si="620"/>
        <v>145.87219699076181</v>
      </c>
      <c r="AD482" s="290">
        <f t="shared" si="620"/>
        <v>156.32880946076185</v>
      </c>
      <c r="AE482" s="290">
        <f t="shared" si="620"/>
        <v>156.56548093076182</v>
      </c>
      <c r="AF482" s="290">
        <f t="shared" si="620"/>
        <v>165.84715240076187</v>
      </c>
      <c r="AG482" s="290">
        <f t="shared" si="620"/>
        <v>165.84715240076187</v>
      </c>
      <c r="AH482" s="290">
        <f t="shared" si="620"/>
        <v>165.84715240076187</v>
      </c>
      <c r="AI482" s="290">
        <f t="shared" si="620"/>
        <v>97.772587865797718</v>
      </c>
      <c r="AJ482" s="290">
        <f t="shared" si="620"/>
        <v>118.21368290700926</v>
      </c>
      <c r="AK482" s="290">
        <f t="shared" si="620"/>
        <v>18.987760231701387</v>
      </c>
      <c r="AL482" s="290">
        <f t="shared" si="620"/>
        <v>0</v>
      </c>
      <c r="AM482" s="290">
        <f t="shared" si="620"/>
        <v>0</v>
      </c>
      <c r="AN482" s="290">
        <f t="shared" si="620"/>
        <v>0</v>
      </c>
      <c r="AO482" s="290">
        <f t="shared" si="620"/>
        <v>0</v>
      </c>
      <c r="AP482" s="290">
        <f t="shared" si="620"/>
        <v>0</v>
      </c>
      <c r="AQ482" s="290">
        <f t="shared" ref="AQ482:AS482" si="621">AQ476 - AQ480</f>
        <v>0</v>
      </c>
      <c r="AR482" s="290">
        <f t="shared" si="621"/>
        <v>0</v>
      </c>
      <c r="AS482" s="290">
        <f t="shared" si="621"/>
        <v>0</v>
      </c>
    </row>
    <row r="483" spans="1:45" ht="15" customHeight="1" x14ac:dyDescent="0.3">
      <c r="I483" s="291"/>
      <c r="AL483" s="290"/>
      <c r="AM483" s="290"/>
      <c r="AN483" s="290"/>
      <c r="AO483" s="290"/>
      <c r="AP483" s="290"/>
      <c r="AQ483" s="290"/>
      <c r="AR483" s="290"/>
      <c r="AS483" s="290"/>
    </row>
    <row r="484" spans="1:45" ht="15" customHeight="1" x14ac:dyDescent="0.3">
      <c r="B484" s="288" t="s">
        <v>245</v>
      </c>
      <c r="I484" s="291"/>
      <c r="AL484" s="290"/>
      <c r="AM484" s="290"/>
      <c r="AN484" s="290"/>
      <c r="AO484" s="290"/>
      <c r="AP484" s="290"/>
      <c r="AQ484" s="290"/>
      <c r="AR484" s="290"/>
      <c r="AS484" s="290"/>
    </row>
    <row r="485" spans="1:45" ht="15" customHeight="1" x14ac:dyDescent="0.3">
      <c r="I485" s="291"/>
      <c r="AL485" s="290"/>
      <c r="AM485" s="290"/>
      <c r="AN485" s="290"/>
      <c r="AO485" s="290"/>
      <c r="AP485" s="290"/>
      <c r="AQ485" s="290"/>
      <c r="AR485" s="290"/>
      <c r="AS485" s="290"/>
    </row>
    <row r="486" spans="1:45" ht="15" customHeight="1" x14ac:dyDescent="0.3">
      <c r="A486" s="112"/>
      <c r="B486" s="112"/>
      <c r="C486" s="113"/>
      <c r="D486" s="42"/>
      <c r="E486" s="340" t="str">
        <f xml:space="preserve"> E$141</f>
        <v>Surface rights</v>
      </c>
      <c r="F486" s="340">
        <f t="shared" ref="F486:O486" si="622" xml:space="preserve"> F$141</f>
        <v>64</v>
      </c>
      <c r="G486" s="340" t="str">
        <f t="shared" si="622"/>
        <v>$ mn</v>
      </c>
      <c r="H486" s="340" t="str">
        <f t="shared" si="622"/>
        <v>M</v>
      </c>
      <c r="I486" s="340">
        <f t="shared" si="622"/>
        <v>64</v>
      </c>
      <c r="J486" s="340">
        <f t="shared" si="622"/>
        <v>0</v>
      </c>
      <c r="K486" s="340">
        <f t="shared" si="622"/>
        <v>0</v>
      </c>
      <c r="L486" s="340">
        <f t="shared" si="622"/>
        <v>0</v>
      </c>
      <c r="M486" s="340">
        <f t="shared" si="622"/>
        <v>0</v>
      </c>
      <c r="N486" s="340">
        <f t="shared" si="622"/>
        <v>0</v>
      </c>
      <c r="O486" s="340">
        <f t="shared" si="622"/>
        <v>0</v>
      </c>
      <c r="P486" s="340">
        <f t="shared" ref="P486:AS486" si="623" xml:space="preserve"> P$141</f>
        <v>0</v>
      </c>
      <c r="Q486" s="340">
        <f t="shared" si="623"/>
        <v>0</v>
      </c>
      <c r="R486" s="340">
        <f t="shared" si="623"/>
        <v>0</v>
      </c>
      <c r="S486" s="340">
        <f t="shared" si="623"/>
        <v>0</v>
      </c>
      <c r="T486" s="340">
        <f t="shared" si="623"/>
        <v>0</v>
      </c>
      <c r="U486" s="340">
        <f t="shared" si="623"/>
        <v>0</v>
      </c>
      <c r="V486" s="340">
        <f t="shared" si="623"/>
        <v>4</v>
      </c>
      <c r="W486" s="340">
        <f t="shared" si="623"/>
        <v>4</v>
      </c>
      <c r="X486" s="340">
        <f t="shared" si="623"/>
        <v>4</v>
      </c>
      <c r="Y486" s="340">
        <f t="shared" si="623"/>
        <v>4</v>
      </c>
      <c r="Z486" s="340">
        <f t="shared" si="623"/>
        <v>4</v>
      </c>
      <c r="AA486" s="340">
        <f t="shared" si="623"/>
        <v>4</v>
      </c>
      <c r="AB486" s="340">
        <f t="shared" si="623"/>
        <v>4</v>
      </c>
      <c r="AC486" s="340">
        <f t="shared" si="623"/>
        <v>4</v>
      </c>
      <c r="AD486" s="340">
        <f t="shared" si="623"/>
        <v>4</v>
      </c>
      <c r="AE486" s="340">
        <f t="shared" si="623"/>
        <v>4</v>
      </c>
      <c r="AF486" s="340">
        <f t="shared" si="623"/>
        <v>4</v>
      </c>
      <c r="AG486" s="340">
        <f t="shared" si="623"/>
        <v>4</v>
      </c>
      <c r="AH486" s="340">
        <f t="shared" si="623"/>
        <v>4</v>
      </c>
      <c r="AI486" s="340">
        <f t="shared" si="623"/>
        <v>4</v>
      </c>
      <c r="AJ486" s="340">
        <f t="shared" si="623"/>
        <v>4</v>
      </c>
      <c r="AK486" s="340">
        <f t="shared" si="623"/>
        <v>4</v>
      </c>
      <c r="AL486" s="340">
        <f t="shared" si="623"/>
        <v>0</v>
      </c>
      <c r="AM486" s="340">
        <f t="shared" si="623"/>
        <v>0</v>
      </c>
      <c r="AN486" s="340">
        <f t="shared" si="623"/>
        <v>0</v>
      </c>
      <c r="AO486" s="340">
        <f t="shared" si="623"/>
        <v>0</v>
      </c>
      <c r="AP486" s="340">
        <f t="shared" si="623"/>
        <v>0</v>
      </c>
      <c r="AQ486" s="340">
        <f t="shared" si="623"/>
        <v>0</v>
      </c>
      <c r="AR486" s="340">
        <f t="shared" si="623"/>
        <v>0</v>
      </c>
      <c r="AS486" s="340">
        <f t="shared" si="623"/>
        <v>0</v>
      </c>
    </row>
    <row r="487" spans="1:45" ht="15" customHeight="1" x14ac:dyDescent="0.3">
      <c r="A487" s="112"/>
      <c r="B487" s="112"/>
      <c r="C487" s="113"/>
      <c r="D487" s="42"/>
      <c r="E487" s="340" t="str">
        <f xml:space="preserve"> E$142</f>
        <v>Entry fee</v>
      </c>
      <c r="F487" s="340">
        <f t="shared" ref="F487:O487" si="624" xml:space="preserve"> F$142</f>
        <v>15.164</v>
      </c>
      <c r="G487" s="340" t="str">
        <f t="shared" si="624"/>
        <v>$ mn</v>
      </c>
      <c r="H487" s="340" t="str">
        <f t="shared" si="624"/>
        <v>M</v>
      </c>
      <c r="I487" s="340">
        <f t="shared" si="624"/>
        <v>15.164000000000001</v>
      </c>
      <c r="J487" s="340">
        <f t="shared" si="624"/>
        <v>0</v>
      </c>
      <c r="K487" s="340">
        <f t="shared" si="624"/>
        <v>0</v>
      </c>
      <c r="L487" s="340">
        <f t="shared" si="624"/>
        <v>0</v>
      </c>
      <c r="M487" s="340">
        <f t="shared" si="624"/>
        <v>0</v>
      </c>
      <c r="N487" s="340">
        <f t="shared" si="624"/>
        <v>0</v>
      </c>
      <c r="O487" s="340">
        <f t="shared" si="624"/>
        <v>0</v>
      </c>
      <c r="P487" s="340">
        <f t="shared" ref="P487:AS487" si="625" xml:space="preserve"> P$142</f>
        <v>0</v>
      </c>
      <c r="Q487" s="340">
        <f t="shared" si="625"/>
        <v>0</v>
      </c>
      <c r="R487" s="340">
        <f t="shared" si="625"/>
        <v>0</v>
      </c>
      <c r="S487" s="340">
        <f t="shared" si="625"/>
        <v>0</v>
      </c>
      <c r="T487" s="340">
        <f t="shared" si="625"/>
        <v>0</v>
      </c>
      <c r="U487" s="340">
        <f t="shared" si="625"/>
        <v>0</v>
      </c>
      <c r="V487" s="340">
        <f t="shared" si="625"/>
        <v>9.0980000000000008</v>
      </c>
      <c r="W487" s="340">
        <f t="shared" si="625"/>
        <v>6.0659999999999998</v>
      </c>
      <c r="X487" s="340">
        <f t="shared" si="625"/>
        <v>0</v>
      </c>
      <c r="Y487" s="340">
        <f t="shared" si="625"/>
        <v>0</v>
      </c>
      <c r="Z487" s="340">
        <f t="shared" si="625"/>
        <v>0</v>
      </c>
      <c r="AA487" s="340">
        <f t="shared" si="625"/>
        <v>0</v>
      </c>
      <c r="AB487" s="340">
        <f t="shared" si="625"/>
        <v>0</v>
      </c>
      <c r="AC487" s="340">
        <f t="shared" si="625"/>
        <v>0</v>
      </c>
      <c r="AD487" s="340">
        <f t="shared" si="625"/>
        <v>0</v>
      </c>
      <c r="AE487" s="340">
        <f t="shared" si="625"/>
        <v>0</v>
      </c>
      <c r="AF487" s="340">
        <f t="shared" si="625"/>
        <v>0</v>
      </c>
      <c r="AG487" s="340">
        <f t="shared" si="625"/>
        <v>0</v>
      </c>
      <c r="AH487" s="340">
        <f t="shared" si="625"/>
        <v>0</v>
      </c>
      <c r="AI487" s="340">
        <f t="shared" si="625"/>
        <v>0</v>
      </c>
      <c r="AJ487" s="340">
        <f t="shared" si="625"/>
        <v>0</v>
      </c>
      <c r="AK487" s="340">
        <f t="shared" si="625"/>
        <v>0</v>
      </c>
      <c r="AL487" s="340">
        <f t="shared" si="625"/>
        <v>0</v>
      </c>
      <c r="AM487" s="340">
        <f t="shared" si="625"/>
        <v>0</v>
      </c>
      <c r="AN487" s="340">
        <f t="shared" si="625"/>
        <v>0</v>
      </c>
      <c r="AO487" s="340">
        <f t="shared" si="625"/>
        <v>0</v>
      </c>
      <c r="AP487" s="340">
        <f t="shared" si="625"/>
        <v>0</v>
      </c>
      <c r="AQ487" s="340">
        <f t="shared" si="625"/>
        <v>0</v>
      </c>
      <c r="AR487" s="340">
        <f t="shared" si="625"/>
        <v>0</v>
      </c>
      <c r="AS487" s="340">
        <f t="shared" si="625"/>
        <v>0</v>
      </c>
    </row>
    <row r="488" spans="1:45" ht="15" customHeight="1" x14ac:dyDescent="0.3">
      <c r="A488" s="112"/>
      <c r="B488" s="112"/>
      <c r="C488" s="113"/>
      <c r="D488" s="42"/>
      <c r="E488" s="340" t="str">
        <f xml:space="preserve"> E$143</f>
        <v>Mining concession tax</v>
      </c>
      <c r="F488" s="340">
        <f t="shared" ref="F488:O488" si="626" xml:space="preserve"> F$143</f>
        <v>106.309</v>
      </c>
      <c r="G488" s="340" t="str">
        <f t="shared" si="626"/>
        <v>$ mn</v>
      </c>
      <c r="H488" s="340" t="str">
        <f t="shared" si="626"/>
        <v>M</v>
      </c>
      <c r="I488" s="340">
        <f t="shared" si="626"/>
        <v>106.30400000000003</v>
      </c>
      <c r="J488" s="340">
        <f t="shared" si="626"/>
        <v>0</v>
      </c>
      <c r="K488" s="340">
        <f t="shared" si="626"/>
        <v>0</v>
      </c>
      <c r="L488" s="340">
        <f t="shared" si="626"/>
        <v>0</v>
      </c>
      <c r="M488" s="340">
        <f t="shared" si="626"/>
        <v>0</v>
      </c>
      <c r="N488" s="340">
        <f t="shared" si="626"/>
        <v>0</v>
      </c>
      <c r="O488" s="340">
        <f t="shared" si="626"/>
        <v>0</v>
      </c>
      <c r="P488" s="340">
        <f t="shared" ref="P488:AS488" si="627" xml:space="preserve"> P$143</f>
        <v>0</v>
      </c>
      <c r="Q488" s="340">
        <f t="shared" si="627"/>
        <v>0</v>
      </c>
      <c r="R488" s="340">
        <f t="shared" si="627"/>
        <v>0</v>
      </c>
      <c r="S488" s="340">
        <f t="shared" si="627"/>
        <v>0</v>
      </c>
      <c r="T488" s="340">
        <f t="shared" si="627"/>
        <v>0</v>
      </c>
      <c r="U488" s="340">
        <f t="shared" si="627"/>
        <v>0</v>
      </c>
      <c r="V488" s="340">
        <f t="shared" si="627"/>
        <v>6.6440000000000001</v>
      </c>
      <c r="W488" s="340">
        <f t="shared" si="627"/>
        <v>6.6440000000000001</v>
      </c>
      <c r="X488" s="340">
        <f t="shared" si="627"/>
        <v>6.6440000000000001</v>
      </c>
      <c r="Y488" s="340">
        <f t="shared" si="627"/>
        <v>6.6440000000000001</v>
      </c>
      <c r="Z488" s="340">
        <f t="shared" si="627"/>
        <v>6.6440000000000001</v>
      </c>
      <c r="AA488" s="340">
        <f t="shared" si="627"/>
        <v>6.6440000000000001</v>
      </c>
      <c r="AB488" s="340">
        <f t="shared" si="627"/>
        <v>6.6440000000000001</v>
      </c>
      <c r="AC488" s="340">
        <f t="shared" si="627"/>
        <v>6.6440000000000001</v>
      </c>
      <c r="AD488" s="340">
        <f t="shared" si="627"/>
        <v>6.6440000000000001</v>
      </c>
      <c r="AE488" s="340">
        <f t="shared" si="627"/>
        <v>6.6440000000000001</v>
      </c>
      <c r="AF488" s="340">
        <f t="shared" si="627"/>
        <v>6.6440000000000001</v>
      </c>
      <c r="AG488" s="340">
        <f t="shared" si="627"/>
        <v>6.6440000000000001</v>
      </c>
      <c r="AH488" s="340">
        <f t="shared" si="627"/>
        <v>6.6440000000000001</v>
      </c>
      <c r="AI488" s="340">
        <f t="shared" si="627"/>
        <v>6.6440000000000001</v>
      </c>
      <c r="AJ488" s="340">
        <f t="shared" si="627"/>
        <v>6.6440000000000001</v>
      </c>
      <c r="AK488" s="340">
        <f t="shared" si="627"/>
        <v>6.6440000000000001</v>
      </c>
      <c r="AL488" s="340">
        <f t="shared" si="627"/>
        <v>0</v>
      </c>
      <c r="AM488" s="340">
        <f t="shared" si="627"/>
        <v>0</v>
      </c>
      <c r="AN488" s="340">
        <f t="shared" si="627"/>
        <v>0</v>
      </c>
      <c r="AO488" s="340">
        <f t="shared" si="627"/>
        <v>0</v>
      </c>
      <c r="AP488" s="340">
        <f t="shared" si="627"/>
        <v>0</v>
      </c>
      <c r="AQ488" s="340">
        <f t="shared" si="627"/>
        <v>0</v>
      </c>
      <c r="AR488" s="340">
        <f t="shared" si="627"/>
        <v>0</v>
      </c>
      <c r="AS488" s="340">
        <f t="shared" si="627"/>
        <v>0</v>
      </c>
    </row>
    <row r="489" spans="1:45" ht="15" customHeight="1" x14ac:dyDescent="0.3">
      <c r="A489" s="112"/>
      <c r="B489" s="112"/>
      <c r="C489" s="113"/>
      <c r="D489" s="42"/>
      <c r="E489" s="340" t="str">
        <f xml:space="preserve"> E$144</f>
        <v>Royalties and Fees for export services</v>
      </c>
      <c r="F489" s="340">
        <f t="shared" ref="F489:O489" si="628" xml:space="preserve"> F$144</f>
        <v>119.10599999999999</v>
      </c>
      <c r="G489" s="340" t="str">
        <f t="shared" si="628"/>
        <v>$ mn</v>
      </c>
      <c r="H489" s="340" t="str">
        <f t="shared" si="628"/>
        <v>M</v>
      </c>
      <c r="I489" s="340">
        <f t="shared" si="628"/>
        <v>119.22500000000001</v>
      </c>
      <c r="J489" s="340">
        <f t="shared" si="628"/>
        <v>0</v>
      </c>
      <c r="K489" s="340">
        <f t="shared" si="628"/>
        <v>0</v>
      </c>
      <c r="L489" s="340">
        <f t="shared" si="628"/>
        <v>0</v>
      </c>
      <c r="M489" s="340">
        <f t="shared" si="628"/>
        <v>0</v>
      </c>
      <c r="N489" s="340">
        <f t="shared" si="628"/>
        <v>0</v>
      </c>
      <c r="O489" s="340">
        <f t="shared" si="628"/>
        <v>0</v>
      </c>
      <c r="P489" s="340">
        <f t="shared" ref="P489:AS489" si="629" xml:space="preserve"> P$144</f>
        <v>0</v>
      </c>
      <c r="Q489" s="340">
        <f t="shared" si="629"/>
        <v>0</v>
      </c>
      <c r="R489" s="340">
        <f t="shared" si="629"/>
        <v>0</v>
      </c>
      <c r="S489" s="340">
        <f t="shared" si="629"/>
        <v>0</v>
      </c>
      <c r="T489" s="340">
        <f t="shared" si="629"/>
        <v>0</v>
      </c>
      <c r="U489" s="340">
        <f t="shared" si="629"/>
        <v>0</v>
      </c>
      <c r="V489" s="340">
        <f t="shared" si="629"/>
        <v>1.0469999999999999</v>
      </c>
      <c r="W489" s="340">
        <f t="shared" si="629"/>
        <v>2.7509999999999999</v>
      </c>
      <c r="X489" s="340">
        <f t="shared" si="629"/>
        <v>4.3440000000000003</v>
      </c>
      <c r="Y489" s="340">
        <f t="shared" si="629"/>
        <v>6.694</v>
      </c>
      <c r="Z489" s="340">
        <f t="shared" si="629"/>
        <v>11.183999999999999</v>
      </c>
      <c r="AA489" s="340">
        <f t="shared" si="629"/>
        <v>10.429</v>
      </c>
      <c r="AB489" s="340">
        <f t="shared" si="629"/>
        <v>9</v>
      </c>
      <c r="AC489" s="340">
        <f t="shared" si="629"/>
        <v>9</v>
      </c>
      <c r="AD489" s="340">
        <f t="shared" si="629"/>
        <v>9</v>
      </c>
      <c r="AE489" s="340">
        <f t="shared" si="629"/>
        <v>9</v>
      </c>
      <c r="AF489" s="340">
        <f t="shared" si="629"/>
        <v>9</v>
      </c>
      <c r="AG489" s="340">
        <f t="shared" si="629"/>
        <v>9</v>
      </c>
      <c r="AH489" s="340">
        <f t="shared" si="629"/>
        <v>9</v>
      </c>
      <c r="AI489" s="340">
        <f t="shared" si="629"/>
        <v>9</v>
      </c>
      <c r="AJ489" s="340">
        <f t="shared" si="629"/>
        <v>7.6230000000000002</v>
      </c>
      <c r="AK489" s="340">
        <f t="shared" si="629"/>
        <v>3.153</v>
      </c>
      <c r="AL489" s="340">
        <f t="shared" si="629"/>
        <v>0</v>
      </c>
      <c r="AM489" s="340">
        <f t="shared" si="629"/>
        <v>0</v>
      </c>
      <c r="AN489" s="340">
        <f t="shared" si="629"/>
        <v>0</v>
      </c>
      <c r="AO489" s="340">
        <f t="shared" si="629"/>
        <v>0</v>
      </c>
      <c r="AP489" s="340">
        <f t="shared" si="629"/>
        <v>0</v>
      </c>
      <c r="AQ489" s="340">
        <f t="shared" si="629"/>
        <v>0</v>
      </c>
      <c r="AR489" s="340">
        <f t="shared" si="629"/>
        <v>0</v>
      </c>
      <c r="AS489" s="340">
        <f t="shared" si="629"/>
        <v>0</v>
      </c>
    </row>
    <row r="490" spans="1:45" ht="15" customHeight="1" x14ac:dyDescent="0.3">
      <c r="A490" s="112"/>
      <c r="B490" s="112"/>
      <c r="C490" s="113"/>
      <c r="D490" s="42"/>
      <c r="E490" s="340" t="str">
        <f xml:space="preserve"> E$145</f>
        <v>IPR</v>
      </c>
      <c r="F490" s="340">
        <f t="shared" ref="F490:O490" si="630" xml:space="preserve"> F$145</f>
        <v>12.8</v>
      </c>
      <c r="G490" s="340" t="str">
        <f t="shared" si="630"/>
        <v>$ mn</v>
      </c>
      <c r="H490" s="340" t="str">
        <f t="shared" si="630"/>
        <v>M</v>
      </c>
      <c r="I490" s="340">
        <f t="shared" si="630"/>
        <v>12.800000000000002</v>
      </c>
      <c r="J490" s="340">
        <f t="shared" si="630"/>
        <v>0</v>
      </c>
      <c r="K490" s="340">
        <f t="shared" si="630"/>
        <v>0</v>
      </c>
      <c r="L490" s="340">
        <f t="shared" si="630"/>
        <v>0</v>
      </c>
      <c r="M490" s="340">
        <f t="shared" si="630"/>
        <v>0</v>
      </c>
      <c r="N490" s="340">
        <f t="shared" si="630"/>
        <v>0</v>
      </c>
      <c r="O490" s="340">
        <f t="shared" si="630"/>
        <v>0</v>
      </c>
      <c r="P490" s="340">
        <f t="shared" ref="P490:AS490" si="631" xml:space="preserve"> P$145</f>
        <v>0</v>
      </c>
      <c r="Q490" s="340">
        <f t="shared" si="631"/>
        <v>0</v>
      </c>
      <c r="R490" s="340">
        <f t="shared" si="631"/>
        <v>0</v>
      </c>
      <c r="S490" s="340">
        <f t="shared" si="631"/>
        <v>0</v>
      </c>
      <c r="T490" s="340">
        <f t="shared" si="631"/>
        <v>0</v>
      </c>
      <c r="U490" s="340">
        <f t="shared" si="631"/>
        <v>0</v>
      </c>
      <c r="V490" s="340">
        <f t="shared" si="631"/>
        <v>0.8</v>
      </c>
      <c r="W490" s="340">
        <f t="shared" si="631"/>
        <v>0.8</v>
      </c>
      <c r="X490" s="340">
        <f t="shared" si="631"/>
        <v>0.8</v>
      </c>
      <c r="Y490" s="340">
        <f t="shared" si="631"/>
        <v>0.8</v>
      </c>
      <c r="Z490" s="340">
        <f t="shared" si="631"/>
        <v>0.8</v>
      </c>
      <c r="AA490" s="340">
        <f t="shared" si="631"/>
        <v>0.8</v>
      </c>
      <c r="AB490" s="340">
        <f t="shared" si="631"/>
        <v>0.8</v>
      </c>
      <c r="AC490" s="340">
        <f t="shared" si="631"/>
        <v>0.8</v>
      </c>
      <c r="AD490" s="340">
        <f t="shared" si="631"/>
        <v>0.8</v>
      </c>
      <c r="AE490" s="340">
        <f t="shared" si="631"/>
        <v>0.8</v>
      </c>
      <c r="AF490" s="340">
        <f t="shared" si="631"/>
        <v>0.8</v>
      </c>
      <c r="AG490" s="340">
        <f t="shared" si="631"/>
        <v>0.8</v>
      </c>
      <c r="AH490" s="340">
        <f t="shared" si="631"/>
        <v>0.8</v>
      </c>
      <c r="AI490" s="340">
        <f t="shared" si="631"/>
        <v>0.8</v>
      </c>
      <c r="AJ490" s="340">
        <f t="shared" si="631"/>
        <v>0.8</v>
      </c>
      <c r="AK490" s="340">
        <f t="shared" si="631"/>
        <v>0.8</v>
      </c>
      <c r="AL490" s="340">
        <f t="shared" si="631"/>
        <v>0</v>
      </c>
      <c r="AM490" s="340">
        <f t="shared" si="631"/>
        <v>0</v>
      </c>
      <c r="AN490" s="340">
        <f t="shared" si="631"/>
        <v>0</v>
      </c>
      <c r="AO490" s="340">
        <f t="shared" si="631"/>
        <v>0</v>
      </c>
      <c r="AP490" s="340">
        <f t="shared" si="631"/>
        <v>0</v>
      </c>
      <c r="AQ490" s="340">
        <f t="shared" si="631"/>
        <v>0</v>
      </c>
      <c r="AR490" s="340">
        <f t="shared" si="631"/>
        <v>0</v>
      </c>
      <c r="AS490" s="340">
        <f t="shared" si="631"/>
        <v>0</v>
      </c>
    </row>
    <row r="491" spans="1:45" ht="15" customHeight="1" x14ac:dyDescent="0.3">
      <c r="A491" s="112"/>
      <c r="B491" s="112"/>
      <c r="C491" s="113"/>
      <c r="D491" s="42"/>
      <c r="E491" s="340" t="str">
        <f xml:space="preserve"> E$146</f>
        <v>Other taxes</v>
      </c>
      <c r="F491" s="340">
        <f t="shared" ref="F491:O491" si="632" xml:space="preserve"> F$146</f>
        <v>16</v>
      </c>
      <c r="G491" s="340" t="str">
        <f t="shared" si="632"/>
        <v>$ mn</v>
      </c>
      <c r="H491" s="340" t="str">
        <f t="shared" si="632"/>
        <v>M</v>
      </c>
      <c r="I491" s="340">
        <f t="shared" si="632"/>
        <v>16</v>
      </c>
      <c r="J491" s="340">
        <f t="shared" si="632"/>
        <v>0</v>
      </c>
      <c r="K491" s="340">
        <f t="shared" si="632"/>
        <v>0</v>
      </c>
      <c r="L491" s="340">
        <f t="shared" si="632"/>
        <v>0</v>
      </c>
      <c r="M491" s="340">
        <f t="shared" si="632"/>
        <v>0</v>
      </c>
      <c r="N491" s="340">
        <f t="shared" si="632"/>
        <v>0</v>
      </c>
      <c r="O491" s="340">
        <f t="shared" si="632"/>
        <v>0</v>
      </c>
      <c r="P491" s="340">
        <f t="shared" ref="P491:AS491" si="633" xml:space="preserve"> P$146</f>
        <v>0</v>
      </c>
      <c r="Q491" s="340">
        <f t="shared" si="633"/>
        <v>0</v>
      </c>
      <c r="R491" s="340">
        <f t="shared" si="633"/>
        <v>0</v>
      </c>
      <c r="S491" s="340">
        <f t="shared" si="633"/>
        <v>0</v>
      </c>
      <c r="T491" s="340">
        <f t="shared" si="633"/>
        <v>0</v>
      </c>
      <c r="U491" s="340">
        <f t="shared" si="633"/>
        <v>0</v>
      </c>
      <c r="V491" s="340">
        <f t="shared" si="633"/>
        <v>1</v>
      </c>
      <c r="W491" s="340">
        <f t="shared" si="633"/>
        <v>1</v>
      </c>
      <c r="X491" s="340">
        <f t="shared" si="633"/>
        <v>1</v>
      </c>
      <c r="Y491" s="340">
        <f t="shared" si="633"/>
        <v>1</v>
      </c>
      <c r="Z491" s="340">
        <f t="shared" si="633"/>
        <v>1</v>
      </c>
      <c r="AA491" s="340">
        <f t="shared" si="633"/>
        <v>1</v>
      </c>
      <c r="AB491" s="340">
        <f t="shared" si="633"/>
        <v>1</v>
      </c>
      <c r="AC491" s="340">
        <f t="shared" si="633"/>
        <v>1</v>
      </c>
      <c r="AD491" s="340">
        <f t="shared" si="633"/>
        <v>1</v>
      </c>
      <c r="AE491" s="340">
        <f t="shared" si="633"/>
        <v>1</v>
      </c>
      <c r="AF491" s="340">
        <f t="shared" si="633"/>
        <v>1</v>
      </c>
      <c r="AG491" s="340">
        <f t="shared" si="633"/>
        <v>1</v>
      </c>
      <c r="AH491" s="340">
        <f t="shared" si="633"/>
        <v>1</v>
      </c>
      <c r="AI491" s="340">
        <f t="shared" si="633"/>
        <v>1</v>
      </c>
      <c r="AJ491" s="340">
        <f t="shared" si="633"/>
        <v>1</v>
      </c>
      <c r="AK491" s="340">
        <f t="shared" si="633"/>
        <v>1</v>
      </c>
      <c r="AL491" s="340">
        <f t="shared" si="633"/>
        <v>0</v>
      </c>
      <c r="AM491" s="340">
        <f t="shared" si="633"/>
        <v>0</v>
      </c>
      <c r="AN491" s="340">
        <f t="shared" si="633"/>
        <v>0</v>
      </c>
      <c r="AO491" s="340">
        <f t="shared" si="633"/>
        <v>0</v>
      </c>
      <c r="AP491" s="340">
        <f t="shared" si="633"/>
        <v>0</v>
      </c>
      <c r="AQ491" s="340">
        <f t="shared" si="633"/>
        <v>0</v>
      </c>
      <c r="AR491" s="340">
        <f t="shared" si="633"/>
        <v>0</v>
      </c>
      <c r="AS491" s="340">
        <f t="shared" si="633"/>
        <v>0</v>
      </c>
    </row>
    <row r="492" spans="1:45" ht="15" customHeight="1" x14ac:dyDescent="0.3">
      <c r="A492" s="112"/>
      <c r="B492" s="112"/>
      <c r="C492" s="113"/>
      <c r="D492" s="42"/>
      <c r="E492" s="340" t="str">
        <f xml:space="preserve"> E$147</f>
        <v>Customs duties and other taxes</v>
      </c>
      <c r="F492" s="340">
        <f t="shared" ref="F492:O492" si="634" xml:space="preserve"> F$147</f>
        <v>739.43899999999996</v>
      </c>
      <c r="G492" s="340" t="str">
        <f t="shared" si="634"/>
        <v>$ mn</v>
      </c>
      <c r="H492" s="340" t="str">
        <f t="shared" si="634"/>
        <v>M</v>
      </c>
      <c r="I492" s="340">
        <f t="shared" si="634"/>
        <v>739.43900000000031</v>
      </c>
      <c r="J492" s="340">
        <f t="shared" si="634"/>
        <v>0</v>
      </c>
      <c r="K492" s="340">
        <f t="shared" si="634"/>
        <v>0</v>
      </c>
      <c r="L492" s="340">
        <f t="shared" si="634"/>
        <v>0</v>
      </c>
      <c r="M492" s="340">
        <f t="shared" si="634"/>
        <v>0</v>
      </c>
      <c r="N492" s="340">
        <f t="shared" si="634"/>
        <v>0</v>
      </c>
      <c r="O492" s="340">
        <f t="shared" si="634"/>
        <v>0</v>
      </c>
      <c r="P492" s="340">
        <f t="shared" ref="P492:AS492" si="635" xml:space="preserve"> P$147</f>
        <v>0</v>
      </c>
      <c r="Q492" s="340">
        <f t="shared" si="635"/>
        <v>0</v>
      </c>
      <c r="R492" s="340">
        <f t="shared" si="635"/>
        <v>0</v>
      </c>
      <c r="S492" s="340">
        <f t="shared" si="635"/>
        <v>0</v>
      </c>
      <c r="T492" s="340">
        <f t="shared" si="635"/>
        <v>0</v>
      </c>
      <c r="U492" s="340">
        <f t="shared" si="635"/>
        <v>0</v>
      </c>
      <c r="V492" s="340">
        <f t="shared" si="635"/>
        <v>29.366</v>
      </c>
      <c r="W492" s="340">
        <f t="shared" si="635"/>
        <v>14.458</v>
      </c>
      <c r="X492" s="340">
        <f t="shared" si="635"/>
        <v>96.558999999999997</v>
      </c>
      <c r="Y492" s="340">
        <f t="shared" si="635"/>
        <v>143.32300000000001</v>
      </c>
      <c r="Z492" s="340">
        <f t="shared" si="635"/>
        <v>78.591999999999999</v>
      </c>
      <c r="AA492" s="340">
        <f t="shared" si="635"/>
        <v>100.86499999999999</v>
      </c>
      <c r="AB492" s="340">
        <f t="shared" si="635"/>
        <v>28.867500000000007</v>
      </c>
      <c r="AC492" s="340">
        <f t="shared" si="635"/>
        <v>28.867500000000007</v>
      </c>
      <c r="AD492" s="340">
        <f t="shared" si="635"/>
        <v>28.867500000000007</v>
      </c>
      <c r="AE492" s="340">
        <f t="shared" si="635"/>
        <v>28.867500000000007</v>
      </c>
      <c r="AF492" s="340">
        <f t="shared" si="635"/>
        <v>28.867500000000007</v>
      </c>
      <c r="AG492" s="340">
        <f t="shared" si="635"/>
        <v>28.867500000000007</v>
      </c>
      <c r="AH492" s="340">
        <f t="shared" si="635"/>
        <v>28.867500000000007</v>
      </c>
      <c r="AI492" s="340">
        <f t="shared" si="635"/>
        <v>28.867500000000007</v>
      </c>
      <c r="AJ492" s="340">
        <f t="shared" si="635"/>
        <v>27.332999999999998</v>
      </c>
      <c r="AK492" s="340">
        <f t="shared" si="635"/>
        <v>18.003</v>
      </c>
      <c r="AL492" s="340">
        <f t="shared" si="635"/>
        <v>0</v>
      </c>
      <c r="AM492" s="340">
        <f t="shared" si="635"/>
        <v>0</v>
      </c>
      <c r="AN492" s="340">
        <f t="shared" si="635"/>
        <v>0</v>
      </c>
      <c r="AO492" s="340">
        <f t="shared" si="635"/>
        <v>0</v>
      </c>
      <c r="AP492" s="340">
        <f t="shared" si="635"/>
        <v>0</v>
      </c>
      <c r="AQ492" s="340">
        <f t="shared" si="635"/>
        <v>0</v>
      </c>
      <c r="AR492" s="340">
        <f t="shared" si="635"/>
        <v>0</v>
      </c>
      <c r="AS492" s="340">
        <f t="shared" si="635"/>
        <v>0</v>
      </c>
    </row>
    <row r="493" spans="1:45" ht="15" customHeight="1" x14ac:dyDescent="0.3">
      <c r="E493" s="169" t="str">
        <f xml:space="preserve"> E$227</f>
        <v>Total royalty</v>
      </c>
      <c r="F493" s="169">
        <f xml:space="preserve"> F$227</f>
        <v>0</v>
      </c>
      <c r="G493" s="169" t="str">
        <f xml:space="preserve"> G$227</f>
        <v>$ mn</v>
      </c>
      <c r="H493" s="169">
        <f xml:space="preserve"> H$227</f>
        <v>0</v>
      </c>
      <c r="I493" s="169">
        <f xml:space="preserve"> I$227</f>
        <v>455.87740629965998</v>
      </c>
      <c r="J493" s="42"/>
      <c r="K493" s="169">
        <f t="shared" ref="K493:O493" si="636" xml:space="preserve"> K$227</f>
        <v>0</v>
      </c>
      <c r="L493" s="169">
        <f t="shared" si="636"/>
        <v>0</v>
      </c>
      <c r="M493" s="169">
        <f t="shared" si="636"/>
        <v>0</v>
      </c>
      <c r="N493" s="169">
        <f t="shared" si="636"/>
        <v>0</v>
      </c>
      <c r="O493" s="169">
        <f t="shared" si="636"/>
        <v>0</v>
      </c>
      <c r="P493" s="169">
        <f t="shared" ref="P493:AS493" si="637" xml:space="preserve"> P$227</f>
        <v>0</v>
      </c>
      <c r="Q493" s="169">
        <f t="shared" si="637"/>
        <v>0</v>
      </c>
      <c r="R493" s="169">
        <f t="shared" si="637"/>
        <v>0</v>
      </c>
      <c r="S493" s="169">
        <f t="shared" si="637"/>
        <v>0</v>
      </c>
      <c r="T493" s="169">
        <f t="shared" si="637"/>
        <v>0</v>
      </c>
      <c r="U493" s="169">
        <f t="shared" si="637"/>
        <v>0</v>
      </c>
      <c r="V493" s="169">
        <f t="shared" si="637"/>
        <v>2.0936120999999996</v>
      </c>
      <c r="W493" s="169">
        <f t="shared" si="637"/>
        <v>7.5658579700000015</v>
      </c>
      <c r="X493" s="169">
        <f t="shared" si="637"/>
        <v>16.337975890432002</v>
      </c>
      <c r="Y493" s="169">
        <f t="shared" si="637"/>
        <v>25.546252756080001</v>
      </c>
      <c r="Z493" s="169">
        <f t="shared" si="637"/>
        <v>43.023062557887997</v>
      </c>
      <c r="AA493" s="169">
        <f t="shared" si="637"/>
        <v>43.288425837524002</v>
      </c>
      <c r="AB493" s="169">
        <f t="shared" si="637"/>
        <v>34.594068645528004</v>
      </c>
      <c r="AC493" s="169">
        <f t="shared" si="637"/>
        <v>35.312801728050673</v>
      </c>
      <c r="AD493" s="169">
        <f t="shared" si="637"/>
        <v>35.312801728050673</v>
      </c>
      <c r="AE493" s="169">
        <f t="shared" si="637"/>
        <v>35.312801728050673</v>
      </c>
      <c r="AF493" s="169">
        <f t="shared" si="637"/>
        <v>35.312801728050673</v>
      </c>
      <c r="AG493" s="169">
        <f t="shared" si="637"/>
        <v>35.312801728050673</v>
      </c>
      <c r="AH493" s="169">
        <f t="shared" si="637"/>
        <v>35.312801728050673</v>
      </c>
      <c r="AI493" s="169">
        <f t="shared" si="637"/>
        <v>30.057016041384003</v>
      </c>
      <c r="AJ493" s="169">
        <f t="shared" si="637"/>
        <v>29.352096292092003</v>
      </c>
      <c r="AK493" s="169">
        <f t="shared" si="637"/>
        <v>12.142227840428001</v>
      </c>
      <c r="AL493" s="169">
        <f t="shared" si="637"/>
        <v>0</v>
      </c>
      <c r="AM493" s="169">
        <f t="shared" si="637"/>
        <v>0</v>
      </c>
      <c r="AN493" s="169">
        <f t="shared" si="637"/>
        <v>0</v>
      </c>
      <c r="AO493" s="169">
        <f t="shared" si="637"/>
        <v>0</v>
      </c>
      <c r="AP493" s="169">
        <f t="shared" si="637"/>
        <v>0</v>
      </c>
      <c r="AQ493" s="169">
        <f t="shared" si="637"/>
        <v>0</v>
      </c>
      <c r="AR493" s="169">
        <f t="shared" si="637"/>
        <v>0</v>
      </c>
      <c r="AS493" s="169">
        <f t="shared" si="637"/>
        <v>0</v>
      </c>
    </row>
    <row r="494" spans="1:45" ht="15" customHeight="1" x14ac:dyDescent="0.3">
      <c r="E494" s="169" t="str">
        <f xml:space="preserve"> E$339</f>
        <v>CIT payable</v>
      </c>
      <c r="F494" s="169">
        <f t="shared" ref="F494:I494" si="638" xml:space="preserve"> F$339</f>
        <v>0</v>
      </c>
      <c r="G494" s="169" t="str">
        <f t="shared" si="638"/>
        <v>$ mn</v>
      </c>
      <c r="H494" s="169">
        <f t="shared" si="638"/>
        <v>0</v>
      </c>
      <c r="I494" s="169">
        <f t="shared" si="638"/>
        <v>1182.1795951489798</v>
      </c>
      <c r="J494" s="42"/>
      <c r="K494" s="169">
        <f t="shared" ref="K494:O494" si="639" xml:space="preserve"> K$339</f>
        <v>0</v>
      </c>
      <c r="L494" s="169">
        <f t="shared" si="639"/>
        <v>0</v>
      </c>
      <c r="M494" s="169">
        <f t="shared" si="639"/>
        <v>0</v>
      </c>
      <c r="N494" s="169">
        <f t="shared" si="639"/>
        <v>0</v>
      </c>
      <c r="O494" s="169">
        <f t="shared" si="639"/>
        <v>0</v>
      </c>
      <c r="P494" s="169">
        <f t="shared" ref="P494:AS494" si="640" xml:space="preserve"> P$339</f>
        <v>0</v>
      </c>
      <c r="Q494" s="169">
        <f t="shared" si="640"/>
        <v>0</v>
      </c>
      <c r="R494" s="169">
        <f t="shared" si="640"/>
        <v>0</v>
      </c>
      <c r="S494" s="169">
        <f t="shared" si="640"/>
        <v>0</v>
      </c>
      <c r="T494" s="169">
        <f t="shared" si="640"/>
        <v>0</v>
      </c>
      <c r="U494" s="169">
        <f t="shared" si="640"/>
        <v>0</v>
      </c>
      <c r="V494" s="169">
        <f t="shared" si="640"/>
        <v>0</v>
      </c>
      <c r="W494" s="169">
        <f t="shared" si="640"/>
        <v>16.047306900000002</v>
      </c>
      <c r="X494" s="169">
        <f t="shared" si="640"/>
        <v>21.227132851296016</v>
      </c>
      <c r="Y494" s="169">
        <f t="shared" si="640"/>
        <v>64.424810583240017</v>
      </c>
      <c r="Z494" s="169">
        <f t="shared" si="640"/>
        <v>196.40751128366398</v>
      </c>
      <c r="AA494" s="169">
        <f t="shared" si="640"/>
        <v>98.920179007572017</v>
      </c>
      <c r="AB494" s="169">
        <f t="shared" si="640"/>
        <v>86.696199976584026</v>
      </c>
      <c r="AC494" s="169">
        <f t="shared" si="640"/>
        <v>90.171971564152003</v>
      </c>
      <c r="AD494" s="169">
        <f t="shared" si="640"/>
        <v>90.34018156415199</v>
      </c>
      <c r="AE494" s="169">
        <f t="shared" si="640"/>
        <v>90.508391564151992</v>
      </c>
      <c r="AF494" s="169">
        <f t="shared" si="640"/>
        <v>90.676601564151994</v>
      </c>
      <c r="AG494" s="169">
        <f t="shared" si="640"/>
        <v>90.676601564151994</v>
      </c>
      <c r="AH494" s="169">
        <f t="shared" si="640"/>
        <v>90.676601564151994</v>
      </c>
      <c r="AI494" s="169">
        <f t="shared" si="640"/>
        <v>64.664409964151915</v>
      </c>
      <c r="AJ494" s="169">
        <f t="shared" si="640"/>
        <v>78.183652716275972</v>
      </c>
      <c r="AK494" s="169">
        <f t="shared" si="640"/>
        <v>12.558042481283996</v>
      </c>
      <c r="AL494" s="169">
        <f t="shared" si="640"/>
        <v>0</v>
      </c>
      <c r="AM494" s="169">
        <f t="shared" si="640"/>
        <v>0</v>
      </c>
      <c r="AN494" s="169">
        <f t="shared" si="640"/>
        <v>0</v>
      </c>
      <c r="AO494" s="169">
        <f t="shared" si="640"/>
        <v>0</v>
      </c>
      <c r="AP494" s="169">
        <f t="shared" si="640"/>
        <v>0</v>
      </c>
      <c r="AQ494" s="169">
        <f t="shared" si="640"/>
        <v>0</v>
      </c>
      <c r="AR494" s="169">
        <f t="shared" si="640"/>
        <v>0</v>
      </c>
      <c r="AS494" s="169">
        <f t="shared" si="640"/>
        <v>0</v>
      </c>
    </row>
    <row r="495" spans="1:45" ht="15" customHeight="1" x14ac:dyDescent="0.3">
      <c r="A495" s="112"/>
      <c r="B495" s="112"/>
      <c r="C495" s="113"/>
      <c r="D495" s="42"/>
      <c r="E495" s="40" t="str">
        <f xml:space="preserve"> E$467</f>
        <v>Gecamines share of dividends</v>
      </c>
      <c r="F495" s="40">
        <f t="shared" ref="F495:O495" si="641" xml:space="preserve"> F$467</f>
        <v>0</v>
      </c>
      <c r="G495" s="40" t="str">
        <f t="shared" si="641"/>
        <v>$ mn</v>
      </c>
      <c r="H495" s="40">
        <f t="shared" si="641"/>
        <v>0</v>
      </c>
      <c r="I495" s="40">
        <f t="shared" si="641"/>
        <v>897.4496406617933</v>
      </c>
      <c r="J495" s="40">
        <f t="shared" si="641"/>
        <v>0</v>
      </c>
      <c r="K495" s="40">
        <f t="shared" si="641"/>
        <v>0</v>
      </c>
      <c r="L495" s="40">
        <f t="shared" si="641"/>
        <v>0</v>
      </c>
      <c r="M495" s="40">
        <f t="shared" si="641"/>
        <v>0</v>
      </c>
      <c r="N495" s="40">
        <f t="shared" si="641"/>
        <v>0</v>
      </c>
      <c r="O495" s="40">
        <f t="shared" si="641"/>
        <v>0</v>
      </c>
      <c r="P495" s="40">
        <f t="shared" ref="P495:AS495" si="642" xml:space="preserve"> P$467</f>
        <v>0</v>
      </c>
      <c r="Q495" s="40">
        <f t="shared" si="642"/>
        <v>0</v>
      </c>
      <c r="R495" s="40">
        <f t="shared" si="642"/>
        <v>0</v>
      </c>
      <c r="S495" s="40">
        <f t="shared" si="642"/>
        <v>0</v>
      </c>
      <c r="T495" s="40">
        <f t="shared" si="642"/>
        <v>0</v>
      </c>
      <c r="U495" s="40">
        <f t="shared" si="642"/>
        <v>0</v>
      </c>
      <c r="V495" s="40">
        <f t="shared" si="642"/>
        <v>0</v>
      </c>
      <c r="W495" s="40">
        <f t="shared" si="642"/>
        <v>77.662550943599996</v>
      </c>
      <c r="X495" s="40">
        <f t="shared" si="642"/>
        <v>0</v>
      </c>
      <c r="Y495" s="40">
        <f t="shared" si="642"/>
        <v>30.78650269171683</v>
      </c>
      <c r="Z495" s="40">
        <f t="shared" si="642"/>
        <v>77.15873272666046</v>
      </c>
      <c r="AA495" s="40">
        <f t="shared" si="642"/>
        <v>50.110372249747059</v>
      </c>
      <c r="AB495" s="40">
        <f t="shared" si="642"/>
        <v>42.275389318034875</v>
      </c>
      <c r="AC495" s="40">
        <f t="shared" si="642"/>
        <v>74.402053104397012</v>
      </c>
      <c r="AD495" s="40">
        <f t="shared" si="642"/>
        <v>85.553079804397044</v>
      </c>
      <c r="AE495" s="40">
        <f t="shared" si="642"/>
        <v>85.682601504397027</v>
      </c>
      <c r="AF495" s="40">
        <f t="shared" si="642"/>
        <v>90.762123204397042</v>
      </c>
      <c r="AG495" s="40">
        <f t="shared" si="642"/>
        <v>90.762123204397042</v>
      </c>
      <c r="AH495" s="40">
        <f t="shared" si="642"/>
        <v>90.762123204397042</v>
      </c>
      <c r="AI495" s="40">
        <f t="shared" si="642"/>
        <v>42.247414509912602</v>
      </c>
      <c r="AJ495" s="40">
        <f t="shared" si="642"/>
        <v>51.079986441300299</v>
      </c>
      <c r="AK495" s="40">
        <f t="shared" si="642"/>
        <v>8.2045877544388723</v>
      </c>
      <c r="AL495" s="40">
        <f t="shared" si="642"/>
        <v>0</v>
      </c>
      <c r="AM495" s="40">
        <f t="shared" si="642"/>
        <v>0</v>
      </c>
      <c r="AN495" s="40">
        <f t="shared" si="642"/>
        <v>0</v>
      </c>
      <c r="AO495" s="40">
        <f t="shared" si="642"/>
        <v>0</v>
      </c>
      <c r="AP495" s="40">
        <f t="shared" si="642"/>
        <v>0</v>
      </c>
      <c r="AQ495" s="40">
        <f t="shared" si="642"/>
        <v>0</v>
      </c>
      <c r="AR495" s="40">
        <f t="shared" si="642"/>
        <v>0</v>
      </c>
      <c r="AS495" s="40">
        <f t="shared" si="642"/>
        <v>0</v>
      </c>
    </row>
    <row r="496" spans="1:45" ht="15" customHeight="1" x14ac:dyDescent="0.3">
      <c r="A496" s="112"/>
      <c r="B496" s="112"/>
      <c r="C496" s="113"/>
      <c r="D496" s="42"/>
      <c r="E496" s="40" t="str">
        <f xml:space="preserve"> E$480</f>
        <v>Dividend withholding tax</v>
      </c>
      <c r="F496" s="40">
        <f t="shared" ref="F496:O496" si="643" xml:space="preserve"> F$480</f>
        <v>0</v>
      </c>
      <c r="G496" s="40" t="str">
        <f t="shared" si="643"/>
        <v>$ mn</v>
      </c>
      <c r="H496" s="40">
        <f t="shared" si="643"/>
        <v>0</v>
      </c>
      <c r="I496" s="40">
        <f t="shared" si="643"/>
        <v>214.99287360304032</v>
      </c>
      <c r="J496" s="40">
        <f t="shared" si="643"/>
        <v>0</v>
      </c>
      <c r="K496" s="40">
        <f t="shared" si="643"/>
        <v>0</v>
      </c>
      <c r="L496" s="40">
        <f t="shared" si="643"/>
        <v>0</v>
      </c>
      <c r="M496" s="40">
        <f t="shared" si="643"/>
        <v>0</v>
      </c>
      <c r="N496" s="40">
        <f t="shared" si="643"/>
        <v>0</v>
      </c>
      <c r="O496" s="40">
        <f t="shared" si="643"/>
        <v>0</v>
      </c>
      <c r="P496" s="40">
        <f t="shared" ref="P496:AS496" si="644" xml:space="preserve"> P$480</f>
        <v>0</v>
      </c>
      <c r="Q496" s="40">
        <f t="shared" si="644"/>
        <v>0</v>
      </c>
      <c r="R496" s="40">
        <f t="shared" si="644"/>
        <v>0</v>
      </c>
      <c r="S496" s="40">
        <f t="shared" si="644"/>
        <v>0</v>
      </c>
      <c r="T496" s="40">
        <f t="shared" si="644"/>
        <v>0</v>
      </c>
      <c r="U496" s="40">
        <f t="shared" si="644"/>
        <v>0</v>
      </c>
      <c r="V496" s="40">
        <f t="shared" si="644"/>
        <v>0</v>
      </c>
      <c r="W496" s="40">
        <f t="shared" si="644"/>
        <v>23.087714619080003</v>
      </c>
      <c r="X496" s="40">
        <f t="shared" si="644"/>
        <v>0</v>
      </c>
      <c r="Y496" s="40">
        <f t="shared" si="644"/>
        <v>8.0505866191843261</v>
      </c>
      <c r="Z496" s="40">
        <f t="shared" si="644"/>
        <v>22.131561118055544</v>
      </c>
      <c r="AA496" s="40">
        <f t="shared" si="644"/>
        <v>15.694096096312098</v>
      </c>
      <c r="AB496" s="40">
        <f t="shared" si="644"/>
        <v>13.664251196066111</v>
      </c>
      <c r="AC496" s="40">
        <f t="shared" si="644"/>
        <v>16.208021887862426</v>
      </c>
      <c r="AD496" s="40">
        <f t="shared" si="644"/>
        <v>17.36986771786243</v>
      </c>
      <c r="AE496" s="40">
        <f t="shared" si="644"/>
        <v>17.396164547862423</v>
      </c>
      <c r="AF496" s="40">
        <f t="shared" si="644"/>
        <v>18.427461377862432</v>
      </c>
      <c r="AG496" s="40">
        <f t="shared" si="644"/>
        <v>18.427461377862432</v>
      </c>
      <c r="AH496" s="40">
        <f t="shared" si="644"/>
        <v>18.427461377862432</v>
      </c>
      <c r="AI496" s="40">
        <f t="shared" si="644"/>
        <v>10.863620873977524</v>
      </c>
      <c r="AJ496" s="40">
        <f t="shared" si="644"/>
        <v>13.134853656334364</v>
      </c>
      <c r="AK496" s="40">
        <f t="shared" si="644"/>
        <v>2.1097511368557096</v>
      </c>
      <c r="AL496" s="40">
        <f t="shared" si="644"/>
        <v>0</v>
      </c>
      <c r="AM496" s="40">
        <f t="shared" si="644"/>
        <v>0</v>
      </c>
      <c r="AN496" s="40">
        <f t="shared" si="644"/>
        <v>0</v>
      </c>
      <c r="AO496" s="40">
        <f t="shared" si="644"/>
        <v>0</v>
      </c>
      <c r="AP496" s="40">
        <f t="shared" si="644"/>
        <v>0</v>
      </c>
      <c r="AQ496" s="40">
        <f t="shared" si="644"/>
        <v>0</v>
      </c>
      <c r="AR496" s="40">
        <f t="shared" si="644"/>
        <v>0</v>
      </c>
      <c r="AS496" s="40">
        <f t="shared" si="644"/>
        <v>0</v>
      </c>
    </row>
    <row r="497" spans="1:45" ht="15" customHeight="1" x14ac:dyDescent="0.3">
      <c r="E497" s="40" t="str">
        <f xml:space="preserve"> E$464</f>
        <v>Gecamines share of capex</v>
      </c>
      <c r="F497" s="40">
        <f t="shared" ref="F497:O497" si="645" xml:space="preserve"> F$464</f>
        <v>0</v>
      </c>
      <c r="G497" s="40" t="str">
        <f t="shared" si="645"/>
        <v>$ mn</v>
      </c>
      <c r="H497" s="40">
        <f t="shared" si="645"/>
        <v>0</v>
      </c>
      <c r="I497" s="40">
        <f t="shared" si="645"/>
        <v>232.59206230320001</v>
      </c>
      <c r="J497" s="40">
        <f t="shared" si="645"/>
        <v>0</v>
      </c>
      <c r="K497" s="40">
        <f t="shared" si="645"/>
        <v>0</v>
      </c>
      <c r="L497" s="40">
        <f t="shared" si="645"/>
        <v>0</v>
      </c>
      <c r="M497" s="40">
        <f t="shared" si="645"/>
        <v>0</v>
      </c>
      <c r="N497" s="40">
        <f t="shared" si="645"/>
        <v>0</v>
      </c>
      <c r="O497" s="40">
        <f t="shared" si="645"/>
        <v>0</v>
      </c>
      <c r="P497" s="40">
        <f t="shared" ref="P497:AS497" si="646" xml:space="preserve"> P$464</f>
        <v>0</v>
      </c>
      <c r="Q497" s="40">
        <f t="shared" si="646"/>
        <v>0</v>
      </c>
      <c r="R497" s="40">
        <f t="shared" si="646"/>
        <v>0</v>
      </c>
      <c r="S497" s="40">
        <f t="shared" si="646"/>
        <v>0</v>
      </c>
      <c r="T497" s="40">
        <f t="shared" si="646"/>
        <v>0</v>
      </c>
      <c r="U497" s="40">
        <f t="shared" si="646"/>
        <v>0</v>
      </c>
      <c r="V497" s="40">
        <f t="shared" si="646"/>
        <v>68.607894138000006</v>
      </c>
      <c r="W497" s="40">
        <f t="shared" si="646"/>
        <v>31.173443764400005</v>
      </c>
      <c r="X497" s="40">
        <f t="shared" si="646"/>
        <v>41.521118497600007</v>
      </c>
      <c r="Y497" s="40">
        <f t="shared" si="646"/>
        <v>1.3405735560000001</v>
      </c>
      <c r="Z497" s="40">
        <f t="shared" si="646"/>
        <v>22.907441312</v>
      </c>
      <c r="AA497" s="40">
        <f t="shared" si="646"/>
        <v>28.085718035200003</v>
      </c>
      <c r="AB497" s="40">
        <f t="shared" si="646"/>
        <v>27.934368000000003</v>
      </c>
      <c r="AC497" s="40">
        <f t="shared" si="646"/>
        <v>11.021504999999999</v>
      </c>
      <c r="AD497" s="40">
        <f t="shared" si="646"/>
        <v>0</v>
      </c>
      <c r="AE497" s="40">
        <f t="shared" si="646"/>
        <v>0</v>
      </c>
      <c r="AF497" s="40">
        <f t="shared" si="646"/>
        <v>0</v>
      </c>
      <c r="AG497" s="40">
        <f t="shared" si="646"/>
        <v>0</v>
      </c>
      <c r="AH497" s="40">
        <f t="shared" si="646"/>
        <v>0</v>
      </c>
      <c r="AI497" s="40">
        <f t="shared" si="646"/>
        <v>0</v>
      </c>
      <c r="AJ497" s="40">
        <f t="shared" si="646"/>
        <v>0</v>
      </c>
      <c r="AK497" s="40">
        <f t="shared" si="646"/>
        <v>0</v>
      </c>
      <c r="AL497" s="40">
        <f t="shared" si="646"/>
        <v>0</v>
      </c>
      <c r="AM497" s="40">
        <f t="shared" si="646"/>
        <v>0</v>
      </c>
      <c r="AN497" s="40">
        <f t="shared" si="646"/>
        <v>0</v>
      </c>
      <c r="AO497" s="40">
        <f t="shared" si="646"/>
        <v>0</v>
      </c>
      <c r="AP497" s="40">
        <f t="shared" si="646"/>
        <v>0</v>
      </c>
      <c r="AQ497" s="40">
        <f t="shared" si="646"/>
        <v>0</v>
      </c>
      <c r="AR497" s="40">
        <f t="shared" si="646"/>
        <v>0</v>
      </c>
      <c r="AS497" s="40">
        <f t="shared" si="646"/>
        <v>0</v>
      </c>
    </row>
    <row r="498" spans="1:45" ht="15" customHeight="1" x14ac:dyDescent="0.3">
      <c r="A498" s="303"/>
      <c r="B498" s="303"/>
      <c r="C498" s="304"/>
      <c r="D498" s="305"/>
      <c r="E498" s="305" t="s">
        <v>245</v>
      </c>
      <c r="F498" s="305"/>
      <c r="G498" s="111" t="str">
        <f xml:space="preserve"> G$383</f>
        <v>$ mn</v>
      </c>
      <c r="H498" s="307"/>
      <c r="I498" s="307">
        <f>SUM(K498:AS498)</f>
        <v>3590.8394534102731</v>
      </c>
      <c r="J498" s="305"/>
      <c r="K498" s="305">
        <f t="shared" ref="K498:O498" si="647">SUM(K486:K496) -K497</f>
        <v>0</v>
      </c>
      <c r="L498" s="305">
        <f t="shared" si="647"/>
        <v>0</v>
      </c>
      <c r="M498" s="305">
        <f t="shared" si="647"/>
        <v>0</v>
      </c>
      <c r="N498" s="305">
        <f t="shared" si="647"/>
        <v>0</v>
      </c>
      <c r="O498" s="305">
        <f t="shared" si="647"/>
        <v>0</v>
      </c>
      <c r="P498" s="305">
        <f t="shared" ref="P498:R498" si="648">SUM(P486:P496) -P497</f>
        <v>0</v>
      </c>
      <c r="Q498" s="305">
        <f t="shared" si="648"/>
        <v>0</v>
      </c>
      <c r="R498" s="305">
        <f t="shared" si="648"/>
        <v>0</v>
      </c>
      <c r="S498" s="305">
        <f>SUM(S486:S496) -S497</f>
        <v>0</v>
      </c>
      <c r="T498" s="305">
        <f t="shared" ref="T498:AP498" si="649">SUM(T486:T496) -T497</f>
        <v>0</v>
      </c>
      <c r="U498" s="305">
        <f t="shared" si="649"/>
        <v>0</v>
      </c>
      <c r="V498" s="305">
        <f t="shared" si="649"/>
        <v>-14.559282038000006</v>
      </c>
      <c r="W498" s="305">
        <f t="shared" si="649"/>
        <v>128.90898666828002</v>
      </c>
      <c r="X498" s="305">
        <f t="shared" si="649"/>
        <v>109.39099024412798</v>
      </c>
      <c r="Y498" s="305">
        <f t="shared" si="649"/>
        <v>289.92857909422122</v>
      </c>
      <c r="Z498" s="305">
        <f t="shared" si="649"/>
        <v>418.03342637426789</v>
      </c>
      <c r="AA498" s="305">
        <f t="shared" si="649"/>
        <v>303.66535515595518</v>
      </c>
      <c r="AB498" s="305">
        <f t="shared" si="649"/>
        <v>199.60704113621304</v>
      </c>
      <c r="AC498" s="305">
        <f t="shared" si="649"/>
        <v>255.38484328446208</v>
      </c>
      <c r="AD498" s="305">
        <f t="shared" si="649"/>
        <v>278.88743081446211</v>
      </c>
      <c r="AE498" s="305">
        <f t="shared" si="649"/>
        <v>279.21145934446213</v>
      </c>
      <c r="AF498" s="305">
        <f t="shared" si="649"/>
        <v>285.49048787446213</v>
      </c>
      <c r="AG498" s="305">
        <f t="shared" si="649"/>
        <v>285.49048787446213</v>
      </c>
      <c r="AH498" s="305">
        <f t="shared" si="649"/>
        <v>285.49048787446213</v>
      </c>
      <c r="AI498" s="305">
        <f t="shared" si="649"/>
        <v>198.14396138942607</v>
      </c>
      <c r="AJ498" s="305">
        <f t="shared" si="649"/>
        <v>219.15058910600263</v>
      </c>
      <c r="AK498" s="305">
        <f t="shared" si="649"/>
        <v>68.614609213006574</v>
      </c>
      <c r="AL498" s="305">
        <f t="shared" si="649"/>
        <v>0</v>
      </c>
      <c r="AM498" s="305">
        <f t="shared" si="649"/>
        <v>0</v>
      </c>
      <c r="AN498" s="305">
        <f t="shared" si="649"/>
        <v>0</v>
      </c>
      <c r="AO498" s="305">
        <f t="shared" si="649"/>
        <v>0</v>
      </c>
      <c r="AP498" s="305">
        <f t="shared" si="649"/>
        <v>0</v>
      </c>
      <c r="AQ498" s="305">
        <f t="shared" ref="AQ498:AS498" si="650">SUM(AQ486:AQ496) -AQ497</f>
        <v>0</v>
      </c>
      <c r="AR498" s="305">
        <f t="shared" si="650"/>
        <v>0</v>
      </c>
      <c r="AS498" s="305">
        <f t="shared" si="650"/>
        <v>0</v>
      </c>
    </row>
    <row r="499" spans="1:45" ht="15" customHeight="1" x14ac:dyDescent="0.3">
      <c r="I499" s="291"/>
      <c r="AL499" s="290"/>
      <c r="AM499" s="290"/>
      <c r="AN499" s="290"/>
      <c r="AO499" s="290"/>
      <c r="AP499" s="290"/>
      <c r="AQ499" s="290"/>
      <c r="AR499" s="290"/>
      <c r="AS499" s="290"/>
    </row>
    <row r="500" spans="1:45" ht="15" customHeight="1" x14ac:dyDescent="0.3">
      <c r="B500" s="288" t="s">
        <v>244</v>
      </c>
      <c r="I500" s="291"/>
      <c r="AL500" s="290"/>
      <c r="AM500" s="290"/>
      <c r="AN500" s="290"/>
      <c r="AO500" s="290"/>
      <c r="AP500" s="290"/>
      <c r="AQ500" s="290"/>
      <c r="AR500" s="290"/>
      <c r="AS500" s="290"/>
    </row>
    <row r="501" spans="1:45" ht="15" customHeight="1" x14ac:dyDescent="0.3">
      <c r="E501" s="169" t="str">
        <f xml:space="preserve"> E$166</f>
        <v>Cashflow before fiscal regime</v>
      </c>
      <c r="F501" s="169">
        <f t="shared" ref="F501:O501" si="651" xml:space="preserve"> F$166</f>
        <v>0</v>
      </c>
      <c r="G501" s="169" t="str">
        <f t="shared" si="651"/>
        <v>$ mn</v>
      </c>
      <c r="H501" s="169">
        <f t="shared" si="651"/>
        <v>0</v>
      </c>
      <c r="I501" s="169">
        <f t="shared" si="651"/>
        <v>5413.8090778562582</v>
      </c>
      <c r="J501" s="169">
        <f t="shared" si="651"/>
        <v>0</v>
      </c>
      <c r="K501" s="169">
        <f t="shared" si="651"/>
        <v>0</v>
      </c>
      <c r="L501" s="169">
        <f t="shared" si="651"/>
        <v>0</v>
      </c>
      <c r="M501" s="169">
        <f t="shared" si="651"/>
        <v>0</v>
      </c>
      <c r="N501" s="169">
        <f t="shared" si="651"/>
        <v>0</v>
      </c>
      <c r="O501" s="169">
        <f t="shared" si="651"/>
        <v>0</v>
      </c>
      <c r="P501" s="169">
        <f t="shared" ref="P501:AS501" si="652" xml:space="preserve"> P$166</f>
        <v>0</v>
      </c>
      <c r="Q501" s="169">
        <f t="shared" si="652"/>
        <v>0</v>
      </c>
      <c r="R501" s="169">
        <f t="shared" si="652"/>
        <v>0</v>
      </c>
      <c r="S501" s="169">
        <f t="shared" si="652"/>
        <v>0</v>
      </c>
      <c r="T501" s="169">
        <f t="shared" si="652"/>
        <v>0</v>
      </c>
      <c r="U501" s="169">
        <f t="shared" si="652"/>
        <v>0</v>
      </c>
      <c r="V501" s="169">
        <f t="shared" si="652"/>
        <v>-199.21184625000001</v>
      </c>
      <c r="W501" s="169">
        <f t="shared" si="652"/>
        <v>35.698418240000038</v>
      </c>
      <c r="X501" s="169">
        <f t="shared" si="652"/>
        <v>108.687376474752</v>
      </c>
      <c r="Y501" s="169">
        <f t="shared" si="652"/>
        <v>475.24257866688009</v>
      </c>
      <c r="Z501" s="169">
        <f t="shared" si="652"/>
        <v>795.33819643676793</v>
      </c>
      <c r="AA501" s="169">
        <f t="shared" si="652"/>
        <v>462.71572002276412</v>
      </c>
      <c r="AB501" s="169">
        <f t="shared" si="652"/>
        <v>339.82810190080801</v>
      </c>
      <c r="AC501" s="169">
        <f t="shared" si="652"/>
        <v>417.93914027522396</v>
      </c>
      <c r="AD501" s="169">
        <f t="shared" si="652"/>
        <v>451.33764027522398</v>
      </c>
      <c r="AE501" s="169">
        <f t="shared" si="652"/>
        <v>451.33764027522398</v>
      </c>
      <c r="AF501" s="169">
        <f t="shared" si="652"/>
        <v>451.33764027522398</v>
      </c>
      <c r="AG501" s="169">
        <f t="shared" si="652"/>
        <v>451.33764027522398</v>
      </c>
      <c r="AH501" s="169">
        <f t="shared" si="652"/>
        <v>451.33764027522398</v>
      </c>
      <c r="AI501" s="169">
        <f t="shared" si="652"/>
        <v>295.9165492552238</v>
      </c>
      <c r="AJ501" s="169">
        <f t="shared" si="652"/>
        <v>337.36427201301194</v>
      </c>
      <c r="AK501" s="169">
        <f t="shared" si="652"/>
        <v>87.602369444707961</v>
      </c>
      <c r="AL501" s="169">
        <f t="shared" si="652"/>
        <v>0</v>
      </c>
      <c r="AM501" s="169">
        <f t="shared" si="652"/>
        <v>0</v>
      </c>
      <c r="AN501" s="169">
        <f t="shared" si="652"/>
        <v>0</v>
      </c>
      <c r="AO501" s="169">
        <f t="shared" si="652"/>
        <v>0</v>
      </c>
      <c r="AP501" s="169">
        <f t="shared" si="652"/>
        <v>0</v>
      </c>
      <c r="AQ501" s="169">
        <f t="shared" si="652"/>
        <v>0</v>
      </c>
      <c r="AR501" s="169">
        <f t="shared" si="652"/>
        <v>0</v>
      </c>
      <c r="AS501" s="169">
        <f t="shared" si="652"/>
        <v>0</v>
      </c>
    </row>
    <row r="502" spans="1:45" ht="15" customHeight="1" x14ac:dyDescent="0.3">
      <c r="E502" s="169" t="str">
        <f xml:space="preserve"> E$498</f>
        <v>Government revenues</v>
      </c>
      <c r="F502" s="169">
        <f t="shared" ref="F502:O502" si="653" xml:space="preserve"> F$498</f>
        <v>0</v>
      </c>
      <c r="G502" s="169" t="str">
        <f t="shared" si="653"/>
        <v>$ mn</v>
      </c>
      <c r="H502" s="169">
        <f t="shared" si="653"/>
        <v>0</v>
      </c>
      <c r="I502" s="169">
        <f t="shared" si="653"/>
        <v>3590.8394534102731</v>
      </c>
      <c r="J502" s="169">
        <f t="shared" si="653"/>
        <v>0</v>
      </c>
      <c r="K502" s="169">
        <f t="shared" si="653"/>
        <v>0</v>
      </c>
      <c r="L502" s="169">
        <f t="shared" si="653"/>
        <v>0</v>
      </c>
      <c r="M502" s="169">
        <f t="shared" si="653"/>
        <v>0</v>
      </c>
      <c r="N502" s="169">
        <f t="shared" si="653"/>
        <v>0</v>
      </c>
      <c r="O502" s="169">
        <f t="shared" si="653"/>
        <v>0</v>
      </c>
      <c r="P502" s="169">
        <f t="shared" ref="P502:AS502" si="654" xml:space="preserve"> P$498</f>
        <v>0</v>
      </c>
      <c r="Q502" s="169">
        <f t="shared" si="654"/>
        <v>0</v>
      </c>
      <c r="R502" s="169">
        <f t="shared" si="654"/>
        <v>0</v>
      </c>
      <c r="S502" s="169">
        <f t="shared" si="654"/>
        <v>0</v>
      </c>
      <c r="T502" s="169">
        <f t="shared" si="654"/>
        <v>0</v>
      </c>
      <c r="U502" s="169">
        <f t="shared" si="654"/>
        <v>0</v>
      </c>
      <c r="V502" s="169">
        <f t="shared" si="654"/>
        <v>-14.559282038000006</v>
      </c>
      <c r="W502" s="169">
        <f t="shared" si="654"/>
        <v>128.90898666828002</v>
      </c>
      <c r="X502" s="169">
        <f t="shared" si="654"/>
        <v>109.39099024412798</v>
      </c>
      <c r="Y502" s="169">
        <f t="shared" si="654"/>
        <v>289.92857909422122</v>
      </c>
      <c r="Z502" s="169">
        <f t="shared" si="654"/>
        <v>418.03342637426789</v>
      </c>
      <c r="AA502" s="169">
        <f t="shared" si="654"/>
        <v>303.66535515595518</v>
      </c>
      <c r="AB502" s="169">
        <f t="shared" si="654"/>
        <v>199.60704113621304</v>
      </c>
      <c r="AC502" s="169">
        <f t="shared" si="654"/>
        <v>255.38484328446208</v>
      </c>
      <c r="AD502" s="169">
        <f t="shared" si="654"/>
        <v>278.88743081446211</v>
      </c>
      <c r="AE502" s="169">
        <f t="shared" si="654"/>
        <v>279.21145934446213</v>
      </c>
      <c r="AF502" s="169">
        <f t="shared" si="654"/>
        <v>285.49048787446213</v>
      </c>
      <c r="AG502" s="169">
        <f t="shared" si="654"/>
        <v>285.49048787446213</v>
      </c>
      <c r="AH502" s="169">
        <f t="shared" si="654"/>
        <v>285.49048787446213</v>
      </c>
      <c r="AI502" s="169">
        <f t="shared" si="654"/>
        <v>198.14396138942607</v>
      </c>
      <c r="AJ502" s="169">
        <f t="shared" si="654"/>
        <v>219.15058910600263</v>
      </c>
      <c r="AK502" s="169">
        <f t="shared" si="654"/>
        <v>68.614609213006574</v>
      </c>
      <c r="AL502" s="169">
        <f t="shared" si="654"/>
        <v>0</v>
      </c>
      <c r="AM502" s="169">
        <f t="shared" si="654"/>
        <v>0</v>
      </c>
      <c r="AN502" s="169">
        <f t="shared" si="654"/>
        <v>0</v>
      </c>
      <c r="AO502" s="169">
        <f t="shared" si="654"/>
        <v>0</v>
      </c>
      <c r="AP502" s="169">
        <f t="shared" si="654"/>
        <v>0</v>
      </c>
      <c r="AQ502" s="169">
        <f t="shared" si="654"/>
        <v>0</v>
      </c>
      <c r="AR502" s="169">
        <f t="shared" si="654"/>
        <v>0</v>
      </c>
      <c r="AS502" s="169">
        <f t="shared" si="654"/>
        <v>0</v>
      </c>
    </row>
    <row r="503" spans="1:45" ht="15" customHeight="1" x14ac:dyDescent="0.3">
      <c r="E503" s="169" t="str">
        <f xml:space="preserve"> E$482</f>
        <v>Zijin final cashflows</v>
      </c>
      <c r="F503" s="169">
        <f t="shared" ref="F503:O503" si="655" xml:space="preserve"> F$482</f>
        <v>0</v>
      </c>
      <c r="G503" s="169" t="str">
        <f t="shared" si="655"/>
        <v>$ mn</v>
      </c>
      <c r="H503" s="169">
        <f t="shared" si="655"/>
        <v>0</v>
      </c>
      <c r="I503" s="169">
        <f t="shared" si="655"/>
        <v>1783.8576844459863</v>
      </c>
      <c r="J503" s="169">
        <f t="shared" si="655"/>
        <v>0</v>
      </c>
      <c r="K503" s="169">
        <f t="shared" si="655"/>
        <v>0</v>
      </c>
      <c r="L503" s="169">
        <f t="shared" si="655"/>
        <v>0</v>
      </c>
      <c r="M503" s="169">
        <f t="shared" si="655"/>
        <v>0</v>
      </c>
      <c r="N503" s="169">
        <f t="shared" si="655"/>
        <v>0</v>
      </c>
      <c r="O503" s="169">
        <f t="shared" si="655"/>
        <v>0</v>
      </c>
      <c r="P503" s="169">
        <f t="shared" ref="P503:AS503" si="656" xml:space="preserve"> P$482</f>
        <v>0</v>
      </c>
      <c r="Q503" s="169">
        <f t="shared" si="656"/>
        <v>0</v>
      </c>
      <c r="R503" s="169">
        <f t="shared" si="656"/>
        <v>0</v>
      </c>
      <c r="S503" s="169">
        <f t="shared" si="656"/>
        <v>0</v>
      </c>
      <c r="T503" s="169">
        <f t="shared" si="656"/>
        <v>0</v>
      </c>
      <c r="U503" s="169">
        <f t="shared" si="656"/>
        <v>0</v>
      </c>
      <c r="V503" s="169">
        <f t="shared" si="656"/>
        <v>-85.652564212000044</v>
      </c>
      <c r="W503" s="169">
        <f t="shared" si="656"/>
        <v>207.78943157172</v>
      </c>
      <c r="X503" s="169">
        <f t="shared" si="656"/>
        <v>-65.425613769375985</v>
      </c>
      <c r="Y503" s="169">
        <f t="shared" si="656"/>
        <v>72.455279572658924</v>
      </c>
      <c r="Z503" s="169">
        <f t="shared" si="656"/>
        <v>199.18405006249989</v>
      </c>
      <c r="AA503" s="169">
        <f t="shared" si="656"/>
        <v>141.24686486680886</v>
      </c>
      <c r="AB503" s="169">
        <f t="shared" si="656"/>
        <v>122.97826076459498</v>
      </c>
      <c r="AC503" s="169">
        <f t="shared" si="656"/>
        <v>145.87219699076181</v>
      </c>
      <c r="AD503" s="169">
        <f t="shared" si="656"/>
        <v>156.32880946076185</v>
      </c>
      <c r="AE503" s="169">
        <f t="shared" si="656"/>
        <v>156.56548093076182</v>
      </c>
      <c r="AF503" s="169">
        <f t="shared" si="656"/>
        <v>165.84715240076187</v>
      </c>
      <c r="AG503" s="169">
        <f t="shared" si="656"/>
        <v>165.84715240076187</v>
      </c>
      <c r="AH503" s="169">
        <f t="shared" si="656"/>
        <v>165.84715240076187</v>
      </c>
      <c r="AI503" s="169">
        <f t="shared" si="656"/>
        <v>97.772587865797718</v>
      </c>
      <c r="AJ503" s="169">
        <f t="shared" si="656"/>
        <v>118.21368290700926</v>
      </c>
      <c r="AK503" s="169">
        <f t="shared" si="656"/>
        <v>18.987760231701387</v>
      </c>
      <c r="AL503" s="169">
        <f t="shared" si="656"/>
        <v>0</v>
      </c>
      <c r="AM503" s="169">
        <f t="shared" si="656"/>
        <v>0</v>
      </c>
      <c r="AN503" s="169">
        <f t="shared" si="656"/>
        <v>0</v>
      </c>
      <c r="AO503" s="169">
        <f t="shared" si="656"/>
        <v>0</v>
      </c>
      <c r="AP503" s="169">
        <f t="shared" si="656"/>
        <v>0</v>
      </c>
      <c r="AQ503" s="169">
        <f t="shared" si="656"/>
        <v>0</v>
      </c>
      <c r="AR503" s="169">
        <f t="shared" si="656"/>
        <v>0</v>
      </c>
      <c r="AS503" s="169">
        <f t="shared" si="656"/>
        <v>0</v>
      </c>
    </row>
    <row r="504" spans="1:45" ht="15" customHeight="1" x14ac:dyDescent="0.3">
      <c r="E504" s="40" t="str">
        <f xml:space="preserve"> E$400</f>
        <v>Total drawdowns</v>
      </c>
      <c r="F504" s="40">
        <f t="shared" ref="F504:I504" si="657" xml:space="preserve"> F$400</f>
        <v>0</v>
      </c>
      <c r="G504" s="40" t="str">
        <f t="shared" si="657"/>
        <v>$ mn</v>
      </c>
      <c r="H504" s="40">
        <f t="shared" si="657"/>
        <v>0</v>
      </c>
      <c r="I504" s="40">
        <f t="shared" si="657"/>
        <v>499</v>
      </c>
      <c r="J504" s="42"/>
      <c r="K504" s="40">
        <f t="shared" ref="K504:O504" si="658" xml:space="preserve"> K$400</f>
        <v>0</v>
      </c>
      <c r="L504" s="40">
        <f t="shared" si="658"/>
        <v>0</v>
      </c>
      <c r="M504" s="40">
        <f t="shared" si="658"/>
        <v>0</v>
      </c>
      <c r="N504" s="40">
        <f t="shared" si="658"/>
        <v>0</v>
      </c>
      <c r="O504" s="40">
        <f t="shared" si="658"/>
        <v>0</v>
      </c>
      <c r="P504" s="40">
        <f t="shared" ref="P504:AS504" si="659" xml:space="preserve"> P$400</f>
        <v>0</v>
      </c>
      <c r="Q504" s="40">
        <f t="shared" si="659"/>
        <v>0</v>
      </c>
      <c r="R504" s="40">
        <f t="shared" si="659"/>
        <v>0</v>
      </c>
      <c r="S504" s="40">
        <f t="shared" si="659"/>
        <v>0</v>
      </c>
      <c r="T504" s="40">
        <f t="shared" si="659"/>
        <v>0</v>
      </c>
      <c r="U504" s="40">
        <f t="shared" si="659"/>
        <v>0</v>
      </c>
      <c r="V504" s="40">
        <f t="shared" si="659"/>
        <v>99</v>
      </c>
      <c r="W504" s="40">
        <f t="shared" si="659"/>
        <v>400</v>
      </c>
      <c r="X504" s="40">
        <f t="shared" si="659"/>
        <v>0</v>
      </c>
      <c r="Y504" s="40">
        <f t="shared" si="659"/>
        <v>0</v>
      </c>
      <c r="Z504" s="40">
        <f t="shared" si="659"/>
        <v>0</v>
      </c>
      <c r="AA504" s="40">
        <f t="shared" si="659"/>
        <v>0</v>
      </c>
      <c r="AB504" s="40">
        <f t="shared" si="659"/>
        <v>0</v>
      </c>
      <c r="AC504" s="40">
        <f t="shared" si="659"/>
        <v>0</v>
      </c>
      <c r="AD504" s="40">
        <f t="shared" si="659"/>
        <v>0</v>
      </c>
      <c r="AE504" s="40">
        <f t="shared" si="659"/>
        <v>0</v>
      </c>
      <c r="AF504" s="40">
        <f t="shared" si="659"/>
        <v>0</v>
      </c>
      <c r="AG504" s="40">
        <f t="shared" si="659"/>
        <v>0</v>
      </c>
      <c r="AH504" s="40">
        <f t="shared" si="659"/>
        <v>0</v>
      </c>
      <c r="AI504" s="40">
        <f t="shared" si="659"/>
        <v>0</v>
      </c>
      <c r="AJ504" s="40">
        <f t="shared" si="659"/>
        <v>0</v>
      </c>
      <c r="AK504" s="40">
        <f t="shared" si="659"/>
        <v>0</v>
      </c>
      <c r="AL504" s="40">
        <f t="shared" si="659"/>
        <v>0</v>
      </c>
      <c r="AM504" s="40">
        <f t="shared" si="659"/>
        <v>0</v>
      </c>
      <c r="AN504" s="40">
        <f t="shared" si="659"/>
        <v>0</v>
      </c>
      <c r="AO504" s="40">
        <f t="shared" si="659"/>
        <v>0</v>
      </c>
      <c r="AP504" s="40">
        <f t="shared" si="659"/>
        <v>0</v>
      </c>
      <c r="AQ504" s="40">
        <f t="shared" si="659"/>
        <v>0</v>
      </c>
      <c r="AR504" s="40">
        <f t="shared" si="659"/>
        <v>0</v>
      </c>
      <c r="AS504" s="40">
        <f t="shared" si="659"/>
        <v>0</v>
      </c>
    </row>
    <row r="505" spans="1:45" ht="15" customHeight="1" x14ac:dyDescent="0.3">
      <c r="E505" s="40" t="str">
        <f xml:space="preserve"> E$416</f>
        <v>Total repayments</v>
      </c>
      <c r="F505" s="40">
        <f t="shared" ref="F505:I505" si="660" xml:space="preserve"> F$416</f>
        <v>0</v>
      </c>
      <c r="G505" s="40" t="str">
        <f t="shared" si="660"/>
        <v>$ mn</v>
      </c>
      <c r="H505" s="40">
        <f t="shared" si="660"/>
        <v>0</v>
      </c>
      <c r="I505" s="40">
        <f t="shared" si="660"/>
        <v>538.11194</v>
      </c>
      <c r="J505" s="42"/>
      <c r="K505" s="40">
        <f t="shared" ref="K505:O505" si="661" xml:space="preserve"> K$416</f>
        <v>0</v>
      </c>
      <c r="L505" s="40">
        <f t="shared" si="661"/>
        <v>0</v>
      </c>
      <c r="M505" s="40">
        <f t="shared" si="661"/>
        <v>0</v>
      </c>
      <c r="N505" s="40">
        <f t="shared" si="661"/>
        <v>0</v>
      </c>
      <c r="O505" s="40">
        <f t="shared" si="661"/>
        <v>0</v>
      </c>
      <c r="P505" s="40">
        <f t="shared" ref="P505:AS505" si="662" xml:space="preserve"> P$416</f>
        <v>0</v>
      </c>
      <c r="Q505" s="40">
        <f t="shared" si="662"/>
        <v>0</v>
      </c>
      <c r="R505" s="40">
        <f t="shared" si="662"/>
        <v>0</v>
      </c>
      <c r="S505" s="40">
        <f t="shared" si="662"/>
        <v>0</v>
      </c>
      <c r="T505" s="40">
        <f t="shared" si="662"/>
        <v>0</v>
      </c>
      <c r="U505" s="40">
        <f t="shared" si="662"/>
        <v>0</v>
      </c>
      <c r="V505" s="40">
        <f t="shared" si="662"/>
        <v>0</v>
      </c>
      <c r="W505" s="40">
        <f t="shared" si="662"/>
        <v>99</v>
      </c>
      <c r="X505" s="40">
        <f t="shared" si="662"/>
        <v>64.721999999999994</v>
      </c>
      <c r="Y505" s="40">
        <f t="shared" si="662"/>
        <v>112.85872000000001</v>
      </c>
      <c r="Z505" s="40">
        <f t="shared" si="662"/>
        <v>178.12072000000001</v>
      </c>
      <c r="AA505" s="40">
        <f t="shared" si="662"/>
        <v>17.8035</v>
      </c>
      <c r="AB505" s="40">
        <f t="shared" si="662"/>
        <v>17.242799999999999</v>
      </c>
      <c r="AC505" s="40">
        <f t="shared" si="662"/>
        <v>16.682099999999998</v>
      </c>
      <c r="AD505" s="40">
        <f t="shared" si="662"/>
        <v>16.121400000000001</v>
      </c>
      <c r="AE505" s="40">
        <f t="shared" si="662"/>
        <v>15.560700000000001</v>
      </c>
      <c r="AF505" s="40">
        <f t="shared" si="662"/>
        <v>0</v>
      </c>
      <c r="AG505" s="40">
        <f t="shared" si="662"/>
        <v>0</v>
      </c>
      <c r="AH505" s="40">
        <f t="shared" si="662"/>
        <v>0</v>
      </c>
      <c r="AI505" s="40">
        <f t="shared" si="662"/>
        <v>0</v>
      </c>
      <c r="AJ505" s="40">
        <f t="shared" si="662"/>
        <v>0</v>
      </c>
      <c r="AK505" s="40">
        <f t="shared" si="662"/>
        <v>0</v>
      </c>
      <c r="AL505" s="40">
        <f t="shared" si="662"/>
        <v>0</v>
      </c>
      <c r="AM505" s="40">
        <f t="shared" si="662"/>
        <v>0</v>
      </c>
      <c r="AN505" s="40">
        <f t="shared" si="662"/>
        <v>0</v>
      </c>
      <c r="AO505" s="40">
        <f t="shared" si="662"/>
        <v>0</v>
      </c>
      <c r="AP505" s="40">
        <f t="shared" si="662"/>
        <v>0</v>
      </c>
      <c r="AQ505" s="40">
        <f t="shared" si="662"/>
        <v>0</v>
      </c>
      <c r="AR505" s="40">
        <f t="shared" si="662"/>
        <v>0</v>
      </c>
      <c r="AS505" s="40">
        <f t="shared" si="662"/>
        <v>0</v>
      </c>
    </row>
    <row r="506" spans="1:45" ht="15" customHeight="1" x14ac:dyDescent="0.3">
      <c r="A506" s="303"/>
      <c r="B506" s="303"/>
      <c r="C506" s="304"/>
      <c r="D506" s="305"/>
      <c r="E506" s="305" t="s">
        <v>246</v>
      </c>
      <c r="F506" s="305"/>
      <c r="G506" s="111" t="str">
        <f xml:space="preserve"> G$383</f>
        <v>$ mn</v>
      </c>
      <c r="H506" s="307"/>
      <c r="I506" s="307">
        <f>SUM(K506:AS506)</f>
        <v>1.8829382497642655E-13</v>
      </c>
      <c r="J506" s="305"/>
      <c r="K506" s="305">
        <f>K501 - K502 - K503 + K504 - K505</f>
        <v>0</v>
      </c>
      <c r="L506" s="305">
        <f t="shared" ref="L506:AS506" si="663">L501 - L502 - L503 + L504 - L505</f>
        <v>0</v>
      </c>
      <c r="M506" s="305">
        <f t="shared" si="663"/>
        <v>0</v>
      </c>
      <c r="N506" s="305">
        <f t="shared" si="663"/>
        <v>0</v>
      </c>
      <c r="O506" s="305">
        <f t="shared" si="663"/>
        <v>0</v>
      </c>
      <c r="P506" s="305">
        <f t="shared" si="663"/>
        <v>0</v>
      </c>
      <c r="Q506" s="305">
        <f t="shared" si="663"/>
        <v>0</v>
      </c>
      <c r="R506" s="305">
        <f t="shared" si="663"/>
        <v>0</v>
      </c>
      <c r="S506" s="305">
        <f t="shared" si="663"/>
        <v>0</v>
      </c>
      <c r="T506" s="305">
        <f t="shared" si="663"/>
        <v>0</v>
      </c>
      <c r="U506" s="305">
        <f t="shared" si="663"/>
        <v>0</v>
      </c>
      <c r="V506" s="305">
        <f t="shared" si="663"/>
        <v>2.8421709430404007E-14</v>
      </c>
      <c r="W506" s="305">
        <f t="shared" si="663"/>
        <v>0</v>
      </c>
      <c r="X506" s="305">
        <f t="shared" si="663"/>
        <v>0</v>
      </c>
      <c r="Y506" s="305">
        <f t="shared" si="663"/>
        <v>0</v>
      </c>
      <c r="Z506" s="305">
        <f t="shared" si="663"/>
        <v>0</v>
      </c>
      <c r="AA506" s="305">
        <f t="shared" si="663"/>
        <v>7.1054273576010019E-14</v>
      </c>
      <c r="AB506" s="305">
        <f t="shared" si="663"/>
        <v>0</v>
      </c>
      <c r="AC506" s="305">
        <f t="shared" si="663"/>
        <v>7.815970093361102E-14</v>
      </c>
      <c r="AD506" s="305">
        <f t="shared" si="663"/>
        <v>0</v>
      </c>
      <c r="AE506" s="305">
        <f t="shared" si="663"/>
        <v>2.4868995751603507E-14</v>
      </c>
      <c r="AF506" s="305">
        <f t="shared" si="663"/>
        <v>-2.8421709430404007E-14</v>
      </c>
      <c r="AG506" s="305">
        <f t="shared" si="663"/>
        <v>-2.8421709430404007E-14</v>
      </c>
      <c r="AH506" s="305">
        <f t="shared" si="663"/>
        <v>-2.8421709430404007E-14</v>
      </c>
      <c r="AI506" s="305">
        <f t="shared" si="663"/>
        <v>1.4210854715202004E-14</v>
      </c>
      <c r="AJ506" s="305">
        <f t="shared" si="663"/>
        <v>5.6843418860808015E-14</v>
      </c>
      <c r="AK506" s="305">
        <f t="shared" si="663"/>
        <v>0</v>
      </c>
      <c r="AL506" s="305">
        <f t="shared" si="663"/>
        <v>0</v>
      </c>
      <c r="AM506" s="305">
        <f t="shared" si="663"/>
        <v>0</v>
      </c>
      <c r="AN506" s="305">
        <f t="shared" si="663"/>
        <v>0</v>
      </c>
      <c r="AO506" s="305">
        <f t="shared" si="663"/>
        <v>0</v>
      </c>
      <c r="AP506" s="305">
        <f t="shared" si="663"/>
        <v>0</v>
      </c>
      <c r="AQ506" s="305">
        <f t="shared" si="663"/>
        <v>0</v>
      </c>
      <c r="AR506" s="305">
        <f t="shared" si="663"/>
        <v>0</v>
      </c>
      <c r="AS506" s="305">
        <f t="shared" si="663"/>
        <v>0</v>
      </c>
    </row>
    <row r="507" spans="1:45" ht="15" customHeight="1" x14ac:dyDescent="0.3">
      <c r="I507" s="291"/>
      <c r="AL507" s="290"/>
      <c r="AM507" s="290"/>
      <c r="AN507" s="290"/>
      <c r="AO507" s="290"/>
      <c r="AP507" s="290"/>
      <c r="AQ507" s="290"/>
      <c r="AR507" s="290"/>
      <c r="AS507" s="290"/>
    </row>
    <row r="508" spans="1:45" ht="15" customHeight="1" x14ac:dyDescent="0.3">
      <c r="E508" s="290" t="s">
        <v>247</v>
      </c>
      <c r="F508" s="72">
        <f>I502/I501</f>
        <v>0.66327412026730759</v>
      </c>
      <c r="G508" s="290" t="s">
        <v>34</v>
      </c>
      <c r="I508" s="291"/>
      <c r="AL508" s="290"/>
      <c r="AM508" s="290"/>
      <c r="AN508" s="290"/>
      <c r="AO508" s="290"/>
      <c r="AP508" s="290"/>
      <c r="AQ508" s="290"/>
      <c r="AR508" s="290"/>
      <c r="AS508" s="290"/>
    </row>
    <row r="509" spans="1:45" ht="15" customHeight="1" x14ac:dyDescent="0.3">
      <c r="I509" s="291"/>
      <c r="AL509" s="290"/>
      <c r="AM509" s="290"/>
      <c r="AN509" s="290"/>
      <c r="AO509" s="290"/>
      <c r="AP509" s="290"/>
      <c r="AQ509" s="290"/>
      <c r="AR509" s="290"/>
      <c r="AS509" s="290"/>
    </row>
    <row r="510" spans="1:45" ht="15" customHeight="1" x14ac:dyDescent="0.3">
      <c r="B510" s="288" t="s">
        <v>248</v>
      </c>
      <c r="I510" s="291"/>
      <c r="AL510" s="290"/>
      <c r="AM510" s="290"/>
      <c r="AN510" s="290"/>
      <c r="AO510" s="290"/>
      <c r="AP510" s="290"/>
      <c r="AQ510" s="290"/>
      <c r="AR510" s="290"/>
      <c r="AS510" s="290"/>
    </row>
    <row r="511" spans="1:45" ht="15" customHeight="1" x14ac:dyDescent="0.3">
      <c r="E511" s="290" t="s">
        <v>475</v>
      </c>
      <c r="F511" s="72">
        <f xml:space="preserve"> IFERROR( IRR(S501:AS501), "n.a.")</f>
        <v>0.94318450544721766</v>
      </c>
      <c r="G511" s="290" t="s">
        <v>34</v>
      </c>
      <c r="I511" s="291"/>
      <c r="AL511" s="290"/>
      <c r="AM511" s="290"/>
      <c r="AN511" s="290"/>
      <c r="AO511" s="290"/>
      <c r="AP511" s="290"/>
      <c r="AQ511" s="290"/>
      <c r="AR511" s="290"/>
      <c r="AS511" s="290"/>
    </row>
    <row r="512" spans="1:45" ht="15" customHeight="1" x14ac:dyDescent="0.3">
      <c r="E512" s="290" t="s">
        <v>476</v>
      </c>
      <c r="F512" s="72">
        <f xml:space="preserve"> IFERROR( IRR(S498:AS498), "n.a.")</f>
        <v>8.8540239060725163</v>
      </c>
      <c r="G512" s="290" t="s">
        <v>34</v>
      </c>
      <c r="I512" s="291"/>
      <c r="AL512" s="290"/>
      <c r="AM512" s="290"/>
      <c r="AN512" s="290"/>
      <c r="AO512" s="290"/>
      <c r="AP512" s="290"/>
      <c r="AQ512" s="290"/>
      <c r="AR512" s="290"/>
      <c r="AS512" s="290"/>
    </row>
    <row r="513" spans="1:45" ht="15" customHeight="1" x14ac:dyDescent="0.3">
      <c r="E513" s="290" t="s">
        <v>477</v>
      </c>
      <c r="F513" s="72">
        <f xml:space="preserve"> IFERROR( IRR(S482:AS482), "n.a.")</f>
        <v>1.479617569500411</v>
      </c>
      <c r="G513" s="290" t="s">
        <v>34</v>
      </c>
      <c r="I513" s="291"/>
      <c r="AL513" s="290"/>
      <c r="AM513" s="290"/>
      <c r="AN513" s="290"/>
      <c r="AO513" s="290"/>
      <c r="AP513" s="290"/>
      <c r="AQ513" s="290"/>
      <c r="AR513" s="290"/>
      <c r="AS513" s="290"/>
    </row>
    <row r="514" spans="1:45" ht="15" customHeight="1" x14ac:dyDescent="0.3">
      <c r="I514" s="291"/>
      <c r="AL514" s="290"/>
      <c r="AM514" s="290"/>
      <c r="AN514" s="290"/>
      <c r="AO514" s="290"/>
      <c r="AP514" s="290"/>
      <c r="AQ514" s="290"/>
      <c r="AR514" s="290"/>
      <c r="AS514" s="290"/>
    </row>
    <row r="515" spans="1:45" ht="15" customHeight="1" x14ac:dyDescent="0.3">
      <c r="B515" s="288" t="s">
        <v>249</v>
      </c>
      <c r="I515" s="291"/>
      <c r="AL515" s="290"/>
      <c r="AM515" s="290"/>
      <c r="AN515" s="290"/>
      <c r="AO515" s="290"/>
      <c r="AP515" s="290"/>
      <c r="AQ515" s="290"/>
      <c r="AR515" s="290"/>
      <c r="AS515" s="290"/>
    </row>
    <row r="516" spans="1:45" ht="15" customHeight="1" x14ac:dyDescent="0.3">
      <c r="I516" s="291"/>
      <c r="AL516" s="290"/>
      <c r="AM516" s="290"/>
      <c r="AN516" s="290"/>
      <c r="AO516" s="290"/>
      <c r="AP516" s="290"/>
      <c r="AQ516" s="290"/>
      <c r="AR516" s="290"/>
      <c r="AS516" s="290"/>
    </row>
    <row r="517" spans="1:45" ht="15" customHeight="1" x14ac:dyDescent="0.3">
      <c r="A517" s="112"/>
      <c r="B517" s="112"/>
      <c r="C517" s="113" t="s">
        <v>250</v>
      </c>
      <c r="D517" s="42"/>
      <c r="E517" s="42"/>
      <c r="F517" s="42"/>
      <c r="G517" s="42"/>
      <c r="H517" s="116"/>
      <c r="I517" s="116"/>
      <c r="J517" s="42"/>
      <c r="K517" s="42"/>
      <c r="L517" s="42"/>
      <c r="M517" s="42"/>
      <c r="N517" s="42"/>
      <c r="O517" s="42"/>
      <c r="P517" s="42"/>
      <c r="Q517" s="42"/>
      <c r="R517" s="42"/>
      <c r="S517" s="42"/>
      <c r="T517" s="42"/>
      <c r="U517" s="42"/>
      <c r="V517" s="42"/>
      <c r="W517" s="42"/>
      <c r="X517" s="42"/>
      <c r="Y517" s="42"/>
      <c r="Z517" s="42"/>
      <c r="AA517" s="42"/>
      <c r="AB517" s="42"/>
      <c r="AC517" s="42"/>
      <c r="AD517" s="42"/>
      <c r="AE517" s="42"/>
      <c r="AF517" s="42"/>
      <c r="AG517" s="42"/>
      <c r="AH517" s="42"/>
      <c r="AI517" s="42"/>
      <c r="AJ517" s="42"/>
      <c r="AK517" s="42"/>
      <c r="AL517" s="42"/>
      <c r="AM517" s="42"/>
      <c r="AN517" s="42"/>
      <c r="AO517" s="42"/>
      <c r="AP517" s="42"/>
      <c r="AQ517" s="42"/>
      <c r="AR517" s="42"/>
      <c r="AS517" s="42"/>
    </row>
    <row r="518" spans="1:45" ht="15" customHeight="1" x14ac:dyDescent="0.3">
      <c r="A518" s="112"/>
      <c r="B518" s="112"/>
      <c r="C518" s="113"/>
      <c r="D518" s="42"/>
      <c r="E518" s="42" t="s">
        <v>251</v>
      </c>
      <c r="F518" s="73">
        <v>0.1</v>
      </c>
      <c r="G518" s="42"/>
      <c r="H518" s="104" t="str">
        <f xml:space="preserve"> Sources!I$39</f>
        <v>M</v>
      </c>
      <c r="I518" s="104"/>
      <c r="J518" s="42"/>
      <c r="K518" s="42"/>
      <c r="L518" s="42"/>
      <c r="M518" s="42"/>
      <c r="N518" s="42"/>
      <c r="O518" s="42"/>
      <c r="P518" s="42"/>
      <c r="Q518" s="42"/>
      <c r="R518" s="42"/>
      <c r="S518" s="42"/>
      <c r="T518" s="42"/>
      <c r="U518" s="42"/>
      <c r="V518" s="42"/>
      <c r="W518" s="42"/>
      <c r="X518" s="42"/>
      <c r="Y518" s="42"/>
      <c r="Z518" s="42"/>
      <c r="AA518" s="42"/>
      <c r="AB518" s="42"/>
      <c r="AC518" s="42"/>
      <c r="AD518" s="42"/>
      <c r="AE518" s="42"/>
      <c r="AF518" s="42"/>
      <c r="AG518" s="42"/>
      <c r="AH518" s="42"/>
      <c r="AI518" s="42"/>
      <c r="AJ518" s="42"/>
      <c r="AK518" s="42"/>
      <c r="AL518" s="42"/>
      <c r="AM518" s="42"/>
      <c r="AN518" s="42"/>
      <c r="AO518" s="42"/>
      <c r="AP518" s="42"/>
      <c r="AQ518" s="42"/>
      <c r="AR518" s="42"/>
      <c r="AS518" s="42"/>
    </row>
    <row r="519" spans="1:45" ht="15" customHeight="1" x14ac:dyDescent="0.3">
      <c r="E519" s="169" t="str">
        <f xml:space="preserve"> E$58</f>
        <v>Production year cumulative</v>
      </c>
      <c r="F519" s="169">
        <f t="shared" ref="F519:I519" si="664" xml:space="preserve"> F$58</f>
        <v>0</v>
      </c>
      <c r="G519" s="169" t="str">
        <f t="shared" si="664"/>
        <v>years</v>
      </c>
      <c r="H519" s="169">
        <f t="shared" si="664"/>
        <v>0</v>
      </c>
      <c r="I519" s="169">
        <f t="shared" si="664"/>
        <v>0</v>
      </c>
      <c r="J519" s="42"/>
      <c r="K519" s="169">
        <f t="shared" ref="K519:O519" si="665" xml:space="preserve"> K$58</f>
        <v>0</v>
      </c>
      <c r="L519" s="169">
        <f t="shared" si="665"/>
        <v>0</v>
      </c>
      <c r="M519" s="169">
        <f t="shared" si="665"/>
        <v>0</v>
      </c>
      <c r="N519" s="169">
        <f t="shared" si="665"/>
        <v>0</v>
      </c>
      <c r="O519" s="169">
        <f t="shared" si="665"/>
        <v>0</v>
      </c>
      <c r="P519" s="169">
        <f t="shared" ref="P519:AS519" si="666" xml:space="preserve"> P$58</f>
        <v>0</v>
      </c>
      <c r="Q519" s="169">
        <f t="shared" si="666"/>
        <v>0</v>
      </c>
      <c r="R519" s="169">
        <f t="shared" si="666"/>
        <v>0</v>
      </c>
      <c r="S519" s="169">
        <f t="shared" si="666"/>
        <v>0</v>
      </c>
      <c r="T519" s="169">
        <f t="shared" si="666"/>
        <v>0</v>
      </c>
      <c r="U519" s="169">
        <f t="shared" si="666"/>
        <v>0</v>
      </c>
      <c r="V519" s="169">
        <f t="shared" si="666"/>
        <v>1</v>
      </c>
      <c r="W519" s="169">
        <f t="shared" si="666"/>
        <v>2</v>
      </c>
      <c r="X519" s="169">
        <f t="shared" si="666"/>
        <v>3</v>
      </c>
      <c r="Y519" s="169">
        <f t="shared" si="666"/>
        <v>4</v>
      </c>
      <c r="Z519" s="169">
        <f t="shared" si="666"/>
        <v>5</v>
      </c>
      <c r="AA519" s="169">
        <f t="shared" si="666"/>
        <v>6</v>
      </c>
      <c r="AB519" s="169">
        <f t="shared" si="666"/>
        <v>7</v>
      </c>
      <c r="AC519" s="169">
        <f t="shared" si="666"/>
        <v>8</v>
      </c>
      <c r="AD519" s="169">
        <f t="shared" si="666"/>
        <v>9</v>
      </c>
      <c r="AE519" s="169">
        <f t="shared" si="666"/>
        <v>10</v>
      </c>
      <c r="AF519" s="169">
        <f t="shared" si="666"/>
        <v>11</v>
      </c>
      <c r="AG519" s="169">
        <f t="shared" si="666"/>
        <v>12</v>
      </c>
      <c r="AH519" s="169">
        <f t="shared" si="666"/>
        <v>13</v>
      </c>
      <c r="AI519" s="169">
        <f t="shared" si="666"/>
        <v>14</v>
      </c>
      <c r="AJ519" s="169">
        <f t="shared" si="666"/>
        <v>15</v>
      </c>
      <c r="AK519" s="169">
        <f t="shared" si="666"/>
        <v>16</v>
      </c>
      <c r="AL519" s="169">
        <f t="shared" si="666"/>
        <v>16</v>
      </c>
      <c r="AM519" s="169">
        <f t="shared" si="666"/>
        <v>16</v>
      </c>
      <c r="AN519" s="169">
        <f t="shared" si="666"/>
        <v>16</v>
      </c>
      <c r="AO519" s="169">
        <f t="shared" si="666"/>
        <v>16</v>
      </c>
      <c r="AP519" s="169">
        <f t="shared" si="666"/>
        <v>16</v>
      </c>
      <c r="AQ519" s="169">
        <f t="shared" si="666"/>
        <v>16</v>
      </c>
      <c r="AR519" s="169">
        <f t="shared" si="666"/>
        <v>16</v>
      </c>
      <c r="AS519" s="169">
        <f t="shared" si="666"/>
        <v>16</v>
      </c>
    </row>
    <row r="520" spans="1:45" ht="15" customHeight="1" x14ac:dyDescent="0.3">
      <c r="A520" s="112"/>
      <c r="B520" s="112"/>
      <c r="C520" s="113"/>
      <c r="D520" s="42"/>
      <c r="E520" s="88" t="s">
        <v>250</v>
      </c>
      <c r="F520" s="88"/>
      <c r="G520" s="88" t="s">
        <v>252</v>
      </c>
      <c r="H520" s="88"/>
      <c r="I520" s="88"/>
      <c r="J520" s="42"/>
      <c r="S520" s="338"/>
      <c r="T520" s="338"/>
      <c r="U520" s="338"/>
      <c r="V520" s="338">
        <f t="shared" ref="V520:AS520" si="667" xml:space="preserve"> 1 / ( 1 + $F518) ^ (V519 - 1)</f>
        <v>1</v>
      </c>
      <c r="W520" s="338">
        <f t="shared" si="667"/>
        <v>0.90909090909090906</v>
      </c>
      <c r="X520" s="338">
        <f t="shared" si="667"/>
        <v>0.82644628099173545</v>
      </c>
      <c r="Y520" s="338">
        <f t="shared" si="667"/>
        <v>0.75131480090157754</v>
      </c>
      <c r="Z520" s="338">
        <f t="shared" si="667"/>
        <v>0.68301345536507052</v>
      </c>
      <c r="AA520" s="338">
        <f t="shared" si="667"/>
        <v>0.62092132305915493</v>
      </c>
      <c r="AB520" s="338">
        <f t="shared" si="667"/>
        <v>0.56447393005377722</v>
      </c>
      <c r="AC520" s="338">
        <f t="shared" si="667"/>
        <v>0.51315811823070645</v>
      </c>
      <c r="AD520" s="338">
        <f t="shared" si="667"/>
        <v>0.46650738020973315</v>
      </c>
      <c r="AE520" s="338">
        <f t="shared" si="667"/>
        <v>0.42409761837248466</v>
      </c>
      <c r="AF520" s="338">
        <f t="shared" si="667"/>
        <v>0.38554328942953148</v>
      </c>
      <c r="AG520" s="338">
        <f t="shared" si="667"/>
        <v>0.3504938994813922</v>
      </c>
      <c r="AH520" s="338">
        <f t="shared" si="667"/>
        <v>0.31863081771035656</v>
      </c>
      <c r="AI520" s="338">
        <f t="shared" si="667"/>
        <v>0.28966437973668779</v>
      </c>
      <c r="AJ520" s="338">
        <f t="shared" si="667"/>
        <v>0.26333125430607973</v>
      </c>
      <c r="AK520" s="338">
        <f t="shared" si="667"/>
        <v>0.23939204936916339</v>
      </c>
      <c r="AL520" s="338">
        <f t="shared" si="667"/>
        <v>0.23939204936916339</v>
      </c>
      <c r="AM520" s="338">
        <f t="shared" si="667"/>
        <v>0.23939204936916339</v>
      </c>
      <c r="AN520" s="338">
        <f t="shared" si="667"/>
        <v>0.23939204936916339</v>
      </c>
      <c r="AO520" s="338">
        <f t="shared" si="667"/>
        <v>0.23939204936916339</v>
      </c>
      <c r="AP520" s="338">
        <f t="shared" si="667"/>
        <v>0.23939204936916339</v>
      </c>
      <c r="AQ520" s="338">
        <f t="shared" si="667"/>
        <v>0.23939204936916339</v>
      </c>
      <c r="AR520" s="338">
        <f t="shared" si="667"/>
        <v>0.23939204936916339</v>
      </c>
      <c r="AS520" s="338">
        <f t="shared" si="667"/>
        <v>0.23939204936916339</v>
      </c>
    </row>
    <row r="521" spans="1:45" ht="15" customHeight="1" x14ac:dyDescent="0.3">
      <c r="A521" s="112"/>
      <c r="B521" s="112"/>
      <c r="C521" s="113"/>
      <c r="D521" s="42"/>
      <c r="E521" s="88" t="s">
        <v>253</v>
      </c>
      <c r="F521" s="88" t="str">
        <f>"USD mn NPV" &amp; F518 * 100</f>
        <v>USD mn NPV10</v>
      </c>
      <c r="G521" s="88" t="s">
        <v>254</v>
      </c>
      <c r="H521" s="88"/>
      <c r="I521" s="88"/>
      <c r="J521" s="42"/>
      <c r="P521" s="338"/>
      <c r="Q521" s="338"/>
      <c r="R521" s="338"/>
      <c r="S521" s="338"/>
      <c r="T521" s="338"/>
      <c r="U521" s="338"/>
      <c r="V521" s="338"/>
      <c r="W521" s="338"/>
      <c r="X521" s="338"/>
      <c r="Y521" s="338"/>
      <c r="Z521" s="338"/>
      <c r="AA521" s="338"/>
      <c r="AB521" s="338"/>
      <c r="AC521" s="338"/>
      <c r="AD521" s="338"/>
      <c r="AE521" s="338"/>
      <c r="AF521" s="338"/>
      <c r="AG521" s="338"/>
      <c r="AH521" s="42"/>
      <c r="AI521" s="42"/>
      <c r="AJ521" s="42"/>
      <c r="AK521" s="42"/>
      <c r="AL521" s="42"/>
      <c r="AM521" s="42"/>
      <c r="AN521" s="42"/>
      <c r="AO521" s="42"/>
      <c r="AP521" s="42"/>
      <c r="AQ521"/>
      <c r="AR521"/>
      <c r="AS521"/>
    </row>
    <row r="522" spans="1:45" ht="15" customHeight="1" x14ac:dyDescent="0.3">
      <c r="A522" s="112"/>
      <c r="B522" s="112"/>
      <c r="C522" s="113"/>
      <c r="D522" s="42"/>
      <c r="E522" s="88"/>
      <c r="F522" s="88"/>
      <c r="G522" s="88"/>
      <c r="H522" s="88"/>
      <c r="I522" s="88"/>
      <c r="J522" s="42"/>
      <c r="K522" s="338"/>
      <c r="L522" s="338"/>
      <c r="M522" s="338"/>
      <c r="N522" s="338"/>
      <c r="O522" s="338"/>
      <c r="P522" s="338"/>
      <c r="Q522" s="338"/>
      <c r="R522" s="338"/>
      <c r="S522" s="338"/>
      <c r="T522" s="338"/>
      <c r="U522" s="338"/>
      <c r="V522" s="338"/>
      <c r="W522" s="338"/>
      <c r="X522" s="338"/>
      <c r="Y522" s="338"/>
      <c r="Z522" s="338"/>
      <c r="AA522" s="338"/>
      <c r="AB522" s="338"/>
      <c r="AC522" s="42"/>
      <c r="AD522" s="42"/>
      <c r="AE522" s="42"/>
      <c r="AF522" s="42"/>
      <c r="AG522" s="42"/>
      <c r="AH522" s="42"/>
      <c r="AI522" s="42"/>
      <c r="AJ522" s="42"/>
      <c r="AK522" s="42"/>
    </row>
    <row r="523" spans="1:45" ht="15" customHeight="1" x14ac:dyDescent="0.3">
      <c r="A523" s="112"/>
      <c r="B523" s="112"/>
      <c r="C523" s="113"/>
      <c r="D523" s="42"/>
      <c r="E523" s="88" t="s">
        <v>478</v>
      </c>
      <c r="F523" s="88">
        <f xml:space="preserve"> SUMPRODUCT(S501:AS501, S$520:AS$520)</f>
        <v>2590.4533156921207</v>
      </c>
      <c r="G523" s="88" t="s">
        <v>447</v>
      </c>
      <c r="H523" s="88"/>
      <c r="I523" s="88"/>
      <c r="J523" s="42"/>
      <c r="K523" s="338"/>
      <c r="L523" s="338"/>
      <c r="M523" s="338"/>
      <c r="N523" s="338"/>
      <c r="O523" s="338"/>
      <c r="P523" s="338"/>
      <c r="Q523" s="338"/>
      <c r="R523" s="338"/>
      <c r="S523" s="338"/>
      <c r="T523" s="338"/>
      <c r="U523" s="338"/>
      <c r="V523" s="338"/>
      <c r="W523" s="338"/>
      <c r="X523" s="338"/>
      <c r="Y523" s="338"/>
      <c r="Z523" s="338"/>
      <c r="AA523" s="338"/>
      <c r="AB523" s="338"/>
      <c r="AC523" s="42"/>
      <c r="AD523" s="42"/>
      <c r="AE523" s="42"/>
      <c r="AF523" s="42"/>
      <c r="AG523" s="42"/>
      <c r="AH523" s="42"/>
      <c r="AI523" s="42"/>
      <c r="AJ523" s="42"/>
      <c r="AK523" s="42"/>
    </row>
    <row r="524" spans="1:45" ht="15" customHeight="1" x14ac:dyDescent="0.3">
      <c r="A524" s="112"/>
      <c r="B524" s="112"/>
      <c r="C524" s="113"/>
      <c r="D524" s="42"/>
      <c r="E524" s="88" t="s">
        <v>479</v>
      </c>
      <c r="F524" s="88">
        <f xml:space="preserve"> SUMPRODUCT(S498:AS498, S$520:AS$520)</f>
        <v>1809.8085237697542</v>
      </c>
      <c r="G524" s="88" t="s">
        <v>447</v>
      </c>
      <c r="H524" s="88"/>
      <c r="I524" s="88"/>
      <c r="J524" s="42"/>
      <c r="K524" s="338"/>
      <c r="L524" s="338"/>
      <c r="M524" s="338"/>
      <c r="N524" s="338"/>
      <c r="O524" s="338"/>
      <c r="P524" s="338"/>
      <c r="Q524" s="338"/>
      <c r="R524" s="338"/>
      <c r="S524" s="338"/>
      <c r="T524" s="338"/>
      <c r="U524" s="338"/>
      <c r="V524" s="338"/>
      <c r="W524" s="338"/>
      <c r="X524" s="338"/>
      <c r="Y524" s="338"/>
      <c r="Z524" s="338"/>
      <c r="AA524" s="338"/>
      <c r="AB524" s="338"/>
      <c r="AC524" s="42"/>
      <c r="AD524" s="42"/>
      <c r="AE524" s="42"/>
      <c r="AF524" s="42"/>
      <c r="AG524" s="42"/>
      <c r="AH524" s="42"/>
      <c r="AI524" s="42"/>
      <c r="AJ524" s="42"/>
      <c r="AK524" s="42"/>
    </row>
    <row r="525" spans="1:45" ht="15" customHeight="1" x14ac:dyDescent="0.3">
      <c r="A525" s="112"/>
      <c r="B525" s="112"/>
      <c r="C525" s="113"/>
      <c r="D525" s="42"/>
      <c r="E525" s="88" t="s">
        <v>480</v>
      </c>
      <c r="F525" s="88">
        <f xml:space="preserve"> SUMPRODUCT(S482:AS482, S$520:AS$520)</f>
        <v>849.87237738438819</v>
      </c>
      <c r="G525" s="88" t="s">
        <v>447</v>
      </c>
      <c r="H525" s="88"/>
      <c r="I525" s="88"/>
      <c r="J525" s="42"/>
      <c r="K525" s="338"/>
      <c r="L525" s="338"/>
      <c r="M525" s="338"/>
      <c r="N525" s="338"/>
      <c r="O525" s="338"/>
      <c r="P525" s="338"/>
      <c r="Q525" s="338"/>
      <c r="R525" s="338"/>
      <c r="S525" s="338"/>
      <c r="T525" s="338"/>
      <c r="U525" s="338"/>
      <c r="V525" s="338"/>
      <c r="W525" s="338"/>
      <c r="X525" s="338"/>
      <c r="Y525" s="338"/>
      <c r="Z525" s="338"/>
      <c r="AA525" s="338"/>
      <c r="AB525" s="338"/>
      <c r="AC525" s="42"/>
      <c r="AD525" s="42"/>
      <c r="AE525" s="42"/>
      <c r="AF525" s="42"/>
      <c r="AG525" s="42"/>
      <c r="AH525" s="42"/>
      <c r="AI525" s="42"/>
      <c r="AJ525" s="42"/>
      <c r="AK525" s="42"/>
    </row>
    <row r="526" spans="1:45" ht="15" customHeight="1" x14ac:dyDescent="0.3">
      <c r="I526" s="291"/>
      <c r="AO526" s="309"/>
      <c r="AP526" s="309"/>
      <c r="AQ526" s="309"/>
      <c r="AR526" s="309"/>
      <c r="AS526" s="309"/>
    </row>
    <row r="527" spans="1:45" ht="15" customHeight="1" x14ac:dyDescent="0.3">
      <c r="E527" s="42" t="s">
        <v>255</v>
      </c>
      <c r="F527" s="72">
        <f>F524/F523</f>
        <v>0.69864548911440516</v>
      </c>
      <c r="G527" s="88" t="str">
        <f>"% NPV" &amp; F518 * 100</f>
        <v>% NPV10</v>
      </c>
      <c r="I527" s="291"/>
      <c r="AO527" s="309"/>
      <c r="AP527" s="309"/>
      <c r="AQ527" s="309"/>
      <c r="AR527" s="309"/>
      <c r="AS527" s="309"/>
    </row>
    <row r="528" spans="1:45" ht="15" customHeight="1" x14ac:dyDescent="0.3">
      <c r="I528" s="291"/>
    </row>
  </sheetData>
  <conditionalFormatting sqref="F2">
    <cfRule type="cellIs" dxfId="29" priority="15" stopIfTrue="1" operator="notEqual">
      <formula>0</formula>
    </cfRule>
    <cfRule type="cellIs" dxfId="28" priority="16" stopIfTrue="1" operator="equal">
      <formula>""</formula>
    </cfRule>
  </conditionalFormatting>
  <conditionalFormatting sqref="F3">
    <cfRule type="cellIs" dxfId="27" priority="1" stopIfTrue="1" operator="notEqual">
      <formula>0</formula>
    </cfRule>
    <cfRule type="cellIs" dxfId="26" priority="2" stopIfTrue="1" operator="equal">
      <formula>""</formula>
    </cfRule>
  </conditionalFormatting>
  <conditionalFormatting sqref="K3:AS3">
    <cfRule type="cellIs" dxfId="25" priority="3" stopIfTrue="1" operator="equal">
      <formula>#REF!</formula>
    </cfRule>
    <cfRule type="cellIs" dxfId="24" priority="4" stopIfTrue="1" operator="equal">
      <formula>#REF!</formula>
    </cfRule>
    <cfRule type="cellIs" dxfId="23" priority="5" operator="equal">
      <formula>#REF!</formula>
    </cfRule>
    <cfRule type="cellIs" dxfId="22" priority="6" operator="equal">
      <formula>#REF!</formula>
    </cfRule>
    <cfRule type="cellIs" dxfId="21" priority="7" stopIfTrue="1" operator="equal">
      <formula>#REF!</formula>
    </cfRule>
    <cfRule type="cellIs" dxfId="20" priority="8" stopIfTrue="1" operator="equal">
      <formula>#REF!</formula>
    </cfRule>
  </conditionalFormatting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E8732A-C6A4-4747-B47C-100F20DA1C8B}">
  <sheetPr codeName="Sheet14">
    <tabColor rgb="FFFFFF00"/>
  </sheetPr>
  <dimension ref="A1:T63"/>
  <sheetViews>
    <sheetView topLeftCell="D1" zoomScaleNormal="100" workbookViewId="0">
      <selection activeCell="D1" sqref="A1:XFD1048576"/>
    </sheetView>
  </sheetViews>
  <sheetFormatPr defaultColWidth="0" defaultRowHeight="14.4" x14ac:dyDescent="0.3"/>
  <cols>
    <col min="1" max="2" width="1.33203125" style="24" customWidth="1"/>
    <col min="3" max="3" width="1.33203125" style="23" customWidth="1"/>
    <col min="4" max="4" width="1" style="14" customWidth="1"/>
    <col min="5" max="5" width="32.6640625" style="14" bestFit="1" customWidth="1"/>
    <col min="6" max="6" width="1" style="14" customWidth="1"/>
    <col min="7" max="7" width="12.109375" style="14" customWidth="1"/>
    <col min="8" max="8" width="1" style="14" customWidth="1"/>
    <col min="9" max="9" width="20.5546875" style="14" customWidth="1"/>
    <col min="10" max="10" width="1" style="14" customWidth="1"/>
    <col min="11" max="11" width="39.33203125" style="14" bestFit="1" customWidth="1"/>
    <col min="12" max="12" width="1" style="14" customWidth="1"/>
    <col min="13" max="13" width="9.33203125" style="14" customWidth="1"/>
    <col min="14" max="14" width="1" style="14" customWidth="1"/>
    <col min="15" max="15" width="59.6640625" style="14" customWidth="1"/>
    <col min="16" max="16" width="1" style="14" customWidth="1"/>
    <col min="17" max="17" width="67.88671875" style="14" bestFit="1" customWidth="1"/>
    <col min="18" max="18" width="1" style="14" customWidth="1"/>
    <col min="19" max="19" width="52.6640625" style="14" customWidth="1"/>
    <col min="20" max="20" width="1" style="14" customWidth="1"/>
    <col min="21" max="16384" width="9" style="14" hidden="1"/>
  </cols>
  <sheetData>
    <row r="1" spans="1:19" ht="25.8" x14ac:dyDescent="0.3">
      <c r="A1" s="22" t="str">
        <f ca="1" xml:space="preserve"> RIGHT(CELL("filename", $A$1), LEN(CELL("filename", $A$1)) - SEARCH("]", CELL("filename", $A$1)))</f>
        <v>Sources</v>
      </c>
      <c r="B1" s="22"/>
    </row>
    <row r="3" spans="1:19" ht="15.6" x14ac:dyDescent="0.3">
      <c r="D3" s="25"/>
      <c r="E3" s="26" t="s">
        <v>7</v>
      </c>
      <c r="F3" s="27"/>
      <c r="G3" s="26" t="s">
        <v>8</v>
      </c>
      <c r="H3" s="27"/>
      <c r="I3" s="26" t="s">
        <v>9</v>
      </c>
      <c r="J3" s="27"/>
      <c r="K3" s="26" t="s">
        <v>10</v>
      </c>
      <c r="L3" s="27"/>
      <c r="M3" s="26" t="s">
        <v>11</v>
      </c>
      <c r="N3" s="27"/>
      <c r="O3" s="26" t="s">
        <v>12</v>
      </c>
      <c r="P3" s="27"/>
      <c r="Q3" s="26" t="s">
        <v>13</v>
      </c>
      <c r="R3" s="27"/>
      <c r="S3" s="26" t="s">
        <v>14</v>
      </c>
    </row>
    <row r="4" spans="1:19" x14ac:dyDescent="0.3">
      <c r="D4" s="28"/>
      <c r="E4" s="29"/>
      <c r="F4" s="28"/>
      <c r="G4" s="29"/>
      <c r="H4" s="28"/>
      <c r="I4" s="29"/>
      <c r="J4" s="28"/>
      <c r="K4" s="29"/>
      <c r="L4" s="28"/>
      <c r="M4" s="29"/>
      <c r="N4" s="28"/>
      <c r="O4" s="29"/>
      <c r="P4" s="28"/>
      <c r="Q4" s="29"/>
      <c r="R4" s="28"/>
      <c r="S4" s="29"/>
    </row>
    <row r="5" spans="1:19" s="37" customFormat="1" x14ac:dyDescent="0.3">
      <c r="A5" s="30"/>
      <c r="B5" s="30"/>
      <c r="C5" s="30"/>
      <c r="D5" s="31"/>
      <c r="E5" s="32"/>
      <c r="F5" s="33"/>
      <c r="G5" s="40">
        <f xml:space="preserve"> MAX(G$4:G4) + 1</f>
        <v>1</v>
      </c>
      <c r="H5" s="39"/>
      <c r="I5" s="41" t="str">
        <f t="shared" ref="I5:I10" si="0" xml:space="preserve"> ROMAN(G5, 0)</f>
        <v>I</v>
      </c>
      <c r="J5" s="39"/>
      <c r="K5" s="40" t="s">
        <v>15</v>
      </c>
      <c r="L5" s="39"/>
      <c r="M5" s="40"/>
      <c r="N5" s="39"/>
      <c r="O5" s="40" t="s">
        <v>16</v>
      </c>
      <c r="P5" s="39"/>
      <c r="Q5" s="105" t="s">
        <v>61</v>
      </c>
      <c r="R5" s="33"/>
      <c r="S5" s="40" t="s">
        <v>62</v>
      </c>
    </row>
    <row r="6" spans="1:19" s="37" customFormat="1" x14ac:dyDescent="0.3">
      <c r="A6" s="30"/>
      <c r="B6" s="30"/>
      <c r="C6" s="30"/>
      <c r="D6" s="31"/>
      <c r="E6" s="32"/>
      <c r="F6" s="33"/>
      <c r="G6" s="40">
        <f xml:space="preserve"> MAX(G$4:G5) + 1</f>
        <v>2</v>
      </c>
      <c r="H6" s="39"/>
      <c r="I6" s="41" t="str">
        <f t="shared" si="0"/>
        <v>II</v>
      </c>
      <c r="J6" s="39"/>
      <c r="K6" s="71" t="s">
        <v>17</v>
      </c>
      <c r="L6" s="39"/>
      <c r="M6" s="40"/>
      <c r="N6" s="39"/>
      <c r="O6" s="71"/>
      <c r="P6" s="39"/>
      <c r="Q6" s="71"/>
      <c r="R6" s="33"/>
      <c r="S6" s="40"/>
    </row>
    <row r="7" spans="1:19" s="37" customFormat="1" x14ac:dyDescent="0.3">
      <c r="A7" s="30"/>
      <c r="B7" s="30"/>
      <c r="C7" s="30"/>
      <c r="D7" s="31"/>
      <c r="E7" s="32"/>
      <c r="F7" s="33"/>
      <c r="G7" s="40">
        <f xml:space="preserve"> MAX(G$4:G6) + 1</f>
        <v>3</v>
      </c>
      <c r="H7" s="39"/>
      <c r="I7" s="41" t="str">
        <f t="shared" si="0"/>
        <v>III</v>
      </c>
      <c r="J7" s="39"/>
      <c r="K7" s="71" t="s">
        <v>152</v>
      </c>
      <c r="L7" s="39"/>
      <c r="M7" s="40"/>
      <c r="N7" s="39"/>
      <c r="O7" s="71"/>
      <c r="P7" s="39"/>
      <c r="Q7" s="71" t="s">
        <v>259</v>
      </c>
      <c r="R7" s="33"/>
      <c r="S7" s="40"/>
    </row>
    <row r="8" spans="1:19" s="37" customFormat="1" x14ac:dyDescent="0.3">
      <c r="A8" s="30"/>
      <c r="B8" s="30"/>
      <c r="C8" s="30"/>
      <c r="D8" s="31"/>
      <c r="E8" s="32"/>
      <c r="F8" s="33"/>
      <c r="G8" s="40">
        <f xml:space="preserve"> MAX(G$4:G7) + 1</f>
        <v>4</v>
      </c>
      <c r="H8" s="39"/>
      <c r="I8" s="41" t="str">
        <f t="shared" si="0"/>
        <v>IV</v>
      </c>
      <c r="J8" s="39"/>
      <c r="K8" s="71" t="s">
        <v>75</v>
      </c>
      <c r="L8" s="39"/>
      <c r="M8" s="40"/>
      <c r="N8" s="39"/>
      <c r="O8" s="71"/>
      <c r="P8" s="39"/>
      <c r="Q8" s="71" t="s">
        <v>76</v>
      </c>
      <c r="R8" s="33"/>
      <c r="S8" s="40"/>
    </row>
    <row r="9" spans="1:19" s="37" customFormat="1" x14ac:dyDescent="0.3">
      <c r="A9" s="30"/>
      <c r="B9" s="30"/>
      <c r="C9" s="30"/>
      <c r="D9" s="31"/>
      <c r="E9" s="32"/>
      <c r="F9" s="33"/>
      <c r="G9" s="40">
        <f xml:space="preserve"> MAX(G$4:G8) + 1</f>
        <v>5</v>
      </c>
      <c r="H9" s="39"/>
      <c r="I9" s="41" t="str">
        <f t="shared" si="0"/>
        <v>V</v>
      </c>
      <c r="J9" s="39"/>
      <c r="K9" s="71" t="s">
        <v>77</v>
      </c>
      <c r="L9" s="39"/>
      <c r="M9" s="40"/>
      <c r="N9" s="39"/>
      <c r="O9" s="71"/>
      <c r="P9" s="39"/>
      <c r="Q9" s="105" t="s">
        <v>71</v>
      </c>
      <c r="R9" s="33"/>
      <c r="S9" s="40"/>
    </row>
    <row r="10" spans="1:19" s="37" customFormat="1" x14ac:dyDescent="0.3">
      <c r="A10" s="30"/>
      <c r="B10" s="30"/>
      <c r="C10" s="30"/>
      <c r="D10" s="31"/>
      <c r="E10" s="32"/>
      <c r="F10" s="33"/>
      <c r="G10" s="40">
        <f xml:space="preserve"> MAX(G$4:G9) + 1</f>
        <v>6</v>
      </c>
      <c r="H10" s="39"/>
      <c r="I10" s="41" t="str">
        <f t="shared" si="0"/>
        <v>VI</v>
      </c>
      <c r="J10" s="39"/>
      <c r="K10" s="71" t="s">
        <v>78</v>
      </c>
      <c r="L10" s="39"/>
      <c r="M10" s="40"/>
      <c r="N10" s="39"/>
      <c r="O10" s="71"/>
      <c r="P10" s="39"/>
      <c r="Q10" s="105" t="s">
        <v>72</v>
      </c>
      <c r="R10" s="33"/>
      <c r="S10" s="40"/>
    </row>
    <row r="11" spans="1:19" s="37" customFormat="1" x14ac:dyDescent="0.3">
      <c r="A11" s="30"/>
      <c r="B11" s="30"/>
      <c r="C11" s="30"/>
      <c r="D11" s="31"/>
      <c r="E11" s="32"/>
      <c r="F11" s="33"/>
      <c r="G11" s="40">
        <f xml:space="preserve"> MAX(G$4:G10) + 1</f>
        <v>7</v>
      </c>
      <c r="H11" s="39"/>
      <c r="I11" s="41" t="str">
        <f t="shared" ref="I11:I16" si="1" xml:space="preserve"> ROMAN(G11, 0)</f>
        <v>VII</v>
      </c>
      <c r="J11" s="39"/>
      <c r="K11" s="71" t="s">
        <v>79</v>
      </c>
      <c r="L11" s="39"/>
      <c r="M11" s="40"/>
      <c r="N11" s="39"/>
      <c r="O11" s="71"/>
      <c r="P11" s="39"/>
      <c r="Q11" s="105" t="s">
        <v>73</v>
      </c>
      <c r="R11" s="33"/>
      <c r="S11" s="40"/>
    </row>
    <row r="12" spans="1:19" s="37" customFormat="1" x14ac:dyDescent="0.3">
      <c r="A12" s="30"/>
      <c r="B12" s="30"/>
      <c r="C12" s="30"/>
      <c r="D12" s="31"/>
      <c r="E12" s="32"/>
      <c r="F12" s="33"/>
      <c r="G12" s="40">
        <f xml:space="preserve"> MAX(G$4:G11) + 1</f>
        <v>8</v>
      </c>
      <c r="H12" s="39"/>
      <c r="I12" s="41" t="str">
        <f t="shared" si="1"/>
        <v>VIII</v>
      </c>
      <c r="J12" s="39"/>
      <c r="K12" s="71" t="s">
        <v>80</v>
      </c>
      <c r="L12" s="39"/>
      <c r="M12" s="40"/>
      <c r="N12" s="39"/>
      <c r="O12" s="71"/>
      <c r="P12" s="39"/>
      <c r="Q12" s="105" t="s">
        <v>74</v>
      </c>
      <c r="R12" s="33"/>
      <c r="S12" s="40"/>
    </row>
    <row r="13" spans="1:19" s="211" customFormat="1" x14ac:dyDescent="0.3">
      <c r="A13" s="234"/>
      <c r="B13" s="234"/>
      <c r="C13" s="234"/>
      <c r="D13" s="236"/>
      <c r="E13" s="237"/>
      <c r="F13" s="35"/>
      <c r="G13" s="36">
        <f xml:space="preserve"> MAX(G$4:G12) + 1</f>
        <v>9</v>
      </c>
      <c r="H13" s="35"/>
      <c r="I13" s="238" t="str">
        <f t="shared" si="1"/>
        <v>IX</v>
      </c>
      <c r="J13" s="35"/>
      <c r="K13" s="211" t="s">
        <v>85</v>
      </c>
      <c r="L13" s="35"/>
      <c r="M13" s="36"/>
      <c r="N13" s="35"/>
      <c r="P13" s="35"/>
      <c r="Q13" s="143" t="s">
        <v>267</v>
      </c>
      <c r="R13" s="35"/>
      <c r="S13" s="36" t="s">
        <v>121</v>
      </c>
    </row>
    <row r="14" spans="1:19" s="211" customFormat="1" x14ac:dyDescent="0.3">
      <c r="A14" s="234"/>
      <c r="B14" s="234"/>
      <c r="C14" s="234"/>
      <c r="D14" s="236"/>
      <c r="E14" s="237"/>
      <c r="F14" s="35"/>
      <c r="G14" s="36">
        <f xml:space="preserve"> MAX(G$4:G13) + 1</f>
        <v>10</v>
      </c>
      <c r="H14" s="35"/>
      <c r="I14" s="238" t="str">
        <f t="shared" si="1"/>
        <v>X</v>
      </c>
      <c r="J14" s="35"/>
      <c r="K14" s="211" t="s">
        <v>257</v>
      </c>
      <c r="L14" s="35"/>
      <c r="M14" s="36"/>
      <c r="N14" s="35"/>
      <c r="P14" s="35"/>
      <c r="Q14" s="143" t="s">
        <v>258</v>
      </c>
      <c r="R14" s="35"/>
      <c r="S14" s="36" t="s">
        <v>256</v>
      </c>
    </row>
    <row r="15" spans="1:19" s="211" customFormat="1" x14ac:dyDescent="0.3">
      <c r="A15" s="234"/>
      <c r="B15" s="234"/>
      <c r="C15" s="234"/>
      <c r="D15" s="236"/>
      <c r="E15" s="237"/>
      <c r="F15" s="35"/>
      <c r="G15" s="36">
        <f xml:space="preserve"> MAX(G$4:G14) + 1</f>
        <v>11</v>
      </c>
      <c r="H15" s="35"/>
      <c r="I15" s="238" t="str">
        <f t="shared" si="1"/>
        <v>XI</v>
      </c>
      <c r="J15" s="35"/>
      <c r="K15" s="211" t="s">
        <v>263</v>
      </c>
      <c r="L15" s="35"/>
      <c r="M15" s="36"/>
      <c r="N15" s="35"/>
      <c r="P15" s="35"/>
      <c r="Q15" s="143" t="s">
        <v>262</v>
      </c>
      <c r="R15" s="35"/>
      <c r="S15" s="36"/>
    </row>
    <row r="16" spans="1:19" s="211" customFormat="1" x14ac:dyDescent="0.3">
      <c r="G16" s="36">
        <f xml:space="preserve"> MAX(G$4:G15) + 1</f>
        <v>12</v>
      </c>
      <c r="H16" s="35"/>
      <c r="I16" s="238" t="str">
        <f t="shared" si="1"/>
        <v>XII</v>
      </c>
      <c r="J16" s="35"/>
      <c r="K16" s="211" t="s">
        <v>638</v>
      </c>
      <c r="L16" s="35"/>
      <c r="M16" s="36"/>
      <c r="N16" s="35"/>
      <c r="P16" s="35"/>
      <c r="Q16" s="211" t="s">
        <v>266</v>
      </c>
      <c r="R16" s="35"/>
    </row>
    <row r="17" spans="1:19" s="211" customFormat="1" ht="2.7" customHeight="1" x14ac:dyDescent="0.3">
      <c r="A17" s="234"/>
      <c r="B17" s="234"/>
      <c r="C17" s="235"/>
      <c r="G17" s="35"/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35"/>
    </row>
    <row r="18" spans="1:19" s="211" customFormat="1" x14ac:dyDescent="0.3">
      <c r="D18" s="236"/>
      <c r="E18" s="237"/>
      <c r="F18" s="35"/>
      <c r="G18" s="36">
        <f xml:space="preserve"> MAX(G$4:G17) + 1</f>
        <v>13</v>
      </c>
      <c r="H18" s="35"/>
      <c r="I18" s="238" t="str">
        <f t="shared" ref="I18:I30" si="2" xml:space="preserve"> ROMAN(G18, 0)</f>
        <v>XIII</v>
      </c>
      <c r="J18" s="35"/>
      <c r="K18" s="211" t="s">
        <v>108</v>
      </c>
      <c r="L18" s="35"/>
      <c r="M18" s="36"/>
      <c r="N18" s="35"/>
      <c r="P18" s="35"/>
      <c r="Q18" s="211" t="s">
        <v>260</v>
      </c>
      <c r="R18" s="35"/>
    </row>
    <row r="19" spans="1:19" s="211" customFormat="1" x14ac:dyDescent="0.3">
      <c r="A19" s="234"/>
      <c r="B19" s="234"/>
      <c r="C19" s="235"/>
      <c r="D19" s="236"/>
      <c r="E19" s="237"/>
      <c r="F19" s="35"/>
      <c r="G19" s="36">
        <f xml:space="preserve"> MAX(G$4:G18) + 1</f>
        <v>14</v>
      </c>
      <c r="H19" s="35"/>
      <c r="I19" s="238" t="str">
        <f t="shared" si="2"/>
        <v>XIV</v>
      </c>
      <c r="J19" s="35"/>
      <c r="K19" s="211" t="s">
        <v>17</v>
      </c>
      <c r="L19" s="35"/>
      <c r="M19" s="36"/>
      <c r="N19" s="35"/>
      <c r="P19" s="35"/>
      <c r="Q19" s="211" t="s">
        <v>261</v>
      </c>
      <c r="R19" s="35"/>
    </row>
    <row r="20" spans="1:19" s="211" customFormat="1" x14ac:dyDescent="0.3">
      <c r="A20" s="234"/>
      <c r="B20" s="234"/>
      <c r="C20" s="235"/>
      <c r="D20" s="236"/>
      <c r="E20" s="237"/>
      <c r="F20" s="35"/>
      <c r="G20" s="36">
        <f xml:space="preserve"> MAX(G$4:G19) + 1</f>
        <v>15</v>
      </c>
      <c r="H20" s="35"/>
      <c r="I20" s="238" t="str">
        <f t="shared" si="2"/>
        <v>XV</v>
      </c>
      <c r="J20" s="35"/>
      <c r="K20" s="211" t="s">
        <v>155</v>
      </c>
      <c r="L20" s="35"/>
      <c r="M20" s="36"/>
      <c r="N20" s="35"/>
      <c r="P20" s="35"/>
      <c r="Q20" s="211" t="s">
        <v>154</v>
      </c>
      <c r="R20" s="35"/>
    </row>
    <row r="21" spans="1:19" s="211" customFormat="1" x14ac:dyDescent="0.3">
      <c r="A21" s="234"/>
      <c r="B21" s="234"/>
      <c r="C21" s="235"/>
      <c r="D21" s="236"/>
      <c r="E21" s="237"/>
      <c r="F21" s="35"/>
      <c r="G21" s="36">
        <f xml:space="preserve"> MAX(G$4:G20) + 1</f>
        <v>16</v>
      </c>
      <c r="H21" s="35"/>
      <c r="I21" s="238" t="str">
        <f t="shared" si="2"/>
        <v>XVI</v>
      </c>
      <c r="J21" s="35"/>
      <c r="K21" s="211" t="s">
        <v>174</v>
      </c>
      <c r="L21" s="35"/>
      <c r="M21" s="36"/>
      <c r="N21" s="35"/>
      <c r="P21" s="35"/>
      <c r="Q21" s="211" t="s">
        <v>173</v>
      </c>
      <c r="R21" s="35"/>
    </row>
    <row r="22" spans="1:19" s="211" customFormat="1" x14ac:dyDescent="0.3">
      <c r="A22" s="234"/>
      <c r="B22" s="234"/>
      <c r="C22" s="235"/>
      <c r="D22" s="236"/>
      <c r="E22" s="237"/>
      <c r="F22" s="35"/>
      <c r="G22" s="36">
        <f xml:space="preserve"> MAX(G$4:G21) + 1</f>
        <v>17</v>
      </c>
      <c r="H22" s="35"/>
      <c r="I22" s="238" t="str">
        <f t="shared" si="2"/>
        <v>XVII</v>
      </c>
      <c r="J22" s="35"/>
      <c r="K22" s="211" t="s">
        <v>176</v>
      </c>
      <c r="L22" s="35"/>
      <c r="M22" s="36"/>
      <c r="N22" s="35"/>
      <c r="P22" s="35"/>
      <c r="Q22" s="211" t="s">
        <v>177</v>
      </c>
      <c r="R22" s="35"/>
    </row>
    <row r="23" spans="1:19" s="211" customFormat="1" x14ac:dyDescent="0.3">
      <c r="A23" s="234"/>
      <c r="B23" s="234"/>
      <c r="C23" s="235"/>
      <c r="D23" s="236"/>
      <c r="E23" s="237"/>
      <c r="F23" s="35"/>
      <c r="G23" s="36">
        <f xml:space="preserve"> MAX(G$4:G22) + 1</f>
        <v>18</v>
      </c>
      <c r="H23" s="35"/>
      <c r="I23" s="238" t="str">
        <f t="shared" si="2"/>
        <v>XVIII</v>
      </c>
      <c r="J23" s="35"/>
      <c r="K23" s="36" t="s">
        <v>210</v>
      </c>
      <c r="L23" s="35"/>
      <c r="M23" s="36"/>
      <c r="N23" s="35"/>
      <c r="O23" s="36"/>
      <c r="P23" s="35"/>
      <c r="Q23" s="239" t="s">
        <v>208</v>
      </c>
      <c r="R23" s="35"/>
      <c r="S23" s="211" t="s">
        <v>209</v>
      </c>
    </row>
    <row r="24" spans="1:19" s="211" customFormat="1" x14ac:dyDescent="0.3">
      <c r="A24" s="234"/>
      <c r="B24" s="234"/>
      <c r="C24" s="235"/>
      <c r="D24" s="236"/>
      <c r="E24" s="237"/>
      <c r="F24" s="35"/>
      <c r="G24" s="36">
        <f xml:space="preserve"> MAX(G$4:G23) + 1</f>
        <v>19</v>
      </c>
      <c r="H24" s="35"/>
      <c r="I24" s="238" t="str">
        <f t="shared" si="2"/>
        <v>XIX</v>
      </c>
      <c r="J24" s="35"/>
      <c r="K24" s="36" t="s">
        <v>241</v>
      </c>
      <c r="L24" s="35"/>
      <c r="M24" s="36"/>
      <c r="N24" s="35"/>
      <c r="O24" s="36"/>
      <c r="P24" s="35"/>
      <c r="Q24" s="239" t="s">
        <v>240</v>
      </c>
      <c r="R24" s="35"/>
      <c r="S24" s="211" t="s">
        <v>242</v>
      </c>
    </row>
    <row r="25" spans="1:19" s="211" customFormat="1" x14ac:dyDescent="0.3">
      <c r="A25" s="234"/>
      <c r="B25" s="234"/>
      <c r="C25" s="235"/>
      <c r="D25" s="236"/>
      <c r="E25" s="237"/>
      <c r="F25" s="35"/>
      <c r="G25" s="36">
        <f xml:space="preserve"> MAX(G$4:G24) + 1</f>
        <v>20</v>
      </c>
      <c r="H25" s="35"/>
      <c r="I25" s="238" t="str">
        <f t="shared" si="2"/>
        <v>XX</v>
      </c>
      <c r="J25" s="35"/>
      <c r="K25" s="36" t="s">
        <v>18</v>
      </c>
      <c r="L25" s="35"/>
      <c r="M25" s="36"/>
      <c r="N25" s="35"/>
      <c r="O25" s="36" t="s">
        <v>19</v>
      </c>
      <c r="P25" s="35"/>
      <c r="Q25" s="143" t="s">
        <v>20</v>
      </c>
      <c r="R25" s="35"/>
    </row>
    <row r="26" spans="1:19" s="211" customFormat="1" x14ac:dyDescent="0.3">
      <c r="A26" s="234"/>
      <c r="B26" s="234"/>
      <c r="C26" s="235"/>
      <c r="D26" s="236"/>
      <c r="E26" s="237"/>
      <c r="F26" s="35"/>
      <c r="G26" s="36">
        <f xml:space="preserve"> MAX(G$4:G25) + 1</f>
        <v>21</v>
      </c>
      <c r="H26" s="35"/>
      <c r="I26" s="238" t="str">
        <f t="shared" si="2"/>
        <v>XXI</v>
      </c>
      <c r="J26" s="35"/>
      <c r="K26" s="36" t="s">
        <v>18</v>
      </c>
      <c r="L26" s="35"/>
      <c r="M26" s="36"/>
      <c r="N26" s="35"/>
      <c r="O26" s="36" t="s">
        <v>21</v>
      </c>
      <c r="P26" s="35"/>
      <c r="Q26" s="143" t="s">
        <v>20</v>
      </c>
      <c r="R26" s="35"/>
    </row>
    <row r="27" spans="1:19" s="211" customFormat="1" x14ac:dyDescent="0.3">
      <c r="A27" s="234"/>
      <c r="B27" s="234"/>
      <c r="C27" s="235"/>
      <c r="D27" s="236"/>
      <c r="E27" s="237"/>
      <c r="F27" s="35"/>
      <c r="G27" s="36">
        <f xml:space="preserve"> MAX(G$4:G26) + 1</f>
        <v>22</v>
      </c>
      <c r="H27" s="35"/>
      <c r="I27" s="238" t="str">
        <f t="shared" si="2"/>
        <v>XXII</v>
      </c>
      <c r="J27" s="35"/>
      <c r="K27" s="36" t="s">
        <v>18</v>
      </c>
      <c r="L27" s="35"/>
      <c r="M27" s="36"/>
      <c r="N27" s="35"/>
      <c r="O27" s="36" t="s">
        <v>22</v>
      </c>
      <c r="P27" s="35"/>
      <c r="Q27" s="143" t="s">
        <v>20</v>
      </c>
      <c r="R27" s="35"/>
    </row>
    <row r="28" spans="1:19" s="211" customFormat="1" x14ac:dyDescent="0.3">
      <c r="A28" s="234"/>
      <c r="B28" s="234"/>
      <c r="C28" s="235"/>
      <c r="D28" s="236"/>
      <c r="E28" s="237"/>
      <c r="F28" s="35"/>
      <c r="G28" s="36">
        <f xml:space="preserve"> MAX(G$4:G27) + 1</f>
        <v>23</v>
      </c>
      <c r="H28" s="35"/>
      <c r="I28" s="238" t="str">
        <f t="shared" si="2"/>
        <v>XXIII</v>
      </c>
      <c r="J28" s="35"/>
      <c r="K28" s="36" t="s">
        <v>18</v>
      </c>
      <c r="L28" s="35"/>
      <c r="M28" s="36"/>
      <c r="N28" s="35"/>
      <c r="O28" s="36" t="s">
        <v>23</v>
      </c>
      <c r="P28" s="35"/>
      <c r="Q28" s="741" t="s">
        <v>20</v>
      </c>
      <c r="R28" s="35"/>
    </row>
    <row r="29" spans="1:19" s="211" customFormat="1" x14ac:dyDescent="0.3">
      <c r="A29" s="234"/>
      <c r="B29" s="234"/>
      <c r="C29" s="235"/>
      <c r="D29" s="236"/>
      <c r="E29" s="237"/>
      <c r="F29" s="35"/>
      <c r="G29" s="36">
        <f xml:space="preserve"> MAX(G$4:G28) + 1</f>
        <v>24</v>
      </c>
      <c r="H29" s="35"/>
      <c r="I29" s="238" t="str">
        <f t="shared" si="2"/>
        <v>XXIV</v>
      </c>
      <c r="J29" s="35"/>
      <c r="K29" s="36" t="s">
        <v>18</v>
      </c>
      <c r="L29" s="35"/>
      <c r="M29" s="36"/>
      <c r="N29" s="35"/>
      <c r="O29" s="36" t="s">
        <v>24</v>
      </c>
      <c r="P29" s="35"/>
      <c r="Q29" s="741" t="s">
        <v>20</v>
      </c>
      <c r="R29" s="35"/>
    </row>
    <row r="30" spans="1:19" s="211" customFormat="1" x14ac:dyDescent="0.3">
      <c r="A30" s="234"/>
      <c r="B30" s="234"/>
      <c r="C30" s="235"/>
      <c r="D30" s="236"/>
      <c r="E30" s="237"/>
      <c r="F30" s="35"/>
      <c r="G30" s="36">
        <f xml:space="preserve"> MAX(G$4:G29) + 1</f>
        <v>25</v>
      </c>
      <c r="H30" s="35"/>
      <c r="I30" s="238" t="str">
        <f t="shared" si="2"/>
        <v>XXV</v>
      </c>
      <c r="J30" s="35"/>
      <c r="K30" s="36" t="s">
        <v>271</v>
      </c>
      <c r="L30" s="35"/>
      <c r="M30" s="36"/>
      <c r="N30" s="35"/>
      <c r="O30" s="36"/>
      <c r="P30" s="35"/>
      <c r="Q30" s="239" t="s">
        <v>272</v>
      </c>
      <c r="R30" s="35"/>
    </row>
    <row r="31" spans="1:19" s="211" customFormat="1" ht="2.7" customHeight="1" x14ac:dyDescent="0.3">
      <c r="A31" s="234"/>
      <c r="B31" s="234"/>
      <c r="C31" s="235"/>
      <c r="D31" s="236"/>
      <c r="E31" s="237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</row>
    <row r="32" spans="1:19" s="211" customFormat="1" x14ac:dyDescent="0.3">
      <c r="A32" s="234"/>
      <c r="B32" s="234"/>
      <c r="C32" s="235"/>
      <c r="D32" s="236"/>
      <c r="E32" s="237"/>
      <c r="F32" s="35"/>
      <c r="G32" s="36">
        <f xml:space="preserve"> MAX(G$4:G31) + 1</f>
        <v>26</v>
      </c>
      <c r="H32" s="35"/>
      <c r="I32" s="238" t="str">
        <f xml:space="preserve"> ROMAN(G32, 0)</f>
        <v>XXVI</v>
      </c>
      <c r="J32" s="35"/>
      <c r="K32" s="36" t="s">
        <v>276</v>
      </c>
      <c r="L32" s="35"/>
      <c r="M32" s="36"/>
      <c r="N32" s="35"/>
      <c r="O32" s="36"/>
      <c r="P32" s="35"/>
      <c r="Q32" s="239" t="s">
        <v>275</v>
      </c>
      <c r="R32" s="35"/>
    </row>
    <row r="33" spans="1:18" s="211" customFormat="1" x14ac:dyDescent="0.3">
      <c r="A33" s="234"/>
      <c r="B33" s="234"/>
      <c r="C33" s="235"/>
      <c r="G33" s="36">
        <v>27</v>
      </c>
      <c r="H33" s="35"/>
      <c r="I33" s="238" t="str">
        <f xml:space="preserve"> ROMAN(G33, 0)</f>
        <v>XXVII</v>
      </c>
      <c r="J33" s="35"/>
      <c r="K33" s="36" t="s">
        <v>284</v>
      </c>
      <c r="L33" s="35"/>
      <c r="M33" s="36"/>
      <c r="N33" s="35"/>
      <c r="O33" s="36"/>
      <c r="P33" s="35"/>
      <c r="Q33" s="239" t="s">
        <v>285</v>
      </c>
      <c r="R33" s="35"/>
    </row>
    <row r="34" spans="1:18" s="211" customFormat="1" x14ac:dyDescent="0.3">
      <c r="A34" s="234"/>
      <c r="B34" s="234"/>
      <c r="C34" s="235"/>
    </row>
    <row r="35" spans="1:18" s="211" customFormat="1" x14ac:dyDescent="0.3">
      <c r="A35" s="234"/>
      <c r="B35" s="234"/>
      <c r="C35" s="235"/>
      <c r="E35" s="143"/>
      <c r="F35" s="143"/>
      <c r="G35" s="143"/>
      <c r="H35" s="143"/>
      <c r="I35" s="143"/>
      <c r="J35" s="143"/>
      <c r="K35" s="143"/>
      <c r="L35" s="143"/>
      <c r="M35" s="143"/>
      <c r="N35" s="143"/>
      <c r="O35" s="143"/>
      <c r="P35" s="143"/>
      <c r="Q35" s="143"/>
    </row>
    <row r="36" spans="1:18" s="211" customFormat="1" ht="2.7" customHeight="1" x14ac:dyDescent="0.3">
      <c r="A36" s="234"/>
      <c r="B36" s="234"/>
      <c r="C36" s="235"/>
      <c r="E36" s="143"/>
      <c r="F36" s="143"/>
      <c r="G36" s="143"/>
      <c r="H36" s="143"/>
      <c r="I36" s="143"/>
      <c r="J36" s="143"/>
      <c r="K36" s="143"/>
      <c r="L36" s="143"/>
      <c r="M36" s="143"/>
      <c r="N36" s="143"/>
      <c r="O36" s="143"/>
      <c r="P36" s="143"/>
      <c r="Q36" s="143"/>
    </row>
    <row r="37" spans="1:18" s="211" customFormat="1" x14ac:dyDescent="0.3">
      <c r="A37" s="234"/>
      <c r="B37" s="234"/>
      <c r="C37" s="235"/>
      <c r="E37" s="143"/>
      <c r="F37" s="143"/>
      <c r="G37" s="143"/>
      <c r="H37" s="143"/>
      <c r="I37" s="143"/>
      <c r="J37" s="143"/>
      <c r="K37" s="143"/>
      <c r="L37" s="143"/>
      <c r="M37" s="143"/>
      <c r="N37" s="143"/>
      <c r="O37" s="143"/>
      <c r="P37" s="143"/>
      <c r="Q37" s="143"/>
    </row>
    <row r="38" spans="1:18" s="211" customFormat="1" ht="2.7" customHeight="1" x14ac:dyDescent="0.3">
      <c r="A38" s="234"/>
      <c r="B38" s="234"/>
      <c r="C38" s="235"/>
      <c r="E38" s="143"/>
      <c r="F38" s="143"/>
      <c r="G38" s="143"/>
      <c r="H38" s="143"/>
      <c r="I38" s="143"/>
      <c r="J38" s="143"/>
      <c r="K38" s="143"/>
      <c r="L38" s="143"/>
      <c r="M38" s="143"/>
      <c r="N38" s="143"/>
      <c r="O38" s="143"/>
      <c r="P38" s="143"/>
      <c r="Q38" s="143"/>
    </row>
    <row r="39" spans="1:18" s="211" customFormat="1" x14ac:dyDescent="0.3">
      <c r="A39" s="234"/>
      <c r="B39" s="234"/>
      <c r="C39" s="235"/>
      <c r="E39" s="143"/>
      <c r="F39" s="143"/>
      <c r="G39" s="36">
        <v>1000</v>
      </c>
      <c r="H39" s="35"/>
      <c r="I39" s="238" t="str">
        <f xml:space="preserve"> ROMAN(G39, 0)</f>
        <v>M</v>
      </c>
      <c r="J39" s="35"/>
      <c r="K39" s="36" t="s">
        <v>332</v>
      </c>
      <c r="L39" s="35"/>
      <c r="M39" s="36"/>
      <c r="N39" s="35"/>
      <c r="O39" s="36"/>
      <c r="P39" s="35"/>
      <c r="Q39" s="239"/>
    </row>
    <row r="40" spans="1:18" x14ac:dyDescent="0.3">
      <c r="E40"/>
      <c r="F40"/>
      <c r="G40"/>
      <c r="H40"/>
      <c r="I40"/>
      <c r="J40"/>
      <c r="K40"/>
      <c r="L40"/>
      <c r="M40"/>
      <c r="N40"/>
      <c r="O40"/>
      <c r="P40"/>
      <c r="Q40"/>
    </row>
    <row r="41" spans="1:18" x14ac:dyDescent="0.3">
      <c r="E41"/>
      <c r="F41"/>
      <c r="G41"/>
      <c r="H41"/>
      <c r="I41"/>
      <c r="J41"/>
      <c r="K41"/>
      <c r="L41"/>
      <c r="M41"/>
      <c r="N41"/>
      <c r="O41"/>
      <c r="P41"/>
      <c r="Q41"/>
    </row>
    <row r="42" spans="1:18" x14ac:dyDescent="0.3">
      <c r="E42"/>
      <c r="F42"/>
      <c r="G42"/>
      <c r="H42"/>
      <c r="I42"/>
      <c r="J42"/>
      <c r="K42"/>
      <c r="L42"/>
      <c r="M42"/>
      <c r="N42"/>
      <c r="O42"/>
      <c r="P42"/>
      <c r="Q42"/>
    </row>
    <row r="43" spans="1:18" x14ac:dyDescent="0.3">
      <c r="E43"/>
      <c r="F43"/>
      <c r="G43"/>
      <c r="H43"/>
      <c r="I43"/>
      <c r="J43"/>
      <c r="K43"/>
      <c r="L43"/>
      <c r="M43"/>
      <c r="N43"/>
      <c r="O43"/>
      <c r="P43"/>
      <c r="Q43"/>
    </row>
    <row r="44" spans="1:18" x14ac:dyDescent="0.3">
      <c r="E44"/>
      <c r="F44"/>
      <c r="G44"/>
      <c r="H44"/>
      <c r="I44"/>
      <c r="J44"/>
      <c r="K44"/>
      <c r="L44"/>
      <c r="M44"/>
      <c r="N44"/>
      <c r="O44"/>
      <c r="P44"/>
      <c r="Q44"/>
    </row>
    <row r="45" spans="1:18" x14ac:dyDescent="0.3">
      <c r="E45"/>
      <c r="F45"/>
      <c r="G45"/>
      <c r="H45"/>
      <c r="I45"/>
      <c r="J45"/>
      <c r="K45"/>
      <c r="L45"/>
      <c r="M45"/>
      <c r="N45"/>
      <c r="O45"/>
      <c r="P45"/>
      <c r="Q45"/>
    </row>
    <row r="46" spans="1:18" x14ac:dyDescent="0.3">
      <c r="E46"/>
      <c r="F46"/>
      <c r="G46"/>
      <c r="H46"/>
      <c r="I46"/>
      <c r="J46"/>
      <c r="K46"/>
      <c r="L46"/>
      <c r="M46"/>
      <c r="N46"/>
      <c r="O46"/>
      <c r="P46"/>
      <c r="Q46"/>
    </row>
    <row r="47" spans="1:18" x14ac:dyDescent="0.3">
      <c r="E47"/>
      <c r="F47"/>
      <c r="G47"/>
      <c r="H47"/>
      <c r="I47"/>
      <c r="J47"/>
      <c r="K47"/>
      <c r="L47"/>
      <c r="M47"/>
      <c r="N47"/>
      <c r="O47"/>
      <c r="P47"/>
      <c r="Q47"/>
    </row>
    <row r="48" spans="1:18" x14ac:dyDescent="0.3">
      <c r="E48"/>
      <c r="F48"/>
      <c r="G48"/>
      <c r="H48"/>
      <c r="I48"/>
      <c r="J48"/>
      <c r="K48"/>
      <c r="L48"/>
      <c r="M48"/>
      <c r="N48"/>
      <c r="O48"/>
      <c r="P48"/>
      <c r="Q48"/>
    </row>
    <row r="49" spans="5:18" x14ac:dyDescent="0.3">
      <c r="E49"/>
      <c r="F49"/>
      <c r="G49"/>
      <c r="H49"/>
      <c r="I49"/>
      <c r="J49"/>
      <c r="K49"/>
      <c r="L49"/>
      <c r="M49"/>
      <c r="N49"/>
      <c r="O49"/>
      <c r="P49"/>
      <c r="Q49"/>
    </row>
    <row r="50" spans="5:18" x14ac:dyDescent="0.3">
      <c r="E50"/>
      <c r="F50"/>
      <c r="G50"/>
      <c r="H50"/>
      <c r="I50"/>
      <c r="J50"/>
      <c r="K50"/>
      <c r="L50"/>
      <c r="M50"/>
      <c r="N50"/>
      <c r="O50"/>
      <c r="P50"/>
      <c r="Q50"/>
    </row>
    <row r="51" spans="5:18" x14ac:dyDescent="0.3">
      <c r="E51"/>
      <c r="F51"/>
      <c r="G51"/>
      <c r="H51"/>
      <c r="I51"/>
      <c r="J51"/>
      <c r="K51"/>
      <c r="L51"/>
      <c r="M51"/>
      <c r="N51"/>
      <c r="O51"/>
      <c r="P51"/>
      <c r="Q51"/>
    </row>
    <row r="52" spans="5:18" x14ac:dyDescent="0.3">
      <c r="E52"/>
      <c r="F52"/>
      <c r="G52"/>
      <c r="H52"/>
      <c r="I52"/>
      <c r="J52"/>
      <c r="K52"/>
      <c r="L52"/>
      <c r="M52"/>
      <c r="N52"/>
      <c r="O52"/>
      <c r="P52"/>
      <c r="Q52"/>
    </row>
    <row r="53" spans="5:18" x14ac:dyDescent="0.3">
      <c r="E53"/>
      <c r="F53"/>
      <c r="G53"/>
      <c r="H53"/>
      <c r="I53"/>
      <c r="J53"/>
      <c r="K53"/>
      <c r="L53"/>
      <c r="M53"/>
      <c r="N53"/>
      <c r="O53"/>
      <c r="P53"/>
      <c r="Q53"/>
    </row>
    <row r="55" spans="5:18" x14ac:dyDescent="0.3">
      <c r="E55"/>
      <c r="F55"/>
      <c r="G55"/>
      <c r="H55"/>
      <c r="I55"/>
      <c r="J55"/>
      <c r="K55"/>
      <c r="L55"/>
      <c r="M55"/>
      <c r="N55"/>
      <c r="O55"/>
      <c r="P55"/>
      <c r="Q55"/>
      <c r="R55" s="43"/>
    </row>
    <row r="56" spans="5:18" x14ac:dyDescent="0.3">
      <c r="E56"/>
      <c r="F56"/>
      <c r="G56"/>
      <c r="H56"/>
      <c r="I56"/>
      <c r="J56"/>
      <c r="K56"/>
      <c r="L56"/>
      <c r="M56"/>
      <c r="N56"/>
      <c r="O56"/>
      <c r="P56"/>
      <c r="Q56"/>
    </row>
    <row r="57" spans="5:18" x14ac:dyDescent="0.3">
      <c r="E57"/>
      <c r="F57"/>
      <c r="G57"/>
      <c r="H57"/>
      <c r="I57"/>
      <c r="J57"/>
      <c r="K57"/>
      <c r="L57"/>
      <c r="M57"/>
      <c r="N57"/>
      <c r="O57"/>
      <c r="P57"/>
      <c r="Q57"/>
    </row>
    <row r="58" spans="5:18" x14ac:dyDescent="0.3">
      <c r="E58"/>
      <c r="F58"/>
      <c r="G58"/>
      <c r="H58"/>
      <c r="I58"/>
      <c r="J58"/>
      <c r="K58"/>
      <c r="L58"/>
      <c r="M58"/>
      <c r="N58"/>
      <c r="O58"/>
      <c r="P58"/>
      <c r="Q58"/>
    </row>
    <row r="59" spans="5:18" x14ac:dyDescent="0.3">
      <c r="E59"/>
      <c r="F59"/>
      <c r="G59"/>
      <c r="H59"/>
      <c r="I59"/>
      <c r="J59"/>
      <c r="K59"/>
      <c r="L59"/>
      <c r="M59"/>
      <c r="N59"/>
      <c r="O59"/>
      <c r="P59"/>
      <c r="Q59"/>
    </row>
    <row r="60" spans="5:18" x14ac:dyDescent="0.3">
      <c r="E60"/>
      <c r="F60"/>
      <c r="G60"/>
      <c r="H60"/>
      <c r="I60"/>
      <c r="J60"/>
      <c r="K60"/>
      <c r="L60"/>
      <c r="M60"/>
      <c r="N60"/>
      <c r="O60"/>
      <c r="P60"/>
      <c r="Q60"/>
    </row>
    <row r="61" spans="5:18" x14ac:dyDescent="0.3">
      <c r="E61"/>
      <c r="F61"/>
      <c r="G61"/>
      <c r="H61"/>
      <c r="I61"/>
      <c r="J61"/>
      <c r="K61"/>
      <c r="L61"/>
      <c r="M61"/>
      <c r="N61"/>
      <c r="O61"/>
      <c r="P61"/>
      <c r="Q61"/>
    </row>
    <row r="62" spans="5:18" x14ac:dyDescent="0.3">
      <c r="E62"/>
      <c r="F62"/>
      <c r="G62"/>
      <c r="H62"/>
      <c r="I62"/>
      <c r="J62"/>
      <c r="K62"/>
      <c r="L62"/>
      <c r="M62"/>
      <c r="N62"/>
      <c r="O62"/>
      <c r="P62"/>
      <c r="Q62"/>
    </row>
    <row r="63" spans="5:18" x14ac:dyDescent="0.3">
      <c r="E63"/>
      <c r="F63"/>
      <c r="G63"/>
      <c r="H63"/>
      <c r="I63"/>
      <c r="J63"/>
      <c r="K63"/>
      <c r="L63"/>
      <c r="M63"/>
      <c r="N63"/>
      <c r="O63"/>
      <c r="P63"/>
      <c r="Q63"/>
    </row>
  </sheetData>
  <phoneticPr fontId="30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A93F9D-3924-4CCB-96D8-B27BE5F403D7}">
  <sheetPr codeName="Sheet15">
    <tabColor rgb="FFFFFF00"/>
  </sheetPr>
  <dimension ref="A1:AS454"/>
  <sheetViews>
    <sheetView zoomScale="80" zoomScaleNormal="80" workbookViewId="0">
      <pane xSplit="10" ySplit="4" topLeftCell="K87" activePane="bottomRight" state="frozen"/>
      <selection pane="topRight" activeCell="K1" sqref="K1"/>
      <selection pane="bottomLeft" activeCell="A5" sqref="A5"/>
      <selection pane="bottomRight" activeCell="E109" sqref="A109:XFD109"/>
    </sheetView>
  </sheetViews>
  <sheetFormatPr defaultColWidth="0" defaultRowHeight="13.8" x14ac:dyDescent="0.3"/>
  <cols>
    <col min="1" max="4" width="1.33203125" customWidth="1"/>
    <col min="5" max="5" width="50.6640625" customWidth="1"/>
    <col min="6" max="6" width="12.6640625" customWidth="1"/>
    <col min="7" max="7" width="20.6640625" customWidth="1"/>
    <col min="8" max="8" width="25.109375" customWidth="1"/>
    <col min="9" max="9" width="12.6640625" customWidth="1" collapsed="1"/>
    <col min="10" max="10" width="1.6640625" customWidth="1"/>
    <col min="11" max="13" width="10.6640625" customWidth="1"/>
    <col min="14" max="14" width="12.44140625" bestFit="1" customWidth="1"/>
    <col min="15" max="37" width="10.6640625" customWidth="1"/>
    <col min="38" max="45" width="11.88671875" customWidth="1"/>
    <col min="46" max="16384" width="11.88671875" hidden="1"/>
  </cols>
  <sheetData>
    <row r="1" spans="1:45" ht="26.25" customHeight="1" x14ac:dyDescent="0.3">
      <c r="A1" s="396" t="str">
        <f ca="1" xml:space="preserve"> RIGHT(CELL("filename", $A$3), LEN(CELL("filename", $A$3)) - SEARCH("]", CELL("filename", $A$3)))</f>
        <v>Inputs_ FS</v>
      </c>
      <c r="B1" s="1"/>
      <c r="C1" s="2"/>
      <c r="D1" s="3"/>
      <c r="E1" s="3"/>
      <c r="F1" s="4"/>
      <c r="G1" s="3"/>
      <c r="H1" s="5"/>
      <c r="I1" s="3"/>
      <c r="J1" s="21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  <c r="Y1" s="45"/>
      <c r="Z1" s="45"/>
      <c r="AA1" s="45"/>
      <c r="AB1" s="45"/>
      <c r="AC1" s="45"/>
      <c r="AD1" s="45"/>
      <c r="AE1" s="45"/>
      <c r="AF1" s="45"/>
      <c r="AG1" s="45"/>
      <c r="AH1" s="45"/>
      <c r="AI1" s="45"/>
      <c r="AJ1" s="45"/>
      <c r="AK1" s="3"/>
      <c r="AL1" s="3"/>
      <c r="AM1" s="3"/>
      <c r="AN1" s="3"/>
    </row>
    <row r="2" spans="1:45" ht="15" customHeight="1" x14ac:dyDescent="0.3">
      <c r="A2" s="45"/>
      <c r="B2" s="45"/>
      <c r="C2" s="2"/>
      <c r="D2" s="3"/>
      <c r="E2" s="3"/>
      <c r="F2" s="46">
        <f>Inputs_TS!F2</f>
        <v>0</v>
      </c>
      <c r="G2" s="7" t="s">
        <v>0</v>
      </c>
      <c r="H2" s="5"/>
      <c r="I2" s="3"/>
      <c r="J2" s="21"/>
      <c r="K2" s="47">
        <f>'T&amp;E'!K$9</f>
        <v>2006</v>
      </c>
      <c r="L2" s="47">
        <f>'T&amp;E'!L$9</f>
        <v>2007</v>
      </c>
      <c r="M2" s="47">
        <f>'T&amp;E'!M$9</f>
        <v>2008</v>
      </c>
      <c r="N2" s="47">
        <f>'T&amp;E'!N$9</f>
        <v>2009</v>
      </c>
      <c r="O2" s="47">
        <f>'T&amp;E'!O$9</f>
        <v>2010</v>
      </c>
      <c r="P2" s="47">
        <f>'T&amp;E'!P$9</f>
        <v>2011</v>
      </c>
      <c r="Q2" s="47">
        <f>'T&amp;E'!Q$9</f>
        <v>2012</v>
      </c>
      <c r="R2" s="47">
        <f>'T&amp;E'!R$9</f>
        <v>2013</v>
      </c>
      <c r="S2" s="47">
        <f>'T&amp;E'!S$9</f>
        <v>2014</v>
      </c>
      <c r="T2" s="47">
        <f>'T&amp;E'!T$9</f>
        <v>2015</v>
      </c>
      <c r="U2" s="47">
        <f>'T&amp;E'!U$9</f>
        <v>2016</v>
      </c>
      <c r="V2" s="47">
        <f>'T&amp;E'!V$9</f>
        <v>2017</v>
      </c>
      <c r="W2" s="47">
        <f>'T&amp;E'!W$9</f>
        <v>2018</v>
      </c>
      <c r="X2" s="47">
        <f>'T&amp;E'!X$9</f>
        <v>2019</v>
      </c>
      <c r="Y2" s="47">
        <f>'T&amp;E'!Y$9</f>
        <v>2020</v>
      </c>
      <c r="Z2" s="47">
        <f>'T&amp;E'!Z$9</f>
        <v>2021</v>
      </c>
      <c r="AA2" s="47">
        <f>'T&amp;E'!AA$9</f>
        <v>2022</v>
      </c>
      <c r="AB2" s="47">
        <f>'T&amp;E'!AB$9</f>
        <v>2023</v>
      </c>
      <c r="AC2" s="47">
        <f>'T&amp;E'!AC$9</f>
        <v>2024</v>
      </c>
      <c r="AD2" s="47">
        <f>'T&amp;E'!AD$9</f>
        <v>2025</v>
      </c>
      <c r="AE2" s="47">
        <f>'T&amp;E'!AE$9</f>
        <v>2026</v>
      </c>
      <c r="AF2" s="47">
        <f>'T&amp;E'!AF$9</f>
        <v>2027</v>
      </c>
      <c r="AG2" s="47">
        <f>'T&amp;E'!AG$9</f>
        <v>2028</v>
      </c>
      <c r="AH2" s="47">
        <f>'T&amp;E'!AH$9</f>
        <v>2029</v>
      </c>
      <c r="AI2" s="47">
        <f>'T&amp;E'!AI$9</f>
        <v>2030</v>
      </c>
      <c r="AJ2" s="47">
        <f>'T&amp;E'!AJ$9</f>
        <v>2031</v>
      </c>
      <c r="AK2" s="47">
        <f>'T&amp;E'!AK$9</f>
        <v>2032</v>
      </c>
      <c r="AL2" s="47">
        <f>'T&amp;E'!AL$9</f>
        <v>2033</v>
      </c>
      <c r="AM2" s="47">
        <f>'T&amp;E'!AM$9</f>
        <v>2034</v>
      </c>
      <c r="AN2" s="47">
        <f>'T&amp;E'!AN$9</f>
        <v>2035</v>
      </c>
      <c r="AO2" s="47">
        <f>'T&amp;E'!AO$9</f>
        <v>2036</v>
      </c>
      <c r="AP2" s="47">
        <f>'T&amp;E'!AP$9</f>
        <v>2037</v>
      </c>
      <c r="AQ2" s="47">
        <f>'T&amp;E'!AQ$9</f>
        <v>2038</v>
      </c>
      <c r="AR2" s="47">
        <f>'T&amp;E'!AR$9</f>
        <v>2039</v>
      </c>
      <c r="AS2" s="47">
        <f>'T&amp;E'!AS$9</f>
        <v>2040</v>
      </c>
    </row>
    <row r="3" spans="1:45" ht="15" customHeight="1" x14ac:dyDescent="0.3">
      <c r="A3" s="1"/>
      <c r="B3" s="1"/>
      <c r="C3" s="2"/>
      <c r="D3" s="3"/>
      <c r="E3" s="3"/>
      <c r="F3" s="881">
        <f xml:space="preserve"> Inputs_Con!F$3</f>
        <v>0</v>
      </c>
      <c r="G3" s="9" t="s">
        <v>1</v>
      </c>
      <c r="H3" s="5"/>
      <c r="I3" s="3"/>
      <c r="J3" s="21"/>
      <c r="K3" s="49" t="s">
        <v>2</v>
      </c>
      <c r="L3" s="49" t="s">
        <v>2</v>
      </c>
      <c r="M3" s="49" t="s">
        <v>2</v>
      </c>
      <c r="N3" s="49" t="s">
        <v>2</v>
      </c>
      <c r="O3" s="49" t="s">
        <v>2</v>
      </c>
      <c r="P3" s="49" t="s">
        <v>2</v>
      </c>
      <c r="Q3" s="49" t="s">
        <v>2</v>
      </c>
      <c r="R3" s="49" t="s">
        <v>2</v>
      </c>
      <c r="S3" s="49" t="s">
        <v>2</v>
      </c>
      <c r="T3" s="49" t="s">
        <v>2</v>
      </c>
      <c r="U3" s="49" t="s">
        <v>2</v>
      </c>
      <c r="V3" s="49" t="s">
        <v>2</v>
      </c>
      <c r="W3" s="49" t="s">
        <v>2</v>
      </c>
      <c r="X3" s="49" t="s">
        <v>2</v>
      </c>
      <c r="Y3" s="49" t="s">
        <v>2</v>
      </c>
      <c r="Z3" s="49" t="s">
        <v>2</v>
      </c>
      <c r="AA3" s="49" t="s">
        <v>2</v>
      </c>
      <c r="AB3" s="49" t="s">
        <v>2</v>
      </c>
      <c r="AC3" s="49" t="s">
        <v>2</v>
      </c>
      <c r="AD3" s="49" t="s">
        <v>3</v>
      </c>
      <c r="AE3" s="49" t="s">
        <v>3</v>
      </c>
      <c r="AF3" s="49" t="s">
        <v>3</v>
      </c>
      <c r="AG3" s="49" t="s">
        <v>3</v>
      </c>
      <c r="AH3" s="49" t="s">
        <v>3</v>
      </c>
      <c r="AI3" s="49" t="s">
        <v>3</v>
      </c>
      <c r="AJ3" s="49" t="s">
        <v>3</v>
      </c>
      <c r="AK3" s="49" t="s">
        <v>3</v>
      </c>
      <c r="AL3" s="49" t="s">
        <v>3</v>
      </c>
      <c r="AM3" s="49" t="s">
        <v>3</v>
      </c>
      <c r="AN3" s="49" t="s">
        <v>3</v>
      </c>
      <c r="AO3" s="49" t="s">
        <v>3</v>
      </c>
      <c r="AP3" s="49" t="s">
        <v>3</v>
      </c>
      <c r="AQ3" s="49" t="s">
        <v>3</v>
      </c>
      <c r="AR3" s="49" t="s">
        <v>3</v>
      </c>
      <c r="AS3" s="49" t="s">
        <v>3</v>
      </c>
    </row>
    <row r="4" spans="1:45" ht="15" customHeight="1" x14ac:dyDescent="0.3">
      <c r="A4" s="1"/>
      <c r="B4" s="1"/>
      <c r="C4" s="2"/>
      <c r="D4" s="3"/>
      <c r="E4" s="3"/>
      <c r="F4" s="397" t="s">
        <v>4</v>
      </c>
      <c r="G4" s="398" t="s">
        <v>5</v>
      </c>
      <c r="H4" s="399" t="s">
        <v>6</v>
      </c>
      <c r="I4" s="13"/>
      <c r="J4" s="21"/>
      <c r="K4" s="45">
        <f>'T&amp;E'!K$11</f>
        <v>1</v>
      </c>
      <c r="L4" s="45">
        <f>'T&amp;E'!L$11</f>
        <v>2</v>
      </c>
      <c r="M4" s="45">
        <f>'T&amp;E'!M$11</f>
        <v>3</v>
      </c>
      <c r="N4" s="45">
        <f>'T&amp;E'!N$11</f>
        <v>4</v>
      </c>
      <c r="O4" s="45">
        <f>'T&amp;E'!O$11</f>
        <v>5</v>
      </c>
      <c r="P4" s="45">
        <f>'T&amp;E'!P$11</f>
        <v>6</v>
      </c>
      <c r="Q4" s="45">
        <f>'T&amp;E'!Q$11</f>
        <v>7</v>
      </c>
      <c r="R4" s="45">
        <f>'T&amp;E'!R$11</f>
        <v>8</v>
      </c>
      <c r="S4" s="45">
        <f>'T&amp;E'!S$11</f>
        <v>9</v>
      </c>
      <c r="T4" s="45">
        <f>'T&amp;E'!T$11</f>
        <v>10</v>
      </c>
      <c r="U4" s="45">
        <f>'T&amp;E'!U$11</f>
        <v>11</v>
      </c>
      <c r="V4" s="45">
        <f>'T&amp;E'!V$11</f>
        <v>12</v>
      </c>
      <c r="W4" s="45">
        <f>'T&amp;E'!W$11</f>
        <v>13</v>
      </c>
      <c r="X4" s="45">
        <f>'T&amp;E'!X$11</f>
        <v>14</v>
      </c>
      <c r="Y4" s="45">
        <f>'T&amp;E'!Y$11</f>
        <v>15</v>
      </c>
      <c r="Z4" s="45">
        <f>'T&amp;E'!Z$11</f>
        <v>16</v>
      </c>
      <c r="AA4" s="45">
        <f>'T&amp;E'!AA$11</f>
        <v>17</v>
      </c>
      <c r="AB4" s="45">
        <f>'T&amp;E'!AB$11</f>
        <v>18</v>
      </c>
      <c r="AC4" s="45">
        <f>'T&amp;E'!AC$11</f>
        <v>19</v>
      </c>
      <c r="AD4" s="45">
        <f>'T&amp;E'!AD$11</f>
        <v>20</v>
      </c>
      <c r="AE4" s="45">
        <f>'T&amp;E'!AE$11</f>
        <v>21</v>
      </c>
      <c r="AF4" s="45">
        <f>'T&amp;E'!AF$11</f>
        <v>22</v>
      </c>
      <c r="AG4" s="45">
        <f>'T&amp;E'!AG$11</f>
        <v>23</v>
      </c>
      <c r="AH4" s="45">
        <f>'T&amp;E'!AH$11</f>
        <v>24</v>
      </c>
      <c r="AI4" s="45">
        <f>'T&amp;E'!AI$11</f>
        <v>25</v>
      </c>
      <c r="AJ4" s="45">
        <f>'T&amp;E'!AJ$11</f>
        <v>26</v>
      </c>
      <c r="AK4" s="45">
        <f>'T&amp;E'!AK$11</f>
        <v>27</v>
      </c>
      <c r="AL4" s="45">
        <f>'T&amp;E'!AL$11</f>
        <v>28</v>
      </c>
      <c r="AM4" s="45">
        <f>'T&amp;E'!AM$11</f>
        <v>29</v>
      </c>
      <c r="AN4" s="45">
        <f>'T&amp;E'!AN$11</f>
        <v>30</v>
      </c>
      <c r="AO4" s="45">
        <f>'T&amp;E'!AO$11</f>
        <v>31</v>
      </c>
      <c r="AP4" s="45">
        <f>'T&amp;E'!AP$11</f>
        <v>32</v>
      </c>
      <c r="AQ4" s="45">
        <f>'T&amp;E'!AQ$11</f>
        <v>33</v>
      </c>
      <c r="AR4" s="45">
        <f>'T&amp;E'!AR$11</f>
        <v>34</v>
      </c>
      <c r="AS4" s="45">
        <f>'T&amp;E'!AS$11</f>
        <v>35</v>
      </c>
    </row>
    <row r="5" spans="1:45" ht="15" customHeight="1" x14ac:dyDescent="0.3">
      <c r="A5" s="1"/>
      <c r="B5" s="1"/>
      <c r="C5" s="2"/>
      <c r="D5" s="3"/>
      <c r="E5" s="3"/>
      <c r="F5" s="11"/>
      <c r="G5" s="1"/>
      <c r="H5" s="12"/>
      <c r="I5" s="13"/>
      <c r="J5" s="42"/>
      <c r="K5" s="45"/>
      <c r="L5" s="45"/>
      <c r="M5" s="45"/>
      <c r="N5" s="45"/>
      <c r="O5" s="45"/>
      <c r="P5" s="45"/>
      <c r="Q5" s="45"/>
      <c r="R5" s="45"/>
      <c r="S5" s="45"/>
      <c r="T5" s="45"/>
      <c r="U5" s="45"/>
      <c r="V5" s="45"/>
      <c r="W5" s="45"/>
      <c r="X5" s="45"/>
      <c r="Y5" s="45"/>
      <c r="Z5" s="45"/>
      <c r="AA5" s="45"/>
      <c r="AB5" s="45"/>
      <c r="AC5" s="45"/>
      <c r="AD5" s="45"/>
      <c r="AE5" s="45"/>
      <c r="AF5" s="45"/>
      <c r="AG5" s="45"/>
      <c r="AH5" s="45"/>
      <c r="AI5" s="45"/>
      <c r="AJ5" s="45"/>
      <c r="AK5" s="3"/>
    </row>
    <row r="6" spans="1:45" ht="15" customHeight="1" x14ac:dyDescent="0.3">
      <c r="A6" s="15" t="s">
        <v>530</v>
      </c>
      <c r="B6" s="16"/>
      <c r="C6" s="17"/>
      <c r="D6" s="18"/>
      <c r="E6" s="16"/>
      <c r="F6" s="16"/>
      <c r="G6" s="16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</row>
    <row r="7" spans="1:45" ht="15" customHeight="1" x14ac:dyDescent="0.3">
      <c r="A7" s="1"/>
      <c r="B7" s="1"/>
      <c r="C7" s="2"/>
      <c r="D7" s="3"/>
      <c r="E7" s="3"/>
      <c r="F7" s="11"/>
      <c r="G7" s="1"/>
      <c r="H7" s="12"/>
      <c r="I7" s="13"/>
      <c r="J7" s="13"/>
      <c r="S7" s="45"/>
      <c r="T7" s="45"/>
      <c r="U7" s="45"/>
      <c r="V7" s="45"/>
      <c r="W7" s="45"/>
      <c r="X7" s="45"/>
      <c r="Y7" s="45"/>
      <c r="Z7" s="45"/>
      <c r="AA7" s="45"/>
      <c r="AB7" s="45"/>
      <c r="AC7" s="45"/>
      <c r="AD7" s="45"/>
      <c r="AE7" s="45"/>
      <c r="AF7" s="45"/>
      <c r="AG7" s="45"/>
      <c r="AH7" s="45"/>
      <c r="AI7" s="45"/>
      <c r="AJ7" s="45"/>
      <c r="AK7" s="45"/>
      <c r="AL7" s="45"/>
      <c r="AM7" s="45"/>
      <c r="AN7" s="45"/>
      <c r="AO7" s="45"/>
      <c r="AP7" s="3"/>
      <c r="AQ7" s="3"/>
      <c r="AR7" s="3"/>
      <c r="AS7" s="3"/>
    </row>
    <row r="8" spans="1:45" ht="15" customHeight="1" x14ac:dyDescent="0.3">
      <c r="A8" s="1"/>
      <c r="B8" s="1" t="s">
        <v>36</v>
      </c>
      <c r="C8" s="2"/>
      <c r="D8" s="3"/>
      <c r="E8" s="3"/>
      <c r="F8" s="11"/>
      <c r="G8" s="1"/>
      <c r="H8" s="12"/>
      <c r="I8" s="13"/>
      <c r="J8" s="13"/>
      <c r="S8" s="45"/>
      <c r="T8" s="45"/>
      <c r="U8" s="45"/>
      <c r="V8" s="45"/>
      <c r="W8" s="45"/>
      <c r="X8" s="45"/>
      <c r="Y8" s="45"/>
      <c r="Z8" s="45"/>
      <c r="AA8" s="45"/>
      <c r="AB8" s="45"/>
      <c r="AC8" s="45"/>
      <c r="AD8" s="45"/>
      <c r="AE8" s="45"/>
      <c r="AF8" s="45"/>
      <c r="AG8" s="45"/>
      <c r="AH8" s="45"/>
      <c r="AI8" s="45"/>
      <c r="AJ8" s="45"/>
      <c r="AK8" s="45"/>
      <c r="AL8" s="45"/>
      <c r="AM8" s="45"/>
      <c r="AN8" s="45"/>
      <c r="AO8" s="45"/>
      <c r="AP8" s="3"/>
      <c r="AQ8" s="3"/>
      <c r="AR8" s="3"/>
      <c r="AS8" s="3"/>
    </row>
    <row r="9" spans="1:45" ht="15" customHeight="1" x14ac:dyDescent="0.3">
      <c r="A9" s="1"/>
      <c r="B9" s="1"/>
      <c r="C9" s="2" t="s">
        <v>388</v>
      </c>
      <c r="D9" s="3"/>
      <c r="E9" s="3"/>
      <c r="F9" s="11"/>
      <c r="G9" s="1"/>
      <c r="H9" s="12"/>
      <c r="I9" s="13"/>
      <c r="J9" s="13"/>
      <c r="S9" s="45"/>
      <c r="T9" s="45"/>
      <c r="U9" s="45"/>
      <c r="V9" s="45"/>
      <c r="W9" s="45"/>
      <c r="X9" s="45"/>
      <c r="Y9" s="45"/>
      <c r="Z9" s="45"/>
      <c r="AA9" s="45"/>
      <c r="AB9" s="45"/>
      <c r="AC9" s="45"/>
      <c r="AD9" s="45"/>
      <c r="AE9" s="45"/>
      <c r="AF9" s="45"/>
      <c r="AG9" s="45"/>
      <c r="AH9" s="45"/>
      <c r="AI9" s="45"/>
      <c r="AJ9" s="45"/>
      <c r="AK9" s="45"/>
      <c r="AL9" s="45"/>
      <c r="AM9" s="45"/>
      <c r="AN9" s="45"/>
      <c r="AO9" s="45"/>
      <c r="AP9" s="3"/>
      <c r="AQ9" s="3"/>
      <c r="AR9" s="3"/>
      <c r="AS9" s="3"/>
    </row>
    <row r="10" spans="1:45" ht="15" customHeight="1" x14ac:dyDescent="0.3">
      <c r="A10" s="363"/>
      <c r="B10" s="1"/>
      <c r="C10" s="364"/>
      <c r="D10" s="365"/>
      <c r="E10" s="290" t="s">
        <v>390</v>
      </c>
      <c r="F10" s="299"/>
      <c r="G10" s="290" t="s">
        <v>38</v>
      </c>
      <c r="H10" s="36" t="str">
        <f xml:space="preserve"> Sources!I$39</f>
        <v>M</v>
      </c>
      <c r="I10" s="290">
        <f>SUM(K10:AP10)</f>
        <v>443825</v>
      </c>
      <c r="J10" s="42"/>
      <c r="K10" s="295"/>
      <c r="L10" s="295"/>
      <c r="M10" s="295"/>
      <c r="N10" s="295"/>
      <c r="O10" s="295"/>
      <c r="P10" s="295"/>
      <c r="Q10" s="296"/>
      <c r="R10" s="295"/>
      <c r="S10" s="295"/>
      <c r="T10" s="296"/>
      <c r="U10" s="295"/>
      <c r="V10" s="295"/>
      <c r="W10" s="295"/>
      <c r="X10" s="324">
        <v>26145</v>
      </c>
      <c r="Y10" s="295">
        <v>57390</v>
      </c>
      <c r="Z10" s="295">
        <v>59899</v>
      </c>
      <c r="AA10" s="295">
        <v>73852</v>
      </c>
      <c r="AB10" s="296">
        <v>60290</v>
      </c>
      <c r="AC10" s="297"/>
      <c r="AD10" s="324"/>
      <c r="AE10" s="295"/>
      <c r="AF10" s="295"/>
      <c r="AG10" s="295"/>
      <c r="AH10" s="295"/>
      <c r="AI10" s="295">
        <v>68878</v>
      </c>
      <c r="AJ10" s="295">
        <v>68878</v>
      </c>
      <c r="AK10" s="295">
        <v>28493</v>
      </c>
      <c r="AL10" s="295"/>
      <c r="AM10" s="295"/>
      <c r="AN10" s="295"/>
      <c r="AO10" s="295"/>
      <c r="AP10" s="295"/>
      <c r="AQ10" s="295"/>
      <c r="AR10" s="295"/>
      <c r="AS10" s="295"/>
    </row>
    <row r="11" spans="1:45" ht="15" customHeight="1" x14ac:dyDescent="0.3">
      <c r="A11" s="363"/>
      <c r="B11" s="1"/>
      <c r="C11" s="364"/>
      <c r="D11" s="365"/>
      <c r="E11" s="290" t="s">
        <v>391</v>
      </c>
      <c r="F11" s="299"/>
      <c r="G11" s="290" t="s">
        <v>38</v>
      </c>
      <c r="H11" s="36" t="str">
        <f xml:space="preserve"> Sources!I$39</f>
        <v>M</v>
      </c>
      <c r="I11" s="290">
        <f t="shared" ref="I11:I16" si="0">SUM(K11:AP11)</f>
        <v>223496</v>
      </c>
      <c r="J11" s="42"/>
      <c r="K11" s="295"/>
      <c r="L11" s="295"/>
      <c r="M11" s="295"/>
      <c r="N11" s="295"/>
      <c r="O11" s="295"/>
      <c r="P11" s="295"/>
      <c r="Q11" s="295"/>
      <c r="R11" s="366"/>
      <c r="S11" s="295"/>
      <c r="T11" s="295"/>
      <c r="U11" s="366"/>
      <c r="V11" s="367">
        <v>11808</v>
      </c>
      <c r="W11" s="297">
        <v>29048</v>
      </c>
      <c r="X11" s="297">
        <v>34233</v>
      </c>
      <c r="Y11" s="297">
        <v>32411</v>
      </c>
      <c r="Z11" s="297">
        <v>24924</v>
      </c>
      <c r="AA11" s="297">
        <v>22433</v>
      </c>
      <c r="AB11" s="355">
        <v>21362</v>
      </c>
      <c r="AC11" s="295"/>
      <c r="AD11" s="324"/>
      <c r="AE11" s="295"/>
      <c r="AF11" s="295"/>
      <c r="AG11" s="295"/>
      <c r="AH11" s="295"/>
      <c r="AI11" s="295">
        <v>19587</v>
      </c>
      <c r="AJ11" s="295">
        <v>19587</v>
      </c>
      <c r="AK11" s="295">
        <v>8103</v>
      </c>
      <c r="AL11" s="295"/>
      <c r="AM11" s="295"/>
      <c r="AN11" s="295"/>
      <c r="AO11" s="295"/>
      <c r="AP11" s="295"/>
      <c r="AQ11" s="295"/>
      <c r="AR11" s="295"/>
      <c r="AS11" s="295"/>
    </row>
    <row r="12" spans="1:45" ht="15" customHeight="1" x14ac:dyDescent="0.3">
      <c r="A12" s="363"/>
      <c r="B12" s="1"/>
      <c r="C12" s="364"/>
      <c r="D12" s="365"/>
      <c r="E12" s="290" t="s">
        <v>392</v>
      </c>
      <c r="F12" s="299"/>
      <c r="G12" s="290" t="s">
        <v>38</v>
      </c>
      <c r="H12" s="36" t="str">
        <f xml:space="preserve"> Sources!I$39</f>
        <v>M</v>
      </c>
      <c r="I12" s="290">
        <f t="shared" si="0"/>
        <v>25209</v>
      </c>
      <c r="J12" s="42"/>
      <c r="K12" s="295"/>
      <c r="L12" s="295"/>
      <c r="M12" s="295"/>
      <c r="N12" s="295"/>
      <c r="O12" s="295"/>
      <c r="P12" s="295"/>
      <c r="Q12" s="295"/>
      <c r="R12" s="296"/>
      <c r="S12" s="295"/>
      <c r="T12" s="295"/>
      <c r="U12" s="296"/>
      <c r="V12" s="295">
        <v>735</v>
      </c>
      <c r="W12" s="295">
        <v>4026</v>
      </c>
      <c r="X12" s="295">
        <v>3910</v>
      </c>
      <c r="Y12" s="295">
        <v>3656</v>
      </c>
      <c r="Z12" s="295">
        <v>1848</v>
      </c>
      <c r="AA12" s="295">
        <v>2275</v>
      </c>
      <c r="AB12" s="295">
        <v>3507</v>
      </c>
      <c r="AC12" s="368"/>
      <c r="AD12" s="295"/>
      <c r="AE12" s="295"/>
      <c r="AF12" s="295"/>
      <c r="AG12" s="295"/>
      <c r="AH12" s="295"/>
      <c r="AI12" s="295">
        <v>2176</v>
      </c>
      <c r="AJ12" s="295">
        <v>2176</v>
      </c>
      <c r="AK12" s="295">
        <v>900</v>
      </c>
      <c r="AL12" s="295"/>
      <c r="AM12" s="295"/>
      <c r="AN12" s="295"/>
      <c r="AO12" s="295"/>
      <c r="AP12" s="295"/>
      <c r="AQ12" s="295"/>
      <c r="AR12" s="295"/>
      <c r="AS12" s="295"/>
    </row>
    <row r="13" spans="1:45" ht="15" customHeight="1" x14ac:dyDescent="0.3">
      <c r="A13" s="363"/>
      <c r="B13" s="1"/>
      <c r="C13" s="364"/>
      <c r="D13" s="365"/>
      <c r="E13" s="290" t="s">
        <v>393</v>
      </c>
      <c r="F13" s="299"/>
      <c r="G13" s="290" t="s">
        <v>38</v>
      </c>
      <c r="H13" s="36" t="str">
        <f xml:space="preserve"> Sources!I$39</f>
        <v>M</v>
      </c>
      <c r="I13" s="290">
        <f t="shared" si="0"/>
        <v>372689</v>
      </c>
      <c r="J13" s="42"/>
      <c r="K13" s="295"/>
      <c r="L13" s="295"/>
      <c r="M13" s="295"/>
      <c r="N13" s="295"/>
      <c r="O13" s="295"/>
      <c r="P13" s="295"/>
      <c r="Q13" s="295"/>
      <c r="R13" s="295"/>
      <c r="S13" s="295"/>
      <c r="T13" s="295"/>
      <c r="U13" s="295"/>
      <c r="V13" s="366">
        <v>22146</v>
      </c>
      <c r="W13" s="366">
        <v>71511</v>
      </c>
      <c r="X13" s="366">
        <v>61170</v>
      </c>
      <c r="Y13" s="366">
        <v>36712</v>
      </c>
      <c r="Z13" s="366">
        <v>116222</v>
      </c>
      <c r="AA13" s="366">
        <v>40314</v>
      </c>
      <c r="AB13" s="366">
        <v>24614</v>
      </c>
      <c r="AC13" s="295"/>
      <c r="AD13" s="295"/>
      <c r="AE13" s="295"/>
      <c r="AF13" s="295"/>
      <c r="AG13" s="295"/>
      <c r="AH13" s="295"/>
      <c r="AI13" s="295"/>
      <c r="AJ13" s="295"/>
      <c r="AK13" s="295"/>
      <c r="AL13" s="295"/>
      <c r="AM13" s="295"/>
      <c r="AN13" s="295"/>
      <c r="AO13" s="295"/>
      <c r="AP13" s="295"/>
      <c r="AQ13" s="295"/>
      <c r="AR13" s="295"/>
      <c r="AS13" s="295"/>
    </row>
    <row r="14" spans="1:45" ht="15" customHeight="1" x14ac:dyDescent="0.3">
      <c r="A14" s="363"/>
      <c r="B14" s="1"/>
      <c r="C14" s="364"/>
      <c r="D14" s="365"/>
      <c r="E14" s="290" t="s">
        <v>394</v>
      </c>
      <c r="F14" s="299"/>
      <c r="G14" s="290" t="s">
        <v>38</v>
      </c>
      <c r="H14" s="36" t="str">
        <f xml:space="preserve"> Sources!I$39</f>
        <v>M</v>
      </c>
      <c r="I14" s="290">
        <f t="shared" si="0"/>
        <v>42057</v>
      </c>
      <c r="J14" s="42"/>
      <c r="K14" s="295"/>
      <c r="L14" s="295"/>
      <c r="M14" s="295"/>
      <c r="N14" s="295"/>
      <c r="O14" s="295"/>
      <c r="P14" s="295"/>
      <c r="Q14" s="295"/>
      <c r="R14" s="295"/>
      <c r="S14" s="295"/>
      <c r="T14" s="295"/>
      <c r="U14" s="295"/>
      <c r="V14" s="295">
        <v>5003</v>
      </c>
      <c r="W14" s="295">
        <v>7379</v>
      </c>
      <c r="X14" s="295">
        <v>5794</v>
      </c>
      <c r="Y14" s="295">
        <v>1079</v>
      </c>
      <c r="Z14" s="295">
        <v>12902</v>
      </c>
      <c r="AA14" s="295">
        <v>8220</v>
      </c>
      <c r="AB14" s="295">
        <v>1680</v>
      </c>
      <c r="AC14" s="295"/>
      <c r="AD14" s="295"/>
      <c r="AE14" s="295"/>
      <c r="AF14" s="295"/>
      <c r="AG14" s="295"/>
      <c r="AH14" s="295"/>
      <c r="AI14" s="295"/>
      <c r="AJ14" s="295"/>
      <c r="AK14" s="295"/>
      <c r="AL14" s="295"/>
      <c r="AM14" s="295"/>
      <c r="AN14" s="295"/>
      <c r="AO14" s="295"/>
      <c r="AP14" s="295"/>
      <c r="AQ14" s="295"/>
      <c r="AR14" s="295"/>
      <c r="AS14" s="295"/>
    </row>
    <row r="15" spans="1:45" ht="15" customHeight="1" x14ac:dyDescent="0.3">
      <c r="A15" s="363"/>
      <c r="B15" s="1"/>
      <c r="C15" s="364"/>
      <c r="D15" s="290"/>
      <c r="E15" s="290"/>
      <c r="F15" s="290"/>
      <c r="G15" s="290"/>
      <c r="H15" s="325"/>
      <c r="I15" s="290"/>
      <c r="J15" s="42"/>
      <c r="K15" s="290"/>
      <c r="L15" s="290"/>
      <c r="M15" s="290"/>
      <c r="N15" s="290"/>
      <c r="O15" s="290"/>
      <c r="P15" s="290"/>
      <c r="Q15" s="290"/>
      <c r="R15" s="290"/>
      <c r="S15" s="290"/>
      <c r="T15" s="290"/>
      <c r="U15" s="290"/>
      <c r="V15" s="290"/>
      <c r="W15" s="290"/>
      <c r="X15" s="290"/>
      <c r="Y15" s="290"/>
      <c r="Z15" s="290"/>
      <c r="AA15" s="290"/>
      <c r="AB15" s="290"/>
      <c r="AC15" s="290"/>
      <c r="AD15" s="290"/>
      <c r="AE15" s="290"/>
      <c r="AF15" s="290"/>
      <c r="AG15" s="290"/>
      <c r="AH15" s="290"/>
      <c r="AI15" s="290"/>
      <c r="AJ15" s="290"/>
      <c r="AK15" s="290"/>
      <c r="AL15" s="290"/>
      <c r="AM15" s="290"/>
      <c r="AN15" s="290"/>
      <c r="AO15" s="290"/>
      <c r="AP15" s="290"/>
      <c r="AQ15" s="290"/>
      <c r="AR15" s="290"/>
      <c r="AS15" s="290"/>
    </row>
    <row r="16" spans="1:45" ht="15" customHeight="1" x14ac:dyDescent="0.3">
      <c r="A16" s="167"/>
      <c r="B16" s="1"/>
      <c r="C16" s="364"/>
      <c r="D16" s="365"/>
      <c r="E16" s="290" t="s">
        <v>395</v>
      </c>
      <c r="F16" s="299"/>
      <c r="G16" s="290" t="s">
        <v>38</v>
      </c>
      <c r="H16" s="36" t="str">
        <f xml:space="preserve"> Sources!I$39</f>
        <v>M</v>
      </c>
      <c r="I16" s="290">
        <f t="shared" si="0"/>
        <v>10015.26</v>
      </c>
      <c r="J16" s="42"/>
      <c r="K16" s="295"/>
      <c r="L16" s="295"/>
      <c r="M16" s="295"/>
      <c r="N16" s="295"/>
      <c r="O16" s="295"/>
      <c r="P16" s="295"/>
      <c r="Q16" s="295"/>
      <c r="R16" s="295"/>
      <c r="S16" s="295"/>
      <c r="T16" s="295"/>
      <c r="U16" s="295"/>
      <c r="V16" s="295"/>
      <c r="W16" s="295"/>
      <c r="X16" s="295">
        <v>708.03</v>
      </c>
      <c r="Y16" s="295">
        <v>1423.08</v>
      </c>
      <c r="Z16" s="295">
        <v>1606.93</v>
      </c>
      <c r="AA16" s="295">
        <v>2506.1799999999998</v>
      </c>
      <c r="AB16" s="295">
        <v>1678.94</v>
      </c>
      <c r="AC16" s="295"/>
      <c r="AD16" s="295"/>
      <c r="AE16" s="295"/>
      <c r="AF16" s="295"/>
      <c r="AG16" s="295"/>
      <c r="AH16" s="295"/>
      <c r="AI16" s="295"/>
      <c r="AJ16" s="295">
        <v>1479.91</v>
      </c>
      <c r="AK16" s="295">
        <v>612.19000000000005</v>
      </c>
      <c r="AL16" s="167"/>
      <c r="AM16" s="167"/>
      <c r="AN16" s="167"/>
      <c r="AO16" s="167"/>
      <c r="AP16" s="167"/>
      <c r="AQ16" s="167"/>
      <c r="AR16" s="167"/>
      <c r="AS16" s="167"/>
    </row>
    <row r="17" spans="1:45" ht="15" customHeight="1" x14ac:dyDescent="0.3">
      <c r="A17" s="369"/>
      <c r="B17" s="1"/>
      <c r="C17" s="370"/>
      <c r="D17" s="371"/>
      <c r="E17" s="321"/>
      <c r="F17" s="299"/>
      <c r="G17" s="321"/>
      <c r="H17" s="243"/>
      <c r="I17" s="321"/>
      <c r="J17" s="246"/>
      <c r="K17" s="299"/>
      <c r="L17" s="299"/>
      <c r="M17" s="299"/>
      <c r="N17" s="299"/>
      <c r="O17" s="299"/>
      <c r="P17" s="299"/>
      <c r="Q17" s="299"/>
      <c r="R17" s="299"/>
      <c r="S17" s="299"/>
      <c r="T17" s="299"/>
      <c r="U17" s="299"/>
      <c r="V17" s="299"/>
      <c r="W17" s="299"/>
      <c r="X17" s="299"/>
      <c r="Y17" s="299"/>
      <c r="Z17" s="299"/>
      <c r="AA17" s="299"/>
      <c r="AB17" s="299"/>
      <c r="AC17" s="299"/>
      <c r="AD17" s="299"/>
      <c r="AE17" s="299"/>
      <c r="AF17" s="299"/>
      <c r="AG17" s="299"/>
      <c r="AH17" s="299"/>
      <c r="AI17" s="299"/>
      <c r="AJ17" s="299"/>
      <c r="AK17" s="299"/>
      <c r="AL17" s="369"/>
      <c r="AM17" s="369"/>
      <c r="AN17" s="369"/>
      <c r="AO17" s="369"/>
      <c r="AP17" s="369"/>
      <c r="AQ17" s="369"/>
      <c r="AR17" s="369"/>
      <c r="AS17" s="369"/>
    </row>
    <row r="18" spans="1:45" ht="15" customHeight="1" x14ac:dyDescent="0.3">
      <c r="A18" s="214"/>
      <c r="B18" s="1"/>
      <c r="C18" s="372"/>
      <c r="D18" s="373"/>
      <c r="E18" s="293" t="s">
        <v>481</v>
      </c>
      <c r="F18" s="301">
        <v>939749</v>
      </c>
      <c r="G18" s="293" t="s">
        <v>38</v>
      </c>
      <c r="H18" s="36" t="str">
        <f xml:space="preserve"> Sources!I$39</f>
        <v>M</v>
      </c>
      <c r="I18" s="323"/>
      <c r="J18" s="243"/>
      <c r="K18" s="294"/>
      <c r="L18" s="294"/>
      <c r="M18" s="294"/>
      <c r="N18" s="294"/>
      <c r="O18" s="294"/>
      <c r="P18" s="294"/>
      <c r="Q18" s="294"/>
      <c r="R18" s="294"/>
      <c r="S18" s="294"/>
      <c r="T18" s="294"/>
      <c r="U18" s="294"/>
      <c r="V18" s="294"/>
      <c r="W18" s="294"/>
      <c r="X18" s="294"/>
      <c r="Y18" s="294"/>
      <c r="Z18" s="294"/>
      <c r="AA18" s="294"/>
      <c r="AB18" s="294"/>
      <c r="AC18" s="294"/>
      <c r="AD18" s="294"/>
      <c r="AE18" s="294"/>
      <c r="AF18" s="294"/>
      <c r="AG18" s="294"/>
      <c r="AH18" s="294"/>
      <c r="AI18" s="294"/>
      <c r="AJ18" s="294"/>
      <c r="AK18" s="294"/>
      <c r="AL18" s="214"/>
      <c r="AM18" s="214"/>
      <c r="AN18" s="214"/>
      <c r="AO18" s="214"/>
      <c r="AP18" s="214"/>
      <c r="AQ18" s="214"/>
      <c r="AR18" s="214"/>
      <c r="AS18" s="214"/>
    </row>
    <row r="19" spans="1:45" ht="15" customHeight="1" x14ac:dyDescent="0.3">
      <c r="A19" s="214"/>
      <c r="B19" s="1"/>
      <c r="C19" s="372"/>
      <c r="D19" s="373"/>
      <c r="E19" s="293" t="s">
        <v>482</v>
      </c>
      <c r="F19" s="301">
        <v>364525</v>
      </c>
      <c r="G19" s="293" t="s">
        <v>38</v>
      </c>
      <c r="H19" s="36" t="str">
        <f xml:space="preserve"> Sources!I$39</f>
        <v>M</v>
      </c>
      <c r="I19" s="323"/>
      <c r="J19" s="243"/>
      <c r="K19" s="294"/>
      <c r="L19" s="294"/>
      <c r="M19" s="294"/>
      <c r="N19" s="294"/>
      <c r="O19" s="294"/>
      <c r="P19" s="294"/>
      <c r="Q19" s="294"/>
      <c r="R19" s="294"/>
      <c r="S19" s="294"/>
      <c r="T19" s="294"/>
      <c r="U19" s="294"/>
      <c r="V19" s="294"/>
      <c r="W19" s="294"/>
      <c r="X19" s="294"/>
      <c r="Y19" s="294"/>
      <c r="Z19" s="294"/>
      <c r="AA19" s="294"/>
      <c r="AB19" s="294"/>
      <c r="AC19" s="294"/>
      <c r="AD19" s="294"/>
      <c r="AE19" s="294"/>
      <c r="AF19" s="294"/>
      <c r="AG19" s="294"/>
      <c r="AH19" s="294"/>
      <c r="AI19" s="294"/>
      <c r="AJ19" s="294"/>
      <c r="AK19" s="294"/>
      <c r="AL19" s="214"/>
      <c r="AM19" s="214"/>
      <c r="AN19" s="214"/>
      <c r="AO19" s="214"/>
      <c r="AP19" s="214"/>
      <c r="AQ19" s="214"/>
      <c r="AR19" s="214"/>
      <c r="AS19" s="214"/>
    </row>
    <row r="20" spans="1:45" ht="15" customHeight="1" x14ac:dyDescent="0.3">
      <c r="A20" s="214"/>
      <c r="B20" s="1"/>
      <c r="C20" s="372"/>
      <c r="D20" s="373"/>
      <c r="E20" s="293" t="s">
        <v>483</v>
      </c>
      <c r="F20" s="301">
        <v>40880</v>
      </c>
      <c r="G20" s="293" t="s">
        <v>38</v>
      </c>
      <c r="H20" s="36" t="str">
        <f xml:space="preserve"> Sources!I$39</f>
        <v>M</v>
      </c>
      <c r="I20" s="323"/>
      <c r="J20" s="243"/>
      <c r="K20" s="294"/>
      <c r="L20" s="294"/>
      <c r="M20" s="294"/>
      <c r="N20" s="294"/>
      <c r="O20" s="294"/>
      <c r="P20" s="294"/>
      <c r="Q20" s="294"/>
      <c r="R20" s="294"/>
      <c r="S20" s="294"/>
      <c r="T20" s="294"/>
      <c r="U20" s="294"/>
      <c r="V20" s="294"/>
      <c r="W20" s="294"/>
      <c r="X20" s="294"/>
      <c r="Y20" s="294"/>
      <c r="Z20" s="294"/>
      <c r="AA20" s="294"/>
      <c r="AB20" s="294"/>
      <c r="AC20" s="294"/>
      <c r="AD20" s="294"/>
      <c r="AE20" s="294"/>
      <c r="AF20" s="294"/>
      <c r="AG20" s="294"/>
      <c r="AH20" s="294"/>
      <c r="AI20" s="294"/>
      <c r="AJ20" s="294"/>
      <c r="AK20" s="294"/>
      <c r="AL20" s="214"/>
      <c r="AM20" s="214"/>
      <c r="AN20" s="214"/>
      <c r="AO20" s="214"/>
      <c r="AP20" s="214"/>
      <c r="AQ20" s="214"/>
      <c r="AR20" s="214"/>
      <c r="AS20" s="214"/>
    </row>
    <row r="21" spans="1:45" ht="15" customHeight="1" x14ac:dyDescent="0.3">
      <c r="A21" s="214"/>
      <c r="B21" s="1"/>
      <c r="C21" s="372"/>
      <c r="D21" s="373"/>
      <c r="E21" s="293" t="s">
        <v>484</v>
      </c>
      <c r="F21" s="301">
        <v>372689</v>
      </c>
      <c r="G21" s="293" t="s">
        <v>38</v>
      </c>
      <c r="H21" s="36" t="str">
        <f xml:space="preserve"> Sources!I$39</f>
        <v>M</v>
      </c>
      <c r="I21" s="323"/>
      <c r="J21" s="243"/>
      <c r="K21" s="294"/>
      <c r="L21" s="294"/>
      <c r="M21" s="294"/>
      <c r="N21" s="294"/>
      <c r="O21" s="294"/>
      <c r="P21" s="294"/>
      <c r="Q21" s="294"/>
      <c r="R21" s="294"/>
      <c r="S21" s="294"/>
      <c r="T21" s="294"/>
      <c r="U21" s="294"/>
      <c r="V21" s="294"/>
      <c r="W21" s="294"/>
      <c r="X21" s="294"/>
      <c r="Y21" s="294"/>
      <c r="Z21" s="294"/>
      <c r="AA21" s="294"/>
      <c r="AB21" s="294"/>
      <c r="AC21" s="294"/>
      <c r="AD21" s="294"/>
      <c r="AE21" s="294"/>
      <c r="AF21" s="294"/>
      <c r="AG21" s="294"/>
      <c r="AH21" s="294"/>
      <c r="AI21" s="294"/>
      <c r="AJ21" s="294"/>
      <c r="AK21" s="294"/>
      <c r="AL21" s="214"/>
      <c r="AM21" s="214"/>
      <c r="AN21" s="214"/>
      <c r="AO21" s="214"/>
      <c r="AP21" s="214"/>
      <c r="AQ21" s="214"/>
      <c r="AR21" s="214"/>
      <c r="AS21" s="214"/>
    </row>
    <row r="22" spans="1:45" ht="15" customHeight="1" x14ac:dyDescent="0.3">
      <c r="A22" s="214"/>
      <c r="B22" s="1"/>
      <c r="C22" s="372"/>
      <c r="D22" s="373"/>
      <c r="E22" s="293" t="s">
        <v>485</v>
      </c>
      <c r="F22" s="301">
        <v>50936</v>
      </c>
      <c r="G22" s="293" t="s">
        <v>38</v>
      </c>
      <c r="H22" s="36" t="str">
        <f xml:space="preserve"> Sources!I$39</f>
        <v>M</v>
      </c>
      <c r="I22" s="323"/>
      <c r="J22" s="243"/>
      <c r="K22" s="294"/>
      <c r="L22" s="294"/>
      <c r="M22" s="294"/>
      <c r="N22" s="294"/>
      <c r="O22" s="294"/>
      <c r="P22" s="294"/>
      <c r="Q22" s="294"/>
      <c r="R22" s="294"/>
      <c r="S22" s="294"/>
      <c r="T22" s="294"/>
      <c r="U22" s="294"/>
      <c r="V22" s="294"/>
      <c r="W22" s="294"/>
      <c r="X22" s="294"/>
      <c r="Y22" s="294"/>
      <c r="Z22" s="294"/>
      <c r="AA22" s="294"/>
      <c r="AB22" s="294"/>
      <c r="AC22" s="294"/>
      <c r="AD22" s="294"/>
      <c r="AE22" s="294"/>
      <c r="AF22" s="294"/>
      <c r="AG22" s="294"/>
      <c r="AH22" s="294"/>
      <c r="AI22" s="294"/>
      <c r="AJ22" s="294"/>
      <c r="AK22" s="294"/>
      <c r="AL22" s="214"/>
      <c r="AM22" s="214"/>
      <c r="AN22" s="214"/>
      <c r="AO22" s="214"/>
      <c r="AP22" s="214"/>
      <c r="AQ22" s="214"/>
      <c r="AR22" s="214"/>
      <c r="AS22" s="214"/>
    </row>
    <row r="23" spans="1:45" ht="15" customHeight="1" x14ac:dyDescent="0.3">
      <c r="A23" s="214"/>
      <c r="B23" s="1"/>
      <c r="C23" s="372"/>
      <c r="D23" s="373"/>
      <c r="E23" s="293"/>
      <c r="F23" s="293"/>
      <c r="G23" s="293"/>
      <c r="H23" s="325"/>
      <c r="I23" s="323"/>
      <c r="J23" s="243"/>
      <c r="K23" s="294"/>
      <c r="L23" s="294"/>
      <c r="M23" s="294"/>
      <c r="N23" s="294"/>
      <c r="O23" s="294"/>
      <c r="P23" s="294"/>
      <c r="Q23" s="294"/>
      <c r="R23" s="294"/>
      <c r="S23" s="294"/>
      <c r="T23" s="294"/>
      <c r="U23" s="294"/>
      <c r="V23" s="294"/>
      <c r="W23" s="294"/>
      <c r="X23" s="294"/>
      <c r="Y23" s="294"/>
      <c r="Z23" s="294"/>
      <c r="AA23" s="294"/>
      <c r="AB23" s="294"/>
      <c r="AC23" s="294"/>
      <c r="AD23" s="294"/>
      <c r="AE23" s="294"/>
      <c r="AF23" s="294"/>
      <c r="AG23" s="294"/>
      <c r="AH23" s="294"/>
      <c r="AI23" s="294"/>
      <c r="AJ23" s="294"/>
      <c r="AK23" s="294"/>
      <c r="AL23" s="214"/>
      <c r="AM23" s="214"/>
      <c r="AN23" s="214"/>
      <c r="AO23" s="214"/>
      <c r="AP23" s="214"/>
      <c r="AQ23" s="214"/>
      <c r="AR23" s="214"/>
      <c r="AS23" s="214"/>
    </row>
    <row r="24" spans="1:45" ht="15" customHeight="1" x14ac:dyDescent="0.3">
      <c r="A24" s="214"/>
      <c r="B24" s="1"/>
      <c r="C24" s="372"/>
      <c r="D24" s="373"/>
      <c r="E24" s="293" t="s">
        <v>486</v>
      </c>
      <c r="F24" s="301">
        <v>22151</v>
      </c>
      <c r="G24" s="293" t="s">
        <v>38</v>
      </c>
      <c r="H24" s="36" t="str">
        <f xml:space="preserve"> Sources!I$39</f>
        <v>M</v>
      </c>
      <c r="I24" s="323"/>
      <c r="J24" s="243"/>
      <c r="K24" s="294"/>
      <c r="L24" s="294"/>
      <c r="M24" s="294"/>
      <c r="N24" s="294"/>
      <c r="O24" s="294"/>
      <c r="P24" s="294"/>
      <c r="Q24" s="294"/>
      <c r="R24" s="294"/>
      <c r="S24" s="294"/>
      <c r="T24" s="294"/>
      <c r="U24" s="294"/>
      <c r="V24" s="294"/>
      <c r="W24" s="294"/>
      <c r="X24" s="294"/>
      <c r="Y24" s="294"/>
      <c r="Z24" s="294"/>
      <c r="AA24" s="294"/>
      <c r="AB24" s="294"/>
      <c r="AC24" s="294"/>
      <c r="AD24" s="294"/>
      <c r="AE24" s="294"/>
      <c r="AF24" s="294"/>
      <c r="AG24" s="294"/>
      <c r="AH24" s="294"/>
      <c r="AI24" s="294"/>
      <c r="AJ24" s="294"/>
      <c r="AK24" s="294"/>
      <c r="AL24" s="214"/>
      <c r="AM24" s="214"/>
      <c r="AN24" s="214"/>
      <c r="AO24" s="214"/>
      <c r="AP24" s="214"/>
      <c r="AQ24" s="214"/>
      <c r="AR24" s="214"/>
      <c r="AS24" s="214"/>
    </row>
    <row r="25" spans="1:45" ht="15" customHeight="1" x14ac:dyDescent="0.3">
      <c r="B25" s="1"/>
    </row>
    <row r="26" spans="1:45" ht="15" customHeight="1" x14ac:dyDescent="0.3">
      <c r="B26" s="1" t="s">
        <v>380</v>
      </c>
    </row>
    <row r="27" spans="1:45" ht="15" customHeight="1" x14ac:dyDescent="0.3">
      <c r="B27" s="1"/>
      <c r="C27" s="2" t="s">
        <v>388</v>
      </c>
    </row>
    <row r="28" spans="1:45" ht="15" customHeight="1" x14ac:dyDescent="0.3">
      <c r="A28" s="143"/>
      <c r="B28" s="1"/>
      <c r="C28" s="375"/>
      <c r="D28" s="376"/>
      <c r="E28" s="293" t="s">
        <v>546</v>
      </c>
      <c r="F28" s="293"/>
      <c r="G28" s="293" t="s">
        <v>487</v>
      </c>
      <c r="H28" s="36" t="str">
        <f xml:space="preserve"> Sources!I$39</f>
        <v>M</v>
      </c>
      <c r="I28" s="293"/>
      <c r="J28" s="36"/>
      <c r="K28" s="301"/>
      <c r="L28" s="301"/>
      <c r="M28" s="301"/>
      <c r="N28" s="301"/>
      <c r="O28" s="301"/>
      <c r="P28" s="301"/>
      <c r="Q28" s="301"/>
      <c r="R28" s="301"/>
      <c r="S28" s="301"/>
      <c r="T28" s="301"/>
      <c r="U28" s="301"/>
      <c r="V28" s="301">
        <v>5370</v>
      </c>
      <c r="W28" s="301">
        <v>6009</v>
      </c>
      <c r="X28" s="301">
        <v>5535</v>
      </c>
      <c r="Y28" s="301">
        <v>5998</v>
      </c>
      <c r="Z28" s="301">
        <v>8360</v>
      </c>
      <c r="AA28" s="301">
        <v>6819</v>
      </c>
      <c r="AB28" s="301">
        <v>8000</v>
      </c>
      <c r="AC28" s="301">
        <v>8000</v>
      </c>
      <c r="AD28" s="301">
        <v>8000</v>
      </c>
      <c r="AE28" s="301">
        <v>8000</v>
      </c>
      <c r="AF28" s="301">
        <v>8000</v>
      </c>
      <c r="AG28" s="301">
        <v>8000</v>
      </c>
      <c r="AH28" s="301">
        <v>8000</v>
      </c>
      <c r="AI28" s="301">
        <v>8000</v>
      </c>
      <c r="AJ28" s="301">
        <v>8000</v>
      </c>
      <c r="AK28" s="301">
        <v>8000</v>
      </c>
      <c r="AL28" s="301"/>
      <c r="AM28" s="301"/>
      <c r="AN28" s="301"/>
      <c r="AO28" s="301"/>
      <c r="AP28" s="301"/>
      <c r="AQ28" s="301"/>
      <c r="AR28" s="301"/>
      <c r="AS28" s="301"/>
    </row>
    <row r="29" spans="1:45" ht="15" customHeight="1" x14ac:dyDescent="0.3">
      <c r="A29" s="143"/>
      <c r="B29" s="1"/>
      <c r="C29" s="375"/>
      <c r="D29" s="376"/>
      <c r="E29" s="293" t="s">
        <v>414</v>
      </c>
      <c r="F29" s="293"/>
      <c r="G29" s="293" t="s">
        <v>487</v>
      </c>
      <c r="H29" s="36" t="str">
        <f xml:space="preserve"> Sources!I$39</f>
        <v>M</v>
      </c>
      <c r="I29" s="293"/>
      <c r="J29" s="36"/>
      <c r="K29" s="301"/>
      <c r="L29" s="301"/>
      <c r="M29" s="301"/>
      <c r="N29" s="301"/>
      <c r="O29" s="301"/>
      <c r="P29" s="301"/>
      <c r="Q29" s="301"/>
      <c r="R29" s="301"/>
      <c r="S29" s="301"/>
      <c r="T29" s="301"/>
      <c r="U29" s="301"/>
      <c r="V29" s="301"/>
      <c r="W29" s="301"/>
      <c r="X29" s="301">
        <v>5535</v>
      </c>
      <c r="Y29" s="301">
        <v>5998</v>
      </c>
      <c r="Z29" s="301">
        <v>8360</v>
      </c>
      <c r="AA29" s="301">
        <v>6819</v>
      </c>
      <c r="AB29" s="301">
        <v>8000</v>
      </c>
      <c r="AC29" s="301">
        <v>8000</v>
      </c>
      <c r="AD29" s="301">
        <v>8000</v>
      </c>
      <c r="AE29" s="301">
        <v>8000</v>
      </c>
      <c r="AF29" s="301">
        <v>8000</v>
      </c>
      <c r="AG29" s="301">
        <v>8000</v>
      </c>
      <c r="AH29" s="301">
        <v>8000</v>
      </c>
      <c r="AI29" s="301">
        <v>8000</v>
      </c>
      <c r="AJ29" s="301">
        <v>8000</v>
      </c>
      <c r="AK29" s="301">
        <v>8000</v>
      </c>
      <c r="AL29" s="301"/>
      <c r="AM29" s="301"/>
      <c r="AN29" s="301"/>
      <c r="AO29" s="301"/>
      <c r="AP29" s="301"/>
      <c r="AQ29" s="301"/>
      <c r="AR29" s="301"/>
      <c r="AS29" s="301"/>
    </row>
    <row r="30" spans="1:45" ht="15" customHeight="1" x14ac:dyDescent="0.3">
      <c r="A30" s="143"/>
      <c r="B30" s="1"/>
      <c r="C30" s="375"/>
      <c r="D30" s="376"/>
      <c r="E30" s="293" t="s">
        <v>415</v>
      </c>
      <c r="F30" s="293"/>
      <c r="G30" s="293" t="s">
        <v>487</v>
      </c>
      <c r="H30" s="36" t="str">
        <f xml:space="preserve"> Sources!I$39</f>
        <v>M</v>
      </c>
      <c r="I30" s="293"/>
      <c r="J30" s="36"/>
      <c r="K30" s="301"/>
      <c r="L30" s="301"/>
      <c r="M30" s="301"/>
      <c r="N30" s="301"/>
      <c r="O30" s="301"/>
      <c r="P30" s="301"/>
      <c r="Q30" s="301"/>
      <c r="R30" s="301"/>
      <c r="S30" s="301"/>
      <c r="T30" s="301"/>
      <c r="U30" s="301"/>
      <c r="V30" s="301">
        <v>5354</v>
      </c>
      <c r="W30" s="301">
        <v>5991</v>
      </c>
      <c r="X30" s="301">
        <v>5519</v>
      </c>
      <c r="Y30" s="301">
        <v>5980</v>
      </c>
      <c r="Z30" s="301">
        <v>8335</v>
      </c>
      <c r="AA30" s="301">
        <v>6798</v>
      </c>
      <c r="AB30" s="301">
        <v>7976</v>
      </c>
      <c r="AC30" s="301">
        <v>7976</v>
      </c>
      <c r="AD30" s="301">
        <v>7976</v>
      </c>
      <c r="AE30" s="301">
        <v>7976</v>
      </c>
      <c r="AF30" s="301">
        <v>7976</v>
      </c>
      <c r="AG30" s="301">
        <v>7976</v>
      </c>
      <c r="AH30" s="301">
        <v>7976</v>
      </c>
      <c r="AI30" s="301">
        <v>7976</v>
      </c>
      <c r="AJ30" s="301">
        <v>7976</v>
      </c>
      <c r="AK30" s="301">
        <v>7976</v>
      </c>
      <c r="AL30" s="301"/>
      <c r="AM30" s="301"/>
      <c r="AN30" s="301"/>
      <c r="AO30" s="301"/>
      <c r="AP30" s="301"/>
      <c r="AQ30" s="301"/>
      <c r="AR30" s="301"/>
      <c r="AS30" s="301"/>
    </row>
    <row r="31" spans="1:45" ht="15" customHeight="1" x14ac:dyDescent="0.3">
      <c r="A31" s="143"/>
      <c r="B31" s="1"/>
      <c r="C31" s="375"/>
      <c r="D31" s="376"/>
      <c r="E31" s="293" t="s">
        <v>416</v>
      </c>
      <c r="F31" s="293"/>
      <c r="G31" s="293" t="s">
        <v>487</v>
      </c>
      <c r="H31" s="36" t="str">
        <f xml:space="preserve"> Sources!I$39</f>
        <v>M</v>
      </c>
      <c r="I31" s="293"/>
      <c r="J31" s="36"/>
      <c r="K31" s="301"/>
      <c r="L31" s="301"/>
      <c r="M31" s="301"/>
      <c r="N31" s="301"/>
      <c r="O31" s="301"/>
      <c r="P31" s="301"/>
      <c r="Q31" s="301"/>
      <c r="R31" s="301"/>
      <c r="S31" s="301"/>
      <c r="T31" s="301"/>
      <c r="U31" s="301"/>
      <c r="V31" s="301">
        <v>4296</v>
      </c>
      <c r="W31" s="301">
        <v>4807</v>
      </c>
      <c r="X31" s="301">
        <v>4428</v>
      </c>
      <c r="Y31" s="301">
        <v>4799</v>
      </c>
      <c r="Z31" s="301">
        <v>6688</v>
      </c>
      <c r="AA31" s="301">
        <v>5455</v>
      </c>
      <c r="AB31" s="301">
        <v>6400</v>
      </c>
      <c r="AC31" s="301">
        <v>6400</v>
      </c>
      <c r="AD31" s="301">
        <v>6400</v>
      </c>
      <c r="AE31" s="301">
        <v>6400</v>
      </c>
      <c r="AF31" s="301">
        <v>6400</v>
      </c>
      <c r="AG31" s="301">
        <v>6400</v>
      </c>
      <c r="AH31" s="301">
        <v>6400</v>
      </c>
      <c r="AI31" s="301">
        <v>6400</v>
      </c>
      <c r="AJ31" s="301">
        <v>6400</v>
      </c>
      <c r="AK31" s="301">
        <v>6400</v>
      </c>
      <c r="AL31" s="301"/>
      <c r="AM31" s="301"/>
      <c r="AN31" s="301"/>
      <c r="AO31" s="301"/>
      <c r="AP31" s="301"/>
      <c r="AQ31" s="301"/>
      <c r="AR31" s="301"/>
      <c r="AS31" s="301"/>
    </row>
    <row r="32" spans="1:45" ht="15" customHeight="1" x14ac:dyDescent="0.3">
      <c r="A32" s="143"/>
      <c r="B32" s="1"/>
      <c r="C32" s="375"/>
      <c r="D32" s="376"/>
      <c r="E32" s="293" t="s">
        <v>417</v>
      </c>
      <c r="F32" s="293"/>
      <c r="G32" s="293" t="s">
        <v>487</v>
      </c>
      <c r="H32" s="36" t="str">
        <f xml:space="preserve"> Sources!I$39</f>
        <v>M</v>
      </c>
      <c r="I32" s="293"/>
      <c r="J32" s="36"/>
      <c r="K32" s="329"/>
      <c r="L32" s="329"/>
      <c r="M32" s="329"/>
      <c r="N32" s="329"/>
      <c r="O32" s="329"/>
      <c r="P32" s="329"/>
      <c r="Q32" s="329"/>
      <c r="R32" s="329"/>
      <c r="S32" s="329"/>
      <c r="T32" s="329"/>
      <c r="U32" s="329"/>
      <c r="V32" s="329">
        <v>1123</v>
      </c>
      <c r="W32" s="329">
        <v>833</v>
      </c>
      <c r="X32" s="329">
        <v>815</v>
      </c>
      <c r="Y32" s="329">
        <v>2096</v>
      </c>
      <c r="Z32" s="329">
        <v>2447</v>
      </c>
      <c r="AA32" s="329">
        <v>6001</v>
      </c>
      <c r="AB32" s="329">
        <v>7040</v>
      </c>
      <c r="AC32" s="329">
        <v>7040</v>
      </c>
      <c r="AD32" s="329">
        <v>7040</v>
      </c>
      <c r="AE32" s="329">
        <v>7040</v>
      </c>
      <c r="AF32" s="329">
        <v>7040</v>
      </c>
      <c r="AG32" s="329">
        <v>7040</v>
      </c>
      <c r="AH32" s="329">
        <v>7040</v>
      </c>
      <c r="AI32" s="329">
        <v>7040</v>
      </c>
      <c r="AJ32" s="329">
        <v>7040</v>
      </c>
      <c r="AK32" s="329">
        <v>7040</v>
      </c>
      <c r="AL32" s="329"/>
      <c r="AM32" s="329"/>
      <c r="AN32" s="329"/>
      <c r="AO32" s="329"/>
      <c r="AP32" s="329"/>
      <c r="AQ32" s="329"/>
      <c r="AR32" s="329"/>
      <c r="AS32" s="329"/>
    </row>
    <row r="33" spans="1:45" ht="15" customHeight="1" x14ac:dyDescent="0.3">
      <c r="A33" s="143"/>
      <c r="B33" s="1"/>
      <c r="C33" s="375"/>
      <c r="D33" s="376"/>
      <c r="E33" s="293" t="s">
        <v>418</v>
      </c>
      <c r="F33" s="293"/>
      <c r="G33" s="293" t="s">
        <v>487</v>
      </c>
      <c r="H33" s="36" t="str">
        <f xml:space="preserve"> Sources!I$39</f>
        <v>M</v>
      </c>
      <c r="I33" s="293"/>
      <c r="J33" s="36"/>
      <c r="K33" s="301"/>
      <c r="L33" s="301"/>
      <c r="M33" s="301"/>
      <c r="N33" s="301"/>
      <c r="O33" s="301"/>
      <c r="P33" s="301"/>
      <c r="Q33" s="301"/>
      <c r="R33" s="301"/>
      <c r="S33" s="301"/>
      <c r="T33" s="301"/>
      <c r="U33" s="301"/>
      <c r="V33" s="301">
        <v>2685</v>
      </c>
      <c r="W33" s="301">
        <v>3005</v>
      </c>
      <c r="X33" s="301">
        <v>2768</v>
      </c>
      <c r="Y33" s="301">
        <v>2999</v>
      </c>
      <c r="Z33" s="301">
        <v>4180</v>
      </c>
      <c r="AA33" s="301">
        <v>3409</v>
      </c>
      <c r="AB33" s="301">
        <v>4000</v>
      </c>
      <c r="AC33" s="301">
        <v>4000</v>
      </c>
      <c r="AD33" s="301">
        <v>4000</v>
      </c>
      <c r="AE33" s="301">
        <v>4000</v>
      </c>
      <c r="AF33" s="301">
        <v>4000</v>
      </c>
      <c r="AG33" s="301">
        <v>4000</v>
      </c>
      <c r="AH33" s="301">
        <v>4000</v>
      </c>
      <c r="AI33" s="301">
        <v>4000</v>
      </c>
      <c r="AJ33" s="301">
        <v>4000</v>
      </c>
      <c r="AK33" s="301">
        <v>4000</v>
      </c>
      <c r="AL33" s="301"/>
      <c r="AM33" s="301"/>
      <c r="AN33" s="301"/>
      <c r="AO33" s="301"/>
      <c r="AP33" s="301"/>
      <c r="AQ33" s="301"/>
      <c r="AR33" s="301"/>
      <c r="AS33" s="301"/>
    </row>
    <row r="34" spans="1:45" ht="15" customHeight="1" x14ac:dyDescent="0.3">
      <c r="A34" s="143"/>
      <c r="B34" s="1"/>
      <c r="C34" s="375"/>
      <c r="D34" s="376"/>
      <c r="E34" s="293"/>
      <c r="F34" s="293"/>
      <c r="G34" s="293"/>
      <c r="H34" s="377"/>
      <c r="I34" s="293"/>
      <c r="J34" s="36"/>
      <c r="K34" s="294"/>
      <c r="L34" s="294"/>
      <c r="M34" s="294"/>
      <c r="N34" s="294"/>
      <c r="O34" s="294"/>
      <c r="P34" s="294"/>
      <c r="Q34" s="294"/>
      <c r="R34" s="294"/>
      <c r="S34" s="294"/>
      <c r="T34" s="294"/>
      <c r="U34" s="294"/>
      <c r="V34" s="294"/>
      <c r="W34" s="294"/>
      <c r="X34" s="294"/>
      <c r="Y34" s="294"/>
      <c r="Z34" s="294"/>
      <c r="AA34" s="294"/>
      <c r="AB34" s="294"/>
      <c r="AC34" s="294"/>
      <c r="AD34" s="294"/>
      <c r="AE34" s="294"/>
      <c r="AF34" s="294"/>
      <c r="AG34" s="294"/>
      <c r="AH34" s="294"/>
      <c r="AI34" s="294"/>
      <c r="AJ34" s="294"/>
      <c r="AK34" s="294"/>
      <c r="AL34" s="294"/>
      <c r="AM34" s="294"/>
      <c r="AN34" s="294"/>
      <c r="AO34" s="294"/>
      <c r="AP34" s="294"/>
      <c r="AQ34" s="294"/>
      <c r="AR34" s="294"/>
      <c r="AS34" s="294"/>
    </row>
    <row r="35" spans="1:45" ht="15" customHeight="1" x14ac:dyDescent="0.3">
      <c r="A35" s="143"/>
      <c r="B35" s="1"/>
      <c r="C35" s="375"/>
      <c r="D35" s="376"/>
      <c r="E35" s="293" t="s">
        <v>43</v>
      </c>
      <c r="F35" s="293"/>
      <c r="G35" s="293" t="s">
        <v>488</v>
      </c>
      <c r="H35" s="36" t="str">
        <f xml:space="preserve"> Sources!I$39</f>
        <v>M</v>
      </c>
      <c r="I35" s="293"/>
      <c r="J35" s="36"/>
      <c r="K35" s="301"/>
      <c r="L35" s="301"/>
      <c r="M35" s="301"/>
      <c r="N35" s="301"/>
      <c r="O35" s="301"/>
      <c r="P35" s="301"/>
      <c r="Q35" s="301"/>
      <c r="R35" s="301"/>
      <c r="S35" s="301"/>
      <c r="T35" s="301"/>
      <c r="U35" s="301"/>
      <c r="V35" s="301">
        <v>18</v>
      </c>
      <c r="W35" s="301">
        <v>18</v>
      </c>
      <c r="X35" s="301">
        <v>16</v>
      </c>
      <c r="Y35" s="301">
        <v>15</v>
      </c>
      <c r="Z35" s="301">
        <v>24</v>
      </c>
      <c r="AA35" s="301">
        <v>27</v>
      </c>
      <c r="AB35" s="301">
        <v>18</v>
      </c>
      <c r="AC35" s="301">
        <v>18</v>
      </c>
      <c r="AD35" s="301">
        <v>18</v>
      </c>
      <c r="AE35" s="301">
        <v>18</v>
      </c>
      <c r="AF35" s="301">
        <v>18</v>
      </c>
      <c r="AG35" s="301">
        <v>18</v>
      </c>
      <c r="AH35" s="301">
        <v>18</v>
      </c>
      <c r="AI35" s="301">
        <v>18</v>
      </c>
      <c r="AJ35" s="301">
        <v>18</v>
      </c>
      <c r="AK35" s="301">
        <v>18</v>
      </c>
      <c r="AL35" s="301"/>
      <c r="AM35" s="301"/>
      <c r="AN35" s="301"/>
      <c r="AO35" s="301"/>
      <c r="AP35" s="301"/>
      <c r="AQ35" s="301"/>
      <c r="AR35" s="301"/>
      <c r="AS35" s="301"/>
    </row>
    <row r="36" spans="1:45" ht="15" customHeight="1" x14ac:dyDescent="0.3">
      <c r="A36" s="143"/>
      <c r="B36" s="1"/>
      <c r="C36" s="375"/>
      <c r="D36" s="376"/>
      <c r="E36" s="293" t="s">
        <v>274</v>
      </c>
      <c r="F36" s="188">
        <v>0.7</v>
      </c>
      <c r="G36" s="293" t="s">
        <v>34</v>
      </c>
      <c r="H36" s="36" t="str">
        <f xml:space="preserve"> Sources!I$39</f>
        <v>M</v>
      </c>
      <c r="I36" s="293"/>
      <c r="J36" s="36"/>
      <c r="K36" s="143"/>
      <c r="L36" s="143"/>
      <c r="M36" s="143"/>
      <c r="N36" s="143"/>
      <c r="O36" s="143"/>
      <c r="P36" s="143"/>
      <c r="Q36" s="143"/>
      <c r="R36" s="143"/>
      <c r="S36" s="143"/>
      <c r="T36" s="143"/>
      <c r="U36" s="143"/>
      <c r="V36" s="143"/>
      <c r="W36" s="143"/>
      <c r="X36" s="143"/>
      <c r="Y36" s="143"/>
      <c r="Z36" s="143"/>
      <c r="AA36" s="143"/>
      <c r="AB36" s="143"/>
      <c r="AC36" s="143"/>
      <c r="AD36" s="143"/>
      <c r="AE36" s="143"/>
      <c r="AF36" s="143"/>
      <c r="AG36" s="143"/>
      <c r="AH36" s="143"/>
      <c r="AI36" s="143"/>
      <c r="AJ36" s="143"/>
      <c r="AK36" s="143"/>
      <c r="AL36" s="143"/>
      <c r="AM36" s="143"/>
      <c r="AN36" s="143"/>
      <c r="AO36" s="143"/>
      <c r="AP36" s="143"/>
      <c r="AQ36" s="143"/>
      <c r="AR36" s="143"/>
      <c r="AS36" s="143"/>
    </row>
    <row r="37" spans="1:45" ht="15" customHeight="1" x14ac:dyDescent="0.3">
      <c r="B37" s="1"/>
    </row>
    <row r="38" spans="1:45" ht="15" customHeight="1" x14ac:dyDescent="0.3">
      <c r="B38" s="1"/>
    </row>
    <row r="39" spans="1:45" ht="15" customHeight="1" x14ac:dyDescent="0.3">
      <c r="A39" s="139"/>
      <c r="B39" s="1" t="s">
        <v>489</v>
      </c>
      <c r="C39" s="140"/>
      <c r="D39" s="141"/>
      <c r="E39" s="142"/>
      <c r="F39" s="142"/>
      <c r="G39" s="142"/>
      <c r="H39" s="183"/>
      <c r="I39" s="142"/>
      <c r="J39" s="42"/>
      <c r="K39" s="198"/>
      <c r="L39" s="198"/>
      <c r="M39" s="198"/>
      <c r="N39" s="198"/>
      <c r="O39" s="198"/>
      <c r="P39" s="198"/>
      <c r="Q39" s="198"/>
      <c r="R39" s="198"/>
      <c r="S39" s="198"/>
      <c r="T39" s="198"/>
      <c r="U39" s="198"/>
      <c r="V39" s="198"/>
      <c r="W39" s="198"/>
      <c r="X39" s="198"/>
      <c r="Y39" s="198"/>
      <c r="Z39" s="198"/>
      <c r="AA39" s="198"/>
      <c r="AB39" s="198"/>
      <c r="AC39" s="198"/>
      <c r="AD39" s="198"/>
      <c r="AE39" s="198"/>
      <c r="AF39" s="198"/>
      <c r="AG39" s="198"/>
      <c r="AH39" s="198"/>
      <c r="AI39" s="198"/>
      <c r="AJ39" s="198"/>
      <c r="AK39" s="198"/>
      <c r="AL39" s="198"/>
      <c r="AM39" s="198"/>
      <c r="AN39" s="198"/>
      <c r="AO39" s="198"/>
      <c r="AP39" s="198"/>
      <c r="AQ39" s="198"/>
      <c r="AR39" s="198"/>
      <c r="AS39" s="198"/>
    </row>
    <row r="40" spans="1:45" ht="15" customHeight="1" x14ac:dyDescent="0.3">
      <c r="A40" s="139"/>
      <c r="B40" s="1"/>
      <c r="C40" s="2" t="s">
        <v>388</v>
      </c>
      <c r="D40" s="141"/>
      <c r="E40" s="142"/>
      <c r="F40" s="142"/>
      <c r="G40" s="142"/>
      <c r="H40" s="183"/>
      <c r="I40" s="142"/>
      <c r="J40" s="42"/>
      <c r="K40" s="198"/>
      <c r="L40" s="198"/>
      <c r="M40" s="198"/>
      <c r="N40" s="198"/>
      <c r="O40" s="198"/>
      <c r="P40" s="198"/>
      <c r="Q40" s="198"/>
      <c r="R40" s="198"/>
      <c r="S40" s="198"/>
      <c r="T40" s="198"/>
      <c r="U40" s="198"/>
      <c r="V40" s="198"/>
      <c r="W40" s="198"/>
      <c r="X40" s="198"/>
      <c r="Y40" s="198"/>
      <c r="Z40" s="198"/>
      <c r="AA40" s="198"/>
      <c r="AB40" s="198"/>
      <c r="AC40" s="198"/>
      <c r="AD40" s="198"/>
      <c r="AE40" s="198"/>
      <c r="AF40" s="198"/>
      <c r="AG40" s="198"/>
      <c r="AH40" s="198"/>
      <c r="AI40" s="198"/>
      <c r="AJ40" s="198"/>
      <c r="AK40" s="198"/>
      <c r="AL40" s="198"/>
      <c r="AM40" s="198"/>
      <c r="AN40" s="198"/>
      <c r="AO40" s="198"/>
      <c r="AP40" s="198"/>
      <c r="AQ40" s="198"/>
      <c r="AR40" s="198"/>
      <c r="AS40" s="198"/>
    </row>
    <row r="41" spans="1:45" ht="15" customHeight="1" x14ac:dyDescent="0.3">
      <c r="A41" s="143"/>
      <c r="B41" s="1"/>
      <c r="C41" s="375"/>
      <c r="D41" s="376"/>
      <c r="E41" s="293" t="s">
        <v>42</v>
      </c>
      <c r="F41" s="301">
        <v>11253.87</v>
      </c>
      <c r="G41" s="293" t="s">
        <v>346</v>
      </c>
      <c r="H41" s="36" t="str">
        <f xml:space="preserve"> Sources!I$39</f>
        <v>M</v>
      </c>
      <c r="I41" s="293"/>
      <c r="J41" s="36"/>
      <c r="K41" s="301"/>
      <c r="L41" s="301"/>
      <c r="M41" s="301"/>
      <c r="N41" s="301"/>
      <c r="O41" s="301"/>
      <c r="P41" s="301"/>
      <c r="Q41" s="301"/>
      <c r="R41" s="301"/>
      <c r="S41" s="301"/>
      <c r="T41" s="301"/>
      <c r="U41" s="301"/>
      <c r="V41" s="301">
        <v>104.67700000000001</v>
      </c>
      <c r="W41" s="301">
        <v>275.09399999999999</v>
      </c>
      <c r="X41" s="301">
        <v>416.83499999999998</v>
      </c>
      <c r="Y41" s="301">
        <v>635.798</v>
      </c>
      <c r="Z41" s="301">
        <v>1059.127</v>
      </c>
      <c r="AA41" s="301">
        <v>938.44600000000003</v>
      </c>
      <c r="AB41" s="382">
        <v>855.15300000000002</v>
      </c>
      <c r="AC41" s="301"/>
      <c r="AD41" s="301"/>
      <c r="AE41" s="301"/>
      <c r="AF41" s="301"/>
      <c r="AG41" s="301"/>
      <c r="AH41" s="301"/>
      <c r="AI41" s="328">
        <v>721.18399999999997</v>
      </c>
      <c r="AJ41" s="301">
        <v>721.18399999999997</v>
      </c>
      <c r="AK41" s="301">
        <v>298.33</v>
      </c>
      <c r="AL41" s="143"/>
      <c r="AM41" s="143"/>
      <c r="AN41" s="143"/>
      <c r="AO41" s="143"/>
      <c r="AP41" s="143"/>
      <c r="AQ41" s="143"/>
      <c r="AR41" s="143"/>
      <c r="AS41" s="143"/>
    </row>
    <row r="42" spans="1:45" ht="15" customHeight="1" x14ac:dyDescent="0.3">
      <c r="A42" s="143"/>
      <c r="B42" s="1"/>
      <c r="C42" s="375"/>
      <c r="D42" s="376"/>
      <c r="E42" s="293" t="s">
        <v>43</v>
      </c>
      <c r="F42" s="301">
        <v>656.70799999999997</v>
      </c>
      <c r="G42" s="293" t="s">
        <v>346</v>
      </c>
      <c r="H42" s="36" t="str">
        <f xml:space="preserve"> Sources!I$39</f>
        <v>M</v>
      </c>
      <c r="I42" s="293"/>
      <c r="J42" s="36"/>
      <c r="K42" s="301"/>
      <c r="L42" s="301"/>
      <c r="M42" s="301"/>
      <c r="N42" s="301"/>
      <c r="O42" s="301"/>
      <c r="P42" s="301"/>
      <c r="Q42" s="301"/>
      <c r="R42" s="301"/>
      <c r="S42" s="301"/>
      <c r="T42" s="301"/>
      <c r="U42" s="301"/>
      <c r="V42" s="301"/>
      <c r="W42" s="301"/>
      <c r="X42" s="301">
        <v>17.57</v>
      </c>
      <c r="Y42" s="301">
        <v>33.622999999999998</v>
      </c>
      <c r="Z42" s="301">
        <v>59.23</v>
      </c>
      <c r="AA42" s="301">
        <v>104.42700000000001</v>
      </c>
      <c r="AB42" s="382">
        <v>46.637999999999998</v>
      </c>
      <c r="AC42" s="301"/>
      <c r="AD42" s="301"/>
      <c r="AE42" s="301"/>
      <c r="AF42" s="301"/>
      <c r="AG42" s="301"/>
      <c r="AH42" s="301"/>
      <c r="AI42" s="328">
        <v>41.11</v>
      </c>
      <c r="AJ42" s="301">
        <v>41.11</v>
      </c>
      <c r="AK42" s="301">
        <v>17.006</v>
      </c>
      <c r="AL42" s="143"/>
      <c r="AM42" s="143"/>
      <c r="AN42" s="143"/>
      <c r="AO42" s="143"/>
      <c r="AP42" s="143"/>
      <c r="AQ42" s="143"/>
      <c r="AR42" s="143"/>
      <c r="AS42" s="143"/>
    </row>
    <row r="43" spans="1:45" ht="15" customHeight="1" x14ac:dyDescent="0.3">
      <c r="A43" s="214"/>
      <c r="B43" s="53"/>
      <c r="C43" s="372"/>
      <c r="D43" s="373"/>
      <c r="E43" s="323"/>
      <c r="F43" s="294"/>
      <c r="G43" s="323"/>
      <c r="H43" s="243"/>
      <c r="I43" s="323"/>
      <c r="J43" s="243"/>
      <c r="K43" s="294"/>
      <c r="L43" s="294"/>
      <c r="M43" s="294"/>
      <c r="N43" s="294"/>
      <c r="O43" s="294"/>
      <c r="P43" s="294"/>
      <c r="Q43" s="294"/>
      <c r="R43" s="294"/>
      <c r="S43" s="294"/>
      <c r="T43" s="294"/>
      <c r="U43" s="294"/>
      <c r="V43" s="294"/>
      <c r="W43" s="294"/>
      <c r="X43" s="294"/>
      <c r="Y43" s="294"/>
      <c r="Z43" s="294"/>
      <c r="AA43" s="294"/>
      <c r="AB43" s="294"/>
      <c r="AC43" s="294"/>
      <c r="AD43" s="294"/>
      <c r="AE43" s="294"/>
      <c r="AF43" s="294"/>
      <c r="AG43" s="294"/>
      <c r="AH43" s="294"/>
      <c r="AI43" s="294"/>
      <c r="AJ43" s="294"/>
      <c r="AK43" s="294"/>
      <c r="AL43" s="214"/>
      <c r="AM43" s="214"/>
      <c r="AN43" s="214"/>
      <c r="AO43" s="214"/>
      <c r="AP43" s="214"/>
      <c r="AQ43" s="214"/>
      <c r="AR43" s="214"/>
      <c r="AS43" s="214"/>
    </row>
    <row r="44" spans="1:45" ht="15" customHeight="1" x14ac:dyDescent="0.3">
      <c r="B44" s="1" t="s">
        <v>537</v>
      </c>
    </row>
    <row r="45" spans="1:45" ht="15" customHeight="1" x14ac:dyDescent="0.3">
      <c r="A45" s="249"/>
      <c r="B45" s="1"/>
      <c r="C45" s="262" t="s">
        <v>531</v>
      </c>
      <c r="D45" s="251"/>
      <c r="E45" s="199"/>
      <c r="F45" s="201"/>
      <c r="G45" s="199"/>
      <c r="H45" s="185"/>
      <c r="I45" s="199"/>
      <c r="J45" s="42"/>
      <c r="K45" s="208"/>
      <c r="L45" s="208"/>
      <c r="M45" s="208"/>
      <c r="N45" s="208"/>
      <c r="O45" s="208"/>
      <c r="P45" s="208"/>
      <c r="Q45" s="208"/>
      <c r="R45" s="208"/>
      <c r="S45" s="208"/>
      <c r="T45" s="208"/>
      <c r="U45" s="208"/>
      <c r="V45" s="208"/>
      <c r="W45" s="208"/>
      <c r="X45" s="208"/>
      <c r="Y45" s="208"/>
      <c r="Z45" s="208"/>
      <c r="AA45" s="208"/>
      <c r="AB45" s="208"/>
      <c r="AC45" s="208"/>
      <c r="AD45" s="208"/>
      <c r="AE45" s="208"/>
      <c r="AF45" s="208"/>
      <c r="AG45" s="208"/>
      <c r="AH45" s="208"/>
      <c r="AI45" s="208"/>
      <c r="AJ45" s="208"/>
      <c r="AK45" s="208"/>
      <c r="AL45" s="208"/>
      <c r="AM45" s="208"/>
      <c r="AN45" s="208"/>
      <c r="AO45" s="208"/>
      <c r="AP45" s="208"/>
      <c r="AQ45" s="208"/>
      <c r="AR45" s="208"/>
      <c r="AS45" s="208"/>
    </row>
    <row r="46" spans="1:45" ht="15" customHeight="1" x14ac:dyDescent="0.3">
      <c r="A46" s="374"/>
      <c r="B46" s="139"/>
      <c r="C46" s="375"/>
      <c r="D46" s="293"/>
      <c r="E46" s="293" t="s">
        <v>354</v>
      </c>
      <c r="F46" s="294"/>
      <c r="G46" s="293" t="s">
        <v>346</v>
      </c>
      <c r="H46" s="36" t="str">
        <f xml:space="preserve"> Sources!I$39</f>
        <v>M</v>
      </c>
      <c r="I46" s="290">
        <f t="shared" ref="I46:I47" si="1">SUM(K46:AP46)</f>
        <v>583.0057502200001</v>
      </c>
      <c r="J46" s="36"/>
      <c r="K46" s="329"/>
      <c r="L46" s="329"/>
      <c r="M46" s="329"/>
      <c r="N46" s="329"/>
      <c r="O46" s="329"/>
      <c r="P46" s="329"/>
      <c r="Q46" s="329"/>
      <c r="R46" s="329"/>
      <c r="S46" s="329"/>
      <c r="T46" s="329"/>
      <c r="U46" s="329"/>
      <c r="V46" s="329">
        <v>206.56673885000001</v>
      </c>
      <c r="W46" s="329">
        <v>93.857954650000011</v>
      </c>
      <c r="X46" s="329">
        <v>125.01304914000001</v>
      </c>
      <c r="Y46" s="329">
        <v>4.0362397200000002</v>
      </c>
      <c r="Z46" s="329">
        <v>68.970431939999997</v>
      </c>
      <c r="AA46" s="329">
        <v>84.561335919999991</v>
      </c>
      <c r="AB46" s="329">
        <v>0</v>
      </c>
      <c r="AC46" s="329">
        <v>0</v>
      </c>
      <c r="AD46" s="329"/>
      <c r="AE46" s="329"/>
      <c r="AF46" s="329"/>
      <c r="AG46" s="329"/>
      <c r="AH46" s="329"/>
      <c r="AI46" s="329"/>
      <c r="AJ46" s="329"/>
      <c r="AK46" s="329"/>
      <c r="AL46" s="329"/>
      <c r="AM46" s="329"/>
      <c r="AN46" s="329"/>
      <c r="AO46" s="329"/>
      <c r="AP46" s="329"/>
      <c r="AQ46" s="329"/>
      <c r="AR46" s="329"/>
      <c r="AS46" s="329"/>
    </row>
    <row r="47" spans="1:45" ht="15" customHeight="1" x14ac:dyDescent="0.3">
      <c r="A47" s="374"/>
      <c r="B47" s="139"/>
      <c r="C47" s="375"/>
      <c r="D47" s="293"/>
      <c r="E47" s="293" t="s">
        <v>355</v>
      </c>
      <c r="F47" s="294"/>
      <c r="G47" s="293" t="s">
        <v>346</v>
      </c>
      <c r="H47" s="36" t="str">
        <f xml:space="preserve"> Sources!I$39</f>
        <v>M</v>
      </c>
      <c r="I47" s="290">
        <f t="shared" si="1"/>
        <v>241.71616872000004</v>
      </c>
      <c r="J47" s="36"/>
      <c r="K47" s="301"/>
      <c r="L47" s="301"/>
      <c r="M47" s="301"/>
      <c r="N47" s="301"/>
      <c r="O47" s="301"/>
      <c r="P47" s="301"/>
      <c r="Q47" s="301"/>
      <c r="R47" s="301"/>
      <c r="S47" s="301"/>
      <c r="T47" s="301"/>
      <c r="U47" s="301"/>
      <c r="V47" s="301">
        <v>38.461454500000002</v>
      </c>
      <c r="W47" s="301">
        <v>17.47577308</v>
      </c>
      <c r="X47" s="301">
        <v>23.276659779999999</v>
      </c>
      <c r="Y47" s="301">
        <v>0.75152297999999995</v>
      </c>
      <c r="Z47" s="301">
        <v>12.841858459999999</v>
      </c>
      <c r="AA47" s="301">
        <v>15.74479992</v>
      </c>
      <c r="AB47" s="301">
        <v>99.765600000000006</v>
      </c>
      <c r="AC47" s="301">
        <v>33.398499999999999</v>
      </c>
      <c r="AD47" s="301"/>
      <c r="AE47" s="301"/>
      <c r="AF47" s="301"/>
      <c r="AG47" s="301"/>
      <c r="AH47" s="301"/>
      <c r="AI47" s="301"/>
      <c r="AJ47" s="301"/>
      <c r="AK47" s="301"/>
      <c r="AL47" s="301"/>
      <c r="AM47" s="301"/>
      <c r="AN47" s="301"/>
      <c r="AO47" s="301"/>
      <c r="AP47" s="301"/>
      <c r="AQ47" s="301"/>
      <c r="AR47" s="301"/>
      <c r="AS47" s="301"/>
    </row>
    <row r="48" spans="1:45" ht="15" customHeight="1" x14ac:dyDescent="0.3">
      <c r="A48" s="377"/>
      <c r="B48" s="1"/>
      <c r="C48" s="372"/>
      <c r="D48" s="323"/>
      <c r="E48" s="323"/>
      <c r="F48" s="294"/>
      <c r="G48" s="323"/>
      <c r="H48" s="243"/>
      <c r="I48" s="325"/>
      <c r="J48" s="243"/>
      <c r="K48" s="294"/>
      <c r="L48" s="294"/>
      <c r="M48" s="294"/>
      <c r="N48" s="294"/>
      <c r="O48" s="294"/>
      <c r="P48" s="294"/>
      <c r="Q48" s="294"/>
      <c r="R48" s="294"/>
      <c r="S48" s="294"/>
      <c r="T48" s="294"/>
      <c r="U48" s="294"/>
      <c r="V48" s="294"/>
      <c r="W48" s="294"/>
      <c r="X48" s="294"/>
      <c r="Y48" s="294"/>
      <c r="Z48" s="294"/>
      <c r="AA48" s="294"/>
      <c r="AB48" s="294"/>
      <c r="AC48" s="294"/>
      <c r="AD48" s="294"/>
      <c r="AE48" s="294"/>
      <c r="AF48" s="294"/>
      <c r="AG48" s="294"/>
      <c r="AH48" s="294"/>
      <c r="AI48" s="294"/>
      <c r="AJ48" s="294"/>
      <c r="AK48" s="294"/>
      <c r="AL48" s="294"/>
      <c r="AM48" s="294"/>
      <c r="AN48" s="294"/>
      <c r="AO48" s="294"/>
      <c r="AP48" s="294"/>
      <c r="AQ48" s="294"/>
      <c r="AR48" s="294"/>
      <c r="AS48" s="294"/>
    </row>
    <row r="49" spans="1:45" ht="15" customHeight="1" x14ac:dyDescent="0.3">
      <c r="A49" s="288"/>
      <c r="B49" s="1"/>
      <c r="C49" s="289" t="s">
        <v>459</v>
      </c>
      <c r="D49" s="290"/>
      <c r="E49" s="290"/>
      <c r="F49" s="290"/>
      <c r="G49" s="290"/>
      <c r="H49" s="291"/>
      <c r="I49" s="290"/>
      <c r="J49" s="42"/>
      <c r="K49" s="290"/>
      <c r="L49" s="290"/>
      <c r="M49" s="290"/>
      <c r="N49" s="290"/>
      <c r="O49" s="290"/>
      <c r="P49" s="290"/>
      <c r="Q49" s="290"/>
      <c r="R49" s="290"/>
      <c r="S49" s="290"/>
      <c r="T49" s="290"/>
      <c r="U49" s="290"/>
      <c r="V49" s="290"/>
      <c r="W49" s="290"/>
      <c r="X49" s="290"/>
      <c r="Y49" s="290"/>
      <c r="Z49" s="290"/>
      <c r="AA49" s="290"/>
      <c r="AB49" s="290"/>
      <c r="AC49" s="290"/>
      <c r="AD49" s="290"/>
      <c r="AE49" s="290"/>
      <c r="AF49" s="290"/>
      <c r="AG49" s="290"/>
      <c r="AH49" s="290"/>
      <c r="AI49" s="290"/>
      <c r="AJ49" s="290"/>
      <c r="AK49" s="290"/>
      <c r="AL49" s="290"/>
      <c r="AM49" s="290"/>
      <c r="AN49" s="290"/>
      <c r="AO49" s="290"/>
      <c r="AP49" s="290"/>
      <c r="AQ49" s="290"/>
      <c r="AR49" s="290"/>
      <c r="AS49" s="290"/>
    </row>
    <row r="50" spans="1:45" ht="15" customHeight="1" x14ac:dyDescent="0.3">
      <c r="A50" s="143"/>
      <c r="B50" s="1"/>
      <c r="C50" s="375"/>
      <c r="D50" s="293"/>
      <c r="E50" s="293" t="s">
        <v>460</v>
      </c>
      <c r="F50" s="329">
        <v>776.39499999999998</v>
      </c>
      <c r="G50" s="293" t="s">
        <v>346</v>
      </c>
      <c r="H50" s="36" t="str">
        <f xml:space="preserve"> Sources!I$39</f>
        <v>M</v>
      </c>
      <c r="I50" s="290">
        <f t="shared" ref="I50:I51" si="2">SUM(K50:AP50)</f>
        <v>359.27599999999995</v>
      </c>
      <c r="J50" s="36"/>
      <c r="K50" s="329"/>
      <c r="L50" s="329"/>
      <c r="M50" s="329"/>
      <c r="N50" s="329"/>
      <c r="O50" s="329"/>
      <c r="P50" s="329"/>
      <c r="Q50" s="329"/>
      <c r="R50" s="329"/>
      <c r="S50" s="329"/>
      <c r="T50" s="329"/>
      <c r="U50" s="329"/>
      <c r="V50" s="329">
        <v>15.738</v>
      </c>
      <c r="W50" s="329">
        <v>24.262</v>
      </c>
      <c r="X50" s="329">
        <v>15.31</v>
      </c>
      <c r="Y50" s="329">
        <v>57.999000000000002</v>
      </c>
      <c r="Z50" s="329">
        <v>61.484000000000002</v>
      </c>
      <c r="AA50" s="329">
        <v>59.591999999999999</v>
      </c>
      <c r="AB50" s="329">
        <v>72.381</v>
      </c>
      <c r="AC50" s="329"/>
      <c r="AD50" s="329"/>
      <c r="AE50" s="329"/>
      <c r="AF50" s="329"/>
      <c r="AG50" s="329"/>
      <c r="AH50" s="329"/>
      <c r="AI50" s="329"/>
      <c r="AJ50" s="329">
        <v>29.106000000000002</v>
      </c>
      <c r="AK50" s="329">
        <v>23.404</v>
      </c>
      <c r="AL50" s="329"/>
      <c r="AM50" s="329"/>
      <c r="AN50" s="329"/>
      <c r="AO50" s="329"/>
      <c r="AP50" s="329"/>
      <c r="AQ50" s="329"/>
      <c r="AR50" s="329"/>
      <c r="AS50" s="329"/>
    </row>
    <row r="51" spans="1:45" ht="15" customHeight="1" x14ac:dyDescent="0.3">
      <c r="A51" s="143"/>
      <c r="B51" s="1"/>
      <c r="C51" s="375"/>
      <c r="D51" s="293"/>
      <c r="E51" s="293" t="s">
        <v>373</v>
      </c>
      <c r="F51" s="301">
        <v>7.4690000000000003</v>
      </c>
      <c r="G51" s="293" t="s">
        <v>346</v>
      </c>
      <c r="H51" s="36" t="str">
        <f xml:space="preserve"> Sources!I$39</f>
        <v>M</v>
      </c>
      <c r="I51" s="290">
        <f t="shared" si="2"/>
        <v>6.3520000000000003</v>
      </c>
      <c r="J51" s="36"/>
      <c r="K51" s="301"/>
      <c r="L51" s="301"/>
      <c r="M51" s="301"/>
      <c r="N51" s="301"/>
      <c r="O51" s="301"/>
      <c r="P51" s="301"/>
      <c r="Q51" s="301"/>
      <c r="R51" s="301"/>
      <c r="S51" s="301"/>
      <c r="T51" s="301"/>
      <c r="U51" s="301"/>
      <c r="V51" s="301">
        <v>0</v>
      </c>
      <c r="W51" s="301">
        <v>2.024</v>
      </c>
      <c r="X51" s="301">
        <v>2.024</v>
      </c>
      <c r="Y51" s="301">
        <v>2.024</v>
      </c>
      <c r="Z51" s="301">
        <v>0</v>
      </c>
      <c r="AA51" s="301">
        <v>0</v>
      </c>
      <c r="AB51" s="301">
        <v>0.28000000000000003</v>
      </c>
      <c r="AC51" s="301"/>
      <c r="AD51" s="301"/>
      <c r="AE51" s="301"/>
      <c r="AF51" s="301"/>
      <c r="AG51" s="301"/>
      <c r="AH51" s="301"/>
      <c r="AI51" s="301"/>
      <c r="AJ51" s="301"/>
      <c r="AK51" s="301"/>
      <c r="AL51" s="301"/>
      <c r="AM51" s="301"/>
      <c r="AN51" s="301"/>
      <c r="AO51" s="301"/>
      <c r="AP51" s="301"/>
      <c r="AQ51" s="301"/>
      <c r="AR51" s="301"/>
      <c r="AS51" s="301"/>
    </row>
    <row r="52" spans="1:45" ht="15" customHeight="1" x14ac:dyDescent="0.3">
      <c r="A52" s="377"/>
      <c r="B52" s="1"/>
      <c r="C52" s="372"/>
      <c r="D52" s="323"/>
      <c r="E52" s="323"/>
      <c r="F52" s="294"/>
      <c r="G52" s="323"/>
      <c r="H52" s="243"/>
      <c r="I52" s="325"/>
      <c r="J52" s="243"/>
      <c r="K52" s="294"/>
      <c r="L52" s="294"/>
      <c r="M52" s="294"/>
      <c r="N52" s="294"/>
      <c r="O52" s="294"/>
      <c r="P52" s="294"/>
      <c r="Q52" s="294"/>
      <c r="R52" s="294"/>
      <c r="S52" s="294"/>
      <c r="T52" s="294"/>
      <c r="U52" s="294"/>
      <c r="V52" s="294"/>
      <c r="W52" s="294"/>
      <c r="X52" s="294"/>
      <c r="Y52" s="294"/>
      <c r="Z52" s="294"/>
      <c r="AA52" s="294"/>
      <c r="AB52" s="294"/>
      <c r="AC52" s="294"/>
      <c r="AD52" s="294"/>
      <c r="AE52" s="294"/>
      <c r="AF52" s="294"/>
      <c r="AG52" s="294"/>
      <c r="AH52" s="294"/>
      <c r="AI52" s="294"/>
      <c r="AJ52" s="294"/>
      <c r="AK52" s="294"/>
      <c r="AL52" s="294"/>
      <c r="AM52" s="294"/>
      <c r="AN52" s="294"/>
      <c r="AO52" s="294"/>
      <c r="AP52" s="294"/>
      <c r="AQ52" s="294"/>
      <c r="AR52" s="294"/>
      <c r="AS52" s="294"/>
    </row>
    <row r="53" spans="1:45" ht="15" customHeight="1" x14ac:dyDescent="0.3">
      <c r="A53" s="288"/>
      <c r="B53" s="1"/>
      <c r="C53" s="289" t="s">
        <v>461</v>
      </c>
      <c r="D53" s="290"/>
      <c r="E53" s="290"/>
      <c r="F53" s="290"/>
      <c r="G53" s="290"/>
      <c r="H53" s="291"/>
      <c r="I53" s="290"/>
      <c r="J53" s="42"/>
      <c r="K53" s="290"/>
      <c r="L53" s="290"/>
      <c r="M53" s="290"/>
      <c r="N53" s="290"/>
      <c r="O53" s="290"/>
      <c r="P53" s="290"/>
      <c r="Q53" s="290"/>
      <c r="R53" s="290"/>
      <c r="S53" s="290"/>
      <c r="T53" s="290"/>
      <c r="U53" s="290"/>
      <c r="V53" s="290"/>
      <c r="W53" s="290"/>
      <c r="X53" s="290"/>
      <c r="Y53" s="290"/>
      <c r="Z53" s="290"/>
      <c r="AA53" s="290"/>
      <c r="AB53" s="290"/>
      <c r="AC53" s="290"/>
      <c r="AD53" s="290"/>
      <c r="AE53" s="290"/>
      <c r="AF53" s="290"/>
      <c r="AG53" s="290"/>
      <c r="AH53" s="290"/>
      <c r="AI53" s="290"/>
      <c r="AJ53" s="290"/>
      <c r="AK53" s="290"/>
      <c r="AL53" s="290"/>
      <c r="AM53" s="290"/>
      <c r="AN53" s="290"/>
      <c r="AO53" s="290"/>
      <c r="AP53" s="290"/>
      <c r="AQ53" s="290"/>
      <c r="AR53" s="290"/>
      <c r="AS53" s="290"/>
    </row>
    <row r="54" spans="1:45" ht="15" customHeight="1" x14ac:dyDescent="0.3">
      <c r="A54" s="374"/>
      <c r="B54" s="1"/>
      <c r="C54" s="375"/>
      <c r="D54" s="293"/>
      <c r="E54" s="293" t="s">
        <v>374</v>
      </c>
      <c r="F54" s="301">
        <v>709.63099999999997</v>
      </c>
      <c r="G54" s="293" t="s">
        <v>346</v>
      </c>
      <c r="H54" s="36" t="str">
        <f xml:space="preserve"> Sources!I$39</f>
        <v>M</v>
      </c>
      <c r="I54" s="290">
        <f t="shared" ref="I54:I55" si="3">SUM(K54:AP54)</f>
        <v>709.63399999999979</v>
      </c>
      <c r="J54" s="36"/>
      <c r="K54" s="301"/>
      <c r="L54" s="301"/>
      <c r="M54" s="301"/>
      <c r="N54" s="301"/>
      <c r="O54" s="301"/>
      <c r="P54" s="301"/>
      <c r="Q54" s="301"/>
      <c r="R54" s="301"/>
      <c r="S54" s="301"/>
      <c r="T54" s="301"/>
      <c r="U54" s="301"/>
      <c r="V54" s="301">
        <v>15.738</v>
      </c>
      <c r="W54" s="301">
        <v>24.262</v>
      </c>
      <c r="X54" s="301">
        <v>38.244</v>
      </c>
      <c r="Y54" s="301">
        <v>60.023000000000003</v>
      </c>
      <c r="Z54" s="301">
        <v>63.703000000000003</v>
      </c>
      <c r="AA54" s="301">
        <v>63.457999999999998</v>
      </c>
      <c r="AB54" s="301">
        <v>63.457999999999998</v>
      </c>
      <c r="AC54" s="388">
        <v>63.457999999999998</v>
      </c>
      <c r="AD54" s="389">
        <v>63.457999999999998</v>
      </c>
      <c r="AE54" s="389">
        <v>63.457999999999998</v>
      </c>
      <c r="AF54" s="389">
        <v>63.457999999999998</v>
      </c>
      <c r="AG54" s="389">
        <v>63.457999999999998</v>
      </c>
      <c r="AH54" s="389">
        <v>63.457999999999998</v>
      </c>
      <c r="AI54" s="143"/>
      <c r="AJ54" s="143"/>
      <c r="AK54" s="143"/>
      <c r="AL54" s="143"/>
      <c r="AM54" s="143"/>
      <c r="AN54" s="143"/>
      <c r="AO54" s="143"/>
      <c r="AP54" s="143"/>
      <c r="AQ54" s="143"/>
      <c r="AR54" s="143"/>
      <c r="AS54" s="143"/>
    </row>
    <row r="55" spans="1:45" ht="15" customHeight="1" x14ac:dyDescent="0.3">
      <c r="A55" s="374"/>
      <c r="B55" s="1"/>
      <c r="C55" s="375"/>
      <c r="D55" s="293"/>
      <c r="E55" s="293" t="s">
        <v>375</v>
      </c>
      <c r="F55" s="329">
        <v>20.378</v>
      </c>
      <c r="G55" s="293" t="s">
        <v>346</v>
      </c>
      <c r="H55" s="36" t="str">
        <f xml:space="preserve"> Sources!I$39</f>
        <v>M</v>
      </c>
      <c r="I55" s="290">
        <f t="shared" si="3"/>
        <v>20.376999999999999</v>
      </c>
      <c r="J55" s="36"/>
      <c r="K55" s="329"/>
      <c r="L55" s="329"/>
      <c r="M55" s="329"/>
      <c r="N55" s="329"/>
      <c r="O55" s="329"/>
      <c r="P55" s="329"/>
      <c r="Q55" s="329"/>
      <c r="R55" s="329"/>
      <c r="S55" s="329"/>
      <c r="T55" s="329"/>
      <c r="U55" s="329"/>
      <c r="V55" s="329"/>
      <c r="W55" s="329">
        <v>2.024</v>
      </c>
      <c r="X55" s="329">
        <v>9.5690000000000008</v>
      </c>
      <c r="Y55" s="329">
        <v>4.3920000000000003</v>
      </c>
      <c r="Z55" s="329">
        <v>4.3920000000000003</v>
      </c>
      <c r="AA55" s="329"/>
      <c r="AB55" s="384"/>
      <c r="AC55" s="329"/>
      <c r="AD55" s="330"/>
      <c r="AE55" s="329"/>
      <c r="AF55" s="329"/>
      <c r="AG55" s="329"/>
      <c r="AH55" s="329"/>
      <c r="AI55" s="143"/>
      <c r="AJ55" s="143"/>
      <c r="AK55" s="143"/>
      <c r="AL55" s="143"/>
      <c r="AM55" s="143"/>
      <c r="AN55" s="143"/>
      <c r="AO55" s="143"/>
      <c r="AP55" s="143"/>
      <c r="AQ55" s="143"/>
      <c r="AR55" s="143"/>
      <c r="AS55" s="143"/>
    </row>
    <row r="56" spans="1:45" ht="15" customHeight="1" x14ac:dyDescent="0.3">
      <c r="B56" s="1"/>
    </row>
    <row r="57" spans="1:45" ht="15" customHeight="1" x14ac:dyDescent="0.3">
      <c r="B57" s="1"/>
      <c r="C57" s="289" t="s">
        <v>536</v>
      </c>
    </row>
    <row r="58" spans="1:45" ht="15" customHeight="1" x14ac:dyDescent="0.3">
      <c r="A58" s="143"/>
      <c r="B58" s="1"/>
      <c r="C58" s="375"/>
      <c r="D58" s="293"/>
      <c r="E58" s="293" t="s">
        <v>426</v>
      </c>
      <c r="F58" s="294"/>
      <c r="G58" s="293" t="s">
        <v>346</v>
      </c>
      <c r="H58" s="36" t="str">
        <f xml:space="preserve"> Sources!I$39</f>
        <v>M</v>
      </c>
      <c r="I58" s="290">
        <f t="shared" ref="I58:I60" si="4">SUM(K58:AP58)</f>
        <v>2587.9797899999999</v>
      </c>
      <c r="J58" s="36"/>
      <c r="K58" s="301"/>
      <c r="L58" s="301"/>
      <c r="M58" s="301"/>
      <c r="N58" s="301"/>
      <c r="O58" s="301"/>
      <c r="P58" s="301"/>
      <c r="Q58" s="301"/>
      <c r="R58" s="301"/>
      <c r="S58" s="301"/>
      <c r="T58" s="301"/>
      <c r="U58" s="301"/>
      <c r="V58" s="301">
        <v>91.180059999999997</v>
      </c>
      <c r="W58" s="301">
        <v>110.98714</v>
      </c>
      <c r="X58" s="301">
        <v>221.33031</v>
      </c>
      <c r="Y58" s="301">
        <v>274.47759000000002</v>
      </c>
      <c r="Z58" s="326">
        <v>245.96544</v>
      </c>
      <c r="AA58" s="301">
        <v>538.47123999999997</v>
      </c>
      <c r="AB58" s="327">
        <v>460.35408999999999</v>
      </c>
      <c r="AC58" s="326"/>
      <c r="AD58" s="326"/>
      <c r="AE58" s="326"/>
      <c r="AF58" s="326"/>
      <c r="AG58" s="326"/>
      <c r="AH58" s="326"/>
      <c r="AI58" s="326"/>
      <c r="AJ58" s="328">
        <v>420.73610000000002</v>
      </c>
      <c r="AK58" s="301">
        <v>224.47782000000001</v>
      </c>
      <c r="AL58" s="143"/>
      <c r="AM58" s="143"/>
      <c r="AN58" s="143"/>
      <c r="AO58" s="143"/>
      <c r="AP58" s="143"/>
      <c r="AQ58" s="143"/>
      <c r="AR58" s="143"/>
      <c r="AS58" s="143"/>
    </row>
    <row r="59" spans="1:45" ht="15" customHeight="1" x14ac:dyDescent="0.3">
      <c r="A59" s="143"/>
      <c r="B59" s="1"/>
      <c r="C59" s="375"/>
      <c r="D59" s="293"/>
      <c r="E59" s="293" t="s">
        <v>427</v>
      </c>
      <c r="F59" s="294"/>
      <c r="G59" s="293" t="s">
        <v>346</v>
      </c>
      <c r="H59" s="36" t="str">
        <f xml:space="preserve"> Sources!I$39</f>
        <v>M</v>
      </c>
      <c r="I59" s="290">
        <f t="shared" si="4"/>
        <v>185.89500000000004</v>
      </c>
      <c r="J59" s="36"/>
      <c r="K59" s="329"/>
      <c r="L59" s="329"/>
      <c r="M59" s="329"/>
      <c r="N59" s="329"/>
      <c r="O59" s="329"/>
      <c r="P59" s="329"/>
      <c r="Q59" s="329"/>
      <c r="R59" s="329"/>
      <c r="S59" s="329"/>
      <c r="T59" s="329"/>
      <c r="U59" s="329"/>
      <c r="V59" s="329">
        <v>3.4609999999999999</v>
      </c>
      <c r="W59" s="329">
        <v>7.7869999999999999</v>
      </c>
      <c r="X59" s="329">
        <v>17.962</v>
      </c>
      <c r="Y59" s="329">
        <v>26.148</v>
      </c>
      <c r="Z59" s="329">
        <v>33.9</v>
      </c>
      <c r="AA59" s="329">
        <v>26.048999999999999</v>
      </c>
      <c r="AB59" s="384">
        <v>19.428000000000001</v>
      </c>
      <c r="AC59" s="385"/>
      <c r="AD59" s="385"/>
      <c r="AE59" s="329"/>
      <c r="AF59" s="329"/>
      <c r="AG59" s="329"/>
      <c r="AH59" s="329"/>
      <c r="AI59" s="329"/>
      <c r="AJ59" s="330">
        <v>25.210999999999999</v>
      </c>
      <c r="AK59" s="329">
        <v>25.949000000000002</v>
      </c>
      <c r="AL59" s="143"/>
      <c r="AM59" s="143"/>
      <c r="AN59" s="143"/>
      <c r="AO59" s="143"/>
      <c r="AP59" s="143"/>
      <c r="AQ59" s="143"/>
      <c r="AR59" s="143"/>
      <c r="AS59" s="143"/>
    </row>
    <row r="60" spans="1:45" ht="15" customHeight="1" x14ac:dyDescent="0.3">
      <c r="A60" s="143"/>
      <c r="B60" s="1"/>
      <c r="C60" s="375"/>
      <c r="D60" s="293"/>
      <c r="E60" s="293" t="s">
        <v>428</v>
      </c>
      <c r="F60" s="294"/>
      <c r="G60" s="293" t="s">
        <v>346</v>
      </c>
      <c r="H60" s="36" t="str">
        <f xml:space="preserve"> Sources!I$39</f>
        <v>M</v>
      </c>
      <c r="I60" s="290">
        <f t="shared" si="4"/>
        <v>550.07166999999993</v>
      </c>
      <c r="J60" s="36"/>
      <c r="K60" s="301"/>
      <c r="L60" s="301"/>
      <c r="M60" s="301"/>
      <c r="N60" s="301"/>
      <c r="O60" s="301"/>
      <c r="P60" s="301"/>
      <c r="Q60" s="301"/>
      <c r="R60" s="301"/>
      <c r="S60" s="301"/>
      <c r="T60" s="301"/>
      <c r="U60" s="301"/>
      <c r="V60" s="301">
        <v>18.271809999999999</v>
      </c>
      <c r="W60" s="301">
        <v>52.600679999999997</v>
      </c>
      <c r="X60" s="301">
        <v>67.747399999999999</v>
      </c>
      <c r="Y60" s="301">
        <v>76.065920000000006</v>
      </c>
      <c r="Z60" s="326">
        <v>106.92619000000001</v>
      </c>
      <c r="AA60" s="301">
        <v>82.362870000000001</v>
      </c>
      <c r="AB60" s="326">
        <v>67.318399999999997</v>
      </c>
      <c r="AC60" s="326"/>
      <c r="AD60" s="326"/>
      <c r="AE60" s="326"/>
      <c r="AF60" s="326"/>
      <c r="AG60" s="326"/>
      <c r="AH60" s="326"/>
      <c r="AI60" s="326"/>
      <c r="AJ60" s="301">
        <v>55.726289999999999</v>
      </c>
      <c r="AK60" s="301">
        <v>23.052109999999999</v>
      </c>
      <c r="AL60" s="143"/>
      <c r="AM60" s="143"/>
      <c r="AN60" s="143"/>
      <c r="AO60" s="143"/>
      <c r="AP60" s="143"/>
      <c r="AQ60" s="143"/>
      <c r="AR60" s="143"/>
      <c r="AS60" s="143"/>
    </row>
    <row r="61" spans="1:45" ht="15" customHeight="1" x14ac:dyDescent="0.3">
      <c r="A61" s="97"/>
      <c r="B61" s="1"/>
      <c r="C61" s="359"/>
      <c r="D61" s="226"/>
      <c r="E61" s="243"/>
      <c r="F61" s="260"/>
      <c r="G61" s="243"/>
      <c r="H61" s="230"/>
      <c r="I61" s="226"/>
      <c r="J61" s="246"/>
      <c r="K61" s="226"/>
      <c r="L61" s="226"/>
      <c r="M61" s="226"/>
      <c r="N61" s="226"/>
      <c r="O61" s="226"/>
      <c r="P61" s="226"/>
      <c r="Q61" s="226"/>
      <c r="R61" s="226"/>
      <c r="S61" s="226"/>
      <c r="T61" s="226"/>
      <c r="U61" s="226"/>
      <c r="V61" s="226"/>
      <c r="W61" s="226"/>
      <c r="X61" s="226"/>
      <c r="Y61" s="226"/>
      <c r="Z61" s="226"/>
      <c r="AA61" s="226"/>
      <c r="AB61" s="226"/>
      <c r="AC61" s="226"/>
      <c r="AD61" s="226"/>
      <c r="AE61" s="226"/>
      <c r="AF61" s="226"/>
      <c r="AG61" s="226"/>
      <c r="AH61" s="226"/>
      <c r="AI61" s="226"/>
      <c r="AJ61" s="226"/>
      <c r="AK61" s="226"/>
      <c r="AL61" s="226"/>
      <c r="AM61" s="226"/>
      <c r="AN61" s="226"/>
      <c r="AO61" s="226"/>
      <c r="AP61" s="226"/>
      <c r="AQ61" s="226"/>
      <c r="AR61" s="226"/>
      <c r="AS61" s="226"/>
    </row>
    <row r="62" spans="1:45" ht="15" customHeight="1" x14ac:dyDescent="0.3">
      <c r="A62" s="197"/>
      <c r="B62" s="1"/>
      <c r="C62" s="241"/>
      <c r="D62" s="184"/>
      <c r="E62" s="293" t="s">
        <v>376</v>
      </c>
      <c r="F62" s="301">
        <v>5849.9963500000003</v>
      </c>
      <c r="G62" s="293" t="s">
        <v>346</v>
      </c>
      <c r="H62" s="36" t="str">
        <f xml:space="preserve"> Sources!I$39</f>
        <v>M</v>
      </c>
      <c r="I62" s="184"/>
      <c r="J62" s="243"/>
      <c r="K62" s="184"/>
      <c r="L62" s="184"/>
      <c r="M62" s="184"/>
      <c r="N62" s="184"/>
      <c r="O62" s="184"/>
      <c r="P62" s="184"/>
      <c r="Q62" s="184"/>
      <c r="R62" s="184"/>
      <c r="S62" s="184"/>
      <c r="T62" s="184"/>
      <c r="U62" s="184"/>
      <c r="V62" s="184"/>
      <c r="W62" s="184"/>
      <c r="X62" s="184"/>
      <c r="Y62" s="184"/>
      <c r="Z62" s="184"/>
      <c r="AA62" s="184"/>
      <c r="AB62" s="184"/>
      <c r="AC62" s="184"/>
      <c r="AD62" s="184"/>
      <c r="AE62" s="184"/>
      <c r="AF62" s="184"/>
      <c r="AG62" s="184"/>
      <c r="AH62" s="184"/>
      <c r="AI62" s="184"/>
      <c r="AJ62" s="184"/>
      <c r="AK62" s="184"/>
      <c r="AL62" s="184"/>
      <c r="AM62" s="184"/>
      <c r="AN62" s="184"/>
      <c r="AO62" s="184"/>
      <c r="AP62" s="184"/>
      <c r="AQ62" s="184"/>
      <c r="AR62" s="184"/>
      <c r="AS62" s="184"/>
    </row>
    <row r="63" spans="1:45" ht="15" customHeight="1" x14ac:dyDescent="0.3">
      <c r="A63" s="197"/>
      <c r="B63" s="1"/>
      <c r="C63" s="241"/>
      <c r="D63" s="184"/>
      <c r="E63" s="293" t="s">
        <v>372</v>
      </c>
      <c r="F63" s="329">
        <v>343.43</v>
      </c>
      <c r="G63" s="293" t="s">
        <v>346</v>
      </c>
      <c r="H63" s="36" t="str">
        <f xml:space="preserve"> Sources!I$39</f>
        <v>M</v>
      </c>
      <c r="I63" s="184"/>
      <c r="J63" s="243"/>
      <c r="K63" s="184"/>
      <c r="L63" s="184"/>
      <c r="M63" s="184"/>
      <c r="N63" s="184"/>
      <c r="O63" s="184"/>
      <c r="P63" s="184"/>
      <c r="Q63" s="184"/>
      <c r="R63" s="184"/>
      <c r="S63" s="184"/>
      <c r="T63" s="184"/>
      <c r="U63" s="184"/>
      <c r="V63" s="184"/>
      <c r="W63" s="184"/>
      <c r="X63" s="184"/>
      <c r="Y63" s="184"/>
      <c r="Z63" s="184"/>
      <c r="AA63" s="184"/>
      <c r="AB63" s="184"/>
      <c r="AC63" s="184"/>
      <c r="AD63" s="184"/>
      <c r="AE63" s="184"/>
      <c r="AF63" s="184"/>
      <c r="AG63" s="184"/>
      <c r="AH63" s="184"/>
      <c r="AI63" s="184"/>
      <c r="AJ63" s="184"/>
      <c r="AK63" s="184"/>
      <c r="AL63" s="184"/>
      <c r="AM63" s="184"/>
      <c r="AN63" s="184"/>
      <c r="AO63" s="184"/>
      <c r="AP63" s="184"/>
      <c r="AQ63" s="184"/>
      <c r="AR63" s="184"/>
      <c r="AS63" s="184"/>
    </row>
    <row r="64" spans="1:45" ht="15" customHeight="1" x14ac:dyDescent="0.3">
      <c r="A64" s="197"/>
      <c r="B64" s="1"/>
      <c r="C64" s="241"/>
      <c r="D64" s="184"/>
      <c r="E64" s="293" t="s">
        <v>377</v>
      </c>
      <c r="F64" s="301">
        <v>1007.0272200000001</v>
      </c>
      <c r="G64" s="293" t="s">
        <v>346</v>
      </c>
      <c r="H64" s="36" t="str">
        <f xml:space="preserve"> Sources!I$39</f>
        <v>M</v>
      </c>
      <c r="I64" s="184"/>
      <c r="J64" s="243"/>
      <c r="K64" s="184"/>
      <c r="L64" s="184"/>
      <c r="M64" s="184"/>
      <c r="N64" s="184"/>
      <c r="O64" s="184"/>
      <c r="P64" s="184"/>
      <c r="Q64" s="184"/>
      <c r="R64" s="184"/>
      <c r="S64" s="184"/>
      <c r="T64" s="184"/>
      <c r="U64" s="184"/>
      <c r="V64" s="184"/>
      <c r="W64" s="184"/>
      <c r="X64" s="184"/>
      <c r="Y64" s="184"/>
      <c r="Z64" s="184"/>
      <c r="AA64" s="184"/>
      <c r="AB64" s="184"/>
      <c r="AC64" s="184"/>
      <c r="AD64" s="184"/>
      <c r="AE64" s="184"/>
      <c r="AF64" s="184"/>
      <c r="AG64" s="184"/>
      <c r="AH64" s="184"/>
      <c r="AI64" s="184"/>
      <c r="AJ64" s="184"/>
      <c r="AK64" s="184"/>
      <c r="AL64" s="184"/>
      <c r="AM64" s="184"/>
      <c r="AN64" s="184"/>
      <c r="AO64" s="184"/>
      <c r="AP64" s="184"/>
      <c r="AQ64" s="184"/>
      <c r="AR64" s="184"/>
      <c r="AS64" s="184"/>
    </row>
    <row r="65" spans="1:45" ht="15" customHeight="1" x14ac:dyDescent="0.3">
      <c r="A65" s="197"/>
      <c r="B65" s="1"/>
      <c r="C65" s="241"/>
      <c r="D65" s="184"/>
      <c r="E65" s="293"/>
      <c r="F65" s="293"/>
      <c r="G65" s="293"/>
      <c r="H65" s="36"/>
      <c r="I65" s="184"/>
      <c r="J65" s="243"/>
      <c r="K65" s="184"/>
      <c r="L65" s="184"/>
      <c r="M65" s="184"/>
      <c r="N65" s="184"/>
      <c r="O65" s="184"/>
      <c r="P65" s="184"/>
      <c r="Q65" s="184"/>
      <c r="R65" s="184"/>
      <c r="S65" s="184"/>
      <c r="T65" s="184"/>
      <c r="U65" s="184"/>
      <c r="V65" s="184"/>
      <c r="W65" s="184"/>
      <c r="X65" s="184"/>
      <c r="Y65" s="184"/>
      <c r="Z65" s="184"/>
      <c r="AA65" s="184"/>
      <c r="AB65" s="184"/>
      <c r="AC65" s="184"/>
      <c r="AD65" s="184"/>
      <c r="AE65" s="184"/>
      <c r="AF65" s="184"/>
      <c r="AG65" s="184"/>
      <c r="AH65" s="184"/>
      <c r="AI65" s="184"/>
      <c r="AJ65" s="184"/>
      <c r="AK65" s="184"/>
      <c r="AL65" s="184"/>
      <c r="AM65" s="184"/>
      <c r="AN65" s="184"/>
      <c r="AO65" s="184"/>
      <c r="AP65" s="184"/>
      <c r="AQ65" s="184"/>
      <c r="AR65" s="184"/>
      <c r="AS65" s="184"/>
    </row>
    <row r="66" spans="1:45" ht="15" customHeight="1" x14ac:dyDescent="0.3">
      <c r="B66" s="1" t="s">
        <v>94</v>
      </c>
    </row>
    <row r="67" spans="1:45" ht="15" customHeight="1" x14ac:dyDescent="0.3">
      <c r="B67" s="1"/>
      <c r="C67" s="241" t="s">
        <v>532</v>
      </c>
    </row>
    <row r="68" spans="1:45" ht="15" customHeight="1" x14ac:dyDescent="0.3">
      <c r="A68" s="139"/>
      <c r="B68" s="1"/>
      <c r="C68" s="140"/>
      <c r="D68" s="142"/>
      <c r="E68" s="142" t="s">
        <v>381</v>
      </c>
      <c r="F68" s="79">
        <v>64</v>
      </c>
      <c r="G68" s="36" t="s">
        <v>346</v>
      </c>
      <c r="H68" s="36" t="str">
        <f xml:space="preserve"> Sources!I$39</f>
        <v>M</v>
      </c>
      <c r="I68" s="290">
        <f t="shared" ref="I68:I74" si="5">SUM(K68:AP68)</f>
        <v>64</v>
      </c>
      <c r="J68" s="142"/>
      <c r="K68" s="79"/>
      <c r="L68" s="79"/>
      <c r="M68" s="79"/>
      <c r="N68" s="79"/>
      <c r="O68" s="79"/>
      <c r="P68" s="79"/>
      <c r="Q68" s="79"/>
      <c r="R68" s="79"/>
      <c r="S68" s="79"/>
      <c r="T68" s="79"/>
      <c r="U68" s="79"/>
      <c r="V68" s="79">
        <v>4</v>
      </c>
      <c r="W68" s="79">
        <v>4</v>
      </c>
      <c r="X68" s="79">
        <v>4</v>
      </c>
      <c r="Y68" s="79">
        <v>4</v>
      </c>
      <c r="Z68" s="79">
        <v>4</v>
      </c>
      <c r="AA68" s="79">
        <v>4</v>
      </c>
      <c r="AB68" s="281">
        <v>4</v>
      </c>
      <c r="AC68" s="281">
        <v>4</v>
      </c>
      <c r="AD68" s="281">
        <v>4</v>
      </c>
      <c r="AE68" s="281">
        <v>4</v>
      </c>
      <c r="AF68" s="281">
        <v>4</v>
      </c>
      <c r="AG68" s="281">
        <v>4</v>
      </c>
      <c r="AH68" s="281">
        <v>4</v>
      </c>
      <c r="AI68" s="281">
        <v>4</v>
      </c>
      <c r="AJ68" s="79">
        <v>4</v>
      </c>
      <c r="AK68" s="79">
        <v>4</v>
      </c>
      <c r="AL68" s="79"/>
      <c r="AM68" s="79"/>
      <c r="AN68" s="79"/>
      <c r="AO68" s="79"/>
      <c r="AP68" s="79"/>
      <c r="AQ68" s="79"/>
      <c r="AR68" s="79"/>
      <c r="AS68" s="79"/>
    </row>
    <row r="69" spans="1:45" ht="15" customHeight="1" x14ac:dyDescent="0.3">
      <c r="A69" s="139"/>
      <c r="B69" s="1"/>
      <c r="C69" s="140"/>
      <c r="D69" s="142"/>
      <c r="E69" s="142" t="s">
        <v>382</v>
      </c>
      <c r="F69" s="79">
        <v>15.164</v>
      </c>
      <c r="G69" s="36" t="s">
        <v>346</v>
      </c>
      <c r="H69" s="36" t="str">
        <f xml:space="preserve"> Sources!I$39</f>
        <v>M</v>
      </c>
      <c r="I69" s="290">
        <f t="shared" si="5"/>
        <v>15.164000000000001</v>
      </c>
      <c r="J69" s="142"/>
      <c r="K69" s="79"/>
      <c r="L69" s="79"/>
      <c r="M69" s="79"/>
      <c r="N69" s="79"/>
      <c r="O69" s="79"/>
      <c r="P69" s="79"/>
      <c r="Q69" s="79"/>
      <c r="R69" s="79"/>
      <c r="S69" s="79"/>
      <c r="T69" s="79"/>
      <c r="U69" s="79"/>
      <c r="V69" s="79">
        <v>9.0980000000000008</v>
      </c>
      <c r="W69" s="79">
        <v>6.0659999999999998</v>
      </c>
      <c r="X69" s="79"/>
      <c r="Y69" s="79"/>
      <c r="Z69" s="79"/>
      <c r="AA69" s="79"/>
      <c r="AB69" s="281"/>
      <c r="AC69" s="281"/>
      <c r="AD69" s="281"/>
      <c r="AE69" s="281"/>
      <c r="AF69" s="281"/>
      <c r="AG69" s="281"/>
      <c r="AH69" s="281"/>
      <c r="AI69" s="281"/>
      <c r="AJ69" s="79"/>
      <c r="AK69" s="79"/>
      <c r="AL69" s="79"/>
      <c r="AM69" s="79"/>
      <c r="AN69" s="79"/>
      <c r="AO69" s="79"/>
      <c r="AP69" s="79"/>
      <c r="AQ69" s="79"/>
      <c r="AR69" s="79"/>
      <c r="AS69" s="79"/>
    </row>
    <row r="70" spans="1:45" ht="15" customHeight="1" x14ac:dyDescent="0.3">
      <c r="A70" s="139"/>
      <c r="B70" s="1"/>
      <c r="C70" s="140"/>
      <c r="D70" s="142"/>
      <c r="E70" s="142" t="s">
        <v>383</v>
      </c>
      <c r="F70" s="79">
        <v>106.309</v>
      </c>
      <c r="G70" s="36" t="s">
        <v>346</v>
      </c>
      <c r="H70" s="36" t="str">
        <f xml:space="preserve"> Sources!I$39</f>
        <v>M</v>
      </c>
      <c r="I70" s="290">
        <f t="shared" si="5"/>
        <v>106.30400000000003</v>
      </c>
      <c r="J70" s="142"/>
      <c r="K70" s="79"/>
      <c r="L70" s="79"/>
      <c r="M70" s="79"/>
      <c r="N70" s="79"/>
      <c r="O70" s="79"/>
      <c r="P70" s="79"/>
      <c r="Q70" s="79"/>
      <c r="R70" s="79"/>
      <c r="S70" s="79"/>
      <c r="T70" s="79"/>
      <c r="U70" s="79"/>
      <c r="V70" s="79">
        <v>6.6440000000000001</v>
      </c>
      <c r="W70" s="79">
        <v>6.6440000000000001</v>
      </c>
      <c r="X70" s="79">
        <v>6.6440000000000001</v>
      </c>
      <c r="Y70" s="79">
        <v>6.6440000000000001</v>
      </c>
      <c r="Z70" s="79">
        <v>6.6440000000000001</v>
      </c>
      <c r="AA70" s="79">
        <v>6.6440000000000001</v>
      </c>
      <c r="AB70" s="281">
        <v>6.6440000000000001</v>
      </c>
      <c r="AC70" s="281">
        <v>6.6440000000000001</v>
      </c>
      <c r="AD70" s="281">
        <v>6.6440000000000001</v>
      </c>
      <c r="AE70" s="281">
        <v>6.6440000000000001</v>
      </c>
      <c r="AF70" s="281">
        <v>6.6440000000000001</v>
      </c>
      <c r="AG70" s="281">
        <v>6.6440000000000001</v>
      </c>
      <c r="AH70" s="281">
        <v>6.6440000000000001</v>
      </c>
      <c r="AI70" s="281">
        <v>6.6440000000000001</v>
      </c>
      <c r="AJ70" s="79">
        <v>6.6440000000000001</v>
      </c>
      <c r="AK70" s="79">
        <v>6.6440000000000001</v>
      </c>
      <c r="AL70" s="79"/>
      <c r="AM70" s="79"/>
      <c r="AN70" s="79"/>
      <c r="AO70" s="79"/>
      <c r="AP70" s="79"/>
      <c r="AQ70" s="79"/>
      <c r="AR70" s="79"/>
      <c r="AS70" s="79"/>
    </row>
    <row r="71" spans="1:45" ht="15" customHeight="1" x14ac:dyDescent="0.3">
      <c r="A71" s="139"/>
      <c r="B71" s="1"/>
      <c r="C71" s="140"/>
      <c r="D71" s="142"/>
      <c r="E71" s="142" t="s">
        <v>384</v>
      </c>
      <c r="F71" s="79">
        <v>119.10599999999999</v>
      </c>
      <c r="G71" s="36" t="s">
        <v>346</v>
      </c>
      <c r="H71" s="36" t="str">
        <f xml:space="preserve"> Sources!I$39</f>
        <v>M</v>
      </c>
      <c r="I71" s="290">
        <f t="shared" si="5"/>
        <v>119.22500000000001</v>
      </c>
      <c r="J71" s="142"/>
      <c r="K71" s="79"/>
      <c r="L71" s="79"/>
      <c r="M71" s="79"/>
      <c r="N71" s="79"/>
      <c r="O71" s="79"/>
      <c r="P71" s="79"/>
      <c r="Q71" s="79"/>
      <c r="R71" s="79"/>
      <c r="S71" s="79"/>
      <c r="T71" s="79"/>
      <c r="U71" s="79"/>
      <c r="V71" s="79">
        <v>1.0469999999999999</v>
      </c>
      <c r="W71" s="79">
        <v>2.7509999999999999</v>
      </c>
      <c r="X71" s="79">
        <v>4.3440000000000003</v>
      </c>
      <c r="Y71" s="79">
        <v>6.694</v>
      </c>
      <c r="Z71" s="79">
        <v>11.183999999999999</v>
      </c>
      <c r="AA71" s="79">
        <v>10.429</v>
      </c>
      <c r="AB71" s="281">
        <v>9</v>
      </c>
      <c r="AC71" s="281">
        <v>9</v>
      </c>
      <c r="AD71" s="281">
        <v>9</v>
      </c>
      <c r="AE71" s="281">
        <v>9</v>
      </c>
      <c r="AF71" s="281">
        <v>9</v>
      </c>
      <c r="AG71" s="281">
        <v>9</v>
      </c>
      <c r="AH71" s="281">
        <v>9</v>
      </c>
      <c r="AI71" s="281">
        <v>9</v>
      </c>
      <c r="AJ71" s="79">
        <v>7.6230000000000002</v>
      </c>
      <c r="AK71" s="79">
        <v>3.153</v>
      </c>
      <c r="AL71" s="79"/>
      <c r="AM71" s="79"/>
      <c r="AN71" s="79"/>
      <c r="AO71" s="79"/>
      <c r="AP71" s="79"/>
      <c r="AQ71" s="79"/>
      <c r="AR71" s="79"/>
      <c r="AS71" s="79"/>
    </row>
    <row r="72" spans="1:45" ht="15" customHeight="1" x14ac:dyDescent="0.3">
      <c r="A72" s="139"/>
      <c r="B72" s="1"/>
      <c r="C72" s="140"/>
      <c r="D72" s="142"/>
      <c r="E72" s="142" t="s">
        <v>386</v>
      </c>
      <c r="F72" s="79">
        <v>12.8</v>
      </c>
      <c r="G72" s="36" t="s">
        <v>346</v>
      </c>
      <c r="H72" s="36" t="str">
        <f xml:space="preserve"> Sources!I$39</f>
        <v>M</v>
      </c>
      <c r="I72" s="290">
        <f t="shared" si="5"/>
        <v>12.800000000000002</v>
      </c>
      <c r="J72" s="142"/>
      <c r="K72" s="79"/>
      <c r="L72" s="79"/>
      <c r="M72" s="79"/>
      <c r="N72" s="79"/>
      <c r="O72" s="79"/>
      <c r="P72" s="79"/>
      <c r="Q72" s="79"/>
      <c r="R72" s="79"/>
      <c r="S72" s="79"/>
      <c r="T72" s="79"/>
      <c r="U72" s="79"/>
      <c r="V72" s="79">
        <v>0.8</v>
      </c>
      <c r="W72" s="79">
        <v>0.8</v>
      </c>
      <c r="X72" s="79">
        <v>0.8</v>
      </c>
      <c r="Y72" s="79">
        <v>0.8</v>
      </c>
      <c r="Z72" s="79">
        <v>0.8</v>
      </c>
      <c r="AA72" s="79">
        <v>0.8</v>
      </c>
      <c r="AB72" s="281">
        <v>0.8</v>
      </c>
      <c r="AC72" s="281">
        <v>0.8</v>
      </c>
      <c r="AD72" s="281">
        <v>0.8</v>
      </c>
      <c r="AE72" s="281">
        <v>0.8</v>
      </c>
      <c r="AF72" s="281">
        <v>0.8</v>
      </c>
      <c r="AG72" s="281">
        <v>0.8</v>
      </c>
      <c r="AH72" s="281">
        <v>0.8</v>
      </c>
      <c r="AI72" s="281">
        <v>0.8</v>
      </c>
      <c r="AJ72" s="79">
        <v>0.8</v>
      </c>
      <c r="AK72" s="79">
        <v>0.8</v>
      </c>
      <c r="AL72" s="79"/>
      <c r="AM72" s="79"/>
      <c r="AN72" s="79"/>
      <c r="AO72" s="79"/>
      <c r="AP72" s="79"/>
      <c r="AQ72" s="79"/>
      <c r="AR72" s="79"/>
      <c r="AS72" s="79"/>
    </row>
    <row r="73" spans="1:45" ht="15" customHeight="1" x14ac:dyDescent="0.3">
      <c r="A73" s="139"/>
      <c r="B73" s="1"/>
      <c r="C73" s="140"/>
      <c r="D73" s="142"/>
      <c r="E73" s="142" t="s">
        <v>387</v>
      </c>
      <c r="F73" s="76">
        <v>16</v>
      </c>
      <c r="G73" s="36" t="s">
        <v>346</v>
      </c>
      <c r="H73" s="36" t="str">
        <f xml:space="preserve"> Sources!I$39</f>
        <v>M</v>
      </c>
      <c r="I73" s="290">
        <f t="shared" si="5"/>
        <v>16</v>
      </c>
      <c r="J73" s="142"/>
      <c r="K73" s="76"/>
      <c r="L73" s="76"/>
      <c r="M73" s="76"/>
      <c r="N73" s="76"/>
      <c r="O73" s="76"/>
      <c r="P73" s="76"/>
      <c r="Q73" s="76"/>
      <c r="R73" s="76"/>
      <c r="S73" s="76"/>
      <c r="T73" s="76"/>
      <c r="U73" s="76"/>
      <c r="V73" s="76">
        <v>1</v>
      </c>
      <c r="W73" s="76">
        <v>1</v>
      </c>
      <c r="X73" s="76">
        <v>1</v>
      </c>
      <c r="Y73" s="76">
        <v>1</v>
      </c>
      <c r="Z73" s="76">
        <v>1</v>
      </c>
      <c r="AA73" s="76">
        <v>1</v>
      </c>
      <c r="AB73" s="335">
        <v>1</v>
      </c>
      <c r="AC73" s="335">
        <v>1</v>
      </c>
      <c r="AD73" s="335">
        <v>1</v>
      </c>
      <c r="AE73" s="335">
        <v>1</v>
      </c>
      <c r="AF73" s="335">
        <v>1</v>
      </c>
      <c r="AG73" s="335">
        <v>1</v>
      </c>
      <c r="AH73" s="335">
        <v>1</v>
      </c>
      <c r="AI73" s="335">
        <v>1</v>
      </c>
      <c r="AJ73" s="76">
        <v>1</v>
      </c>
      <c r="AK73" s="76">
        <v>1</v>
      </c>
      <c r="AL73" s="79"/>
      <c r="AM73" s="79"/>
      <c r="AN73" s="79"/>
      <c r="AO73" s="79"/>
      <c r="AP73" s="79"/>
      <c r="AQ73" s="79"/>
      <c r="AR73" s="79"/>
      <c r="AS73" s="79"/>
    </row>
    <row r="74" spans="1:45" ht="15" customHeight="1" x14ac:dyDescent="0.3">
      <c r="A74" s="139"/>
      <c r="B74" s="1"/>
      <c r="C74" s="140"/>
      <c r="D74" s="142"/>
      <c r="E74" s="142" t="s">
        <v>385</v>
      </c>
      <c r="F74" s="79">
        <v>739.43899999999996</v>
      </c>
      <c r="G74" s="36" t="s">
        <v>346</v>
      </c>
      <c r="H74" s="36" t="str">
        <f xml:space="preserve"> Sources!I$39</f>
        <v>M</v>
      </c>
      <c r="I74" s="290">
        <f t="shared" si="5"/>
        <v>739.43900000000031</v>
      </c>
      <c r="J74" s="142"/>
      <c r="K74" s="79"/>
      <c r="L74" s="79"/>
      <c r="M74" s="79"/>
      <c r="N74" s="79"/>
      <c r="O74" s="79"/>
      <c r="P74" s="79"/>
      <c r="Q74" s="79"/>
      <c r="R74" s="79"/>
      <c r="S74" s="79"/>
      <c r="T74" s="79"/>
      <c r="U74" s="79"/>
      <c r="V74" s="79">
        <v>29.366</v>
      </c>
      <c r="W74" s="79">
        <v>14.458</v>
      </c>
      <c r="X74" s="79">
        <v>96.558999999999997</v>
      </c>
      <c r="Y74" s="79">
        <v>143.32300000000001</v>
      </c>
      <c r="Z74" s="79">
        <v>78.591999999999999</v>
      </c>
      <c r="AA74" s="79">
        <v>100.86499999999999</v>
      </c>
      <c r="AB74" s="335">
        <v>28.867500000000007</v>
      </c>
      <c r="AC74" s="335">
        <v>28.867500000000007</v>
      </c>
      <c r="AD74" s="335">
        <v>28.867500000000007</v>
      </c>
      <c r="AE74" s="335">
        <v>28.867500000000007</v>
      </c>
      <c r="AF74" s="335">
        <v>28.867500000000007</v>
      </c>
      <c r="AG74" s="335">
        <v>28.867500000000007</v>
      </c>
      <c r="AH74" s="335">
        <v>28.867500000000007</v>
      </c>
      <c r="AI74" s="335">
        <v>28.867500000000007</v>
      </c>
      <c r="AJ74" s="79">
        <v>27.332999999999998</v>
      </c>
      <c r="AK74" s="79">
        <v>18.003</v>
      </c>
      <c r="AL74" s="336"/>
      <c r="AM74" s="336"/>
      <c r="AN74" s="336"/>
      <c r="AO74" s="336"/>
      <c r="AP74" s="336"/>
      <c r="AQ74" s="336"/>
      <c r="AR74" s="336"/>
      <c r="AS74" s="336"/>
    </row>
    <row r="75" spans="1:45" ht="15" customHeight="1" x14ac:dyDescent="0.3">
      <c r="B75" s="1"/>
    </row>
    <row r="76" spans="1:45" ht="15" customHeight="1" x14ac:dyDescent="0.3">
      <c r="B76" s="1" t="s">
        <v>522</v>
      </c>
    </row>
    <row r="77" spans="1:45" ht="15" customHeight="1" x14ac:dyDescent="0.3">
      <c r="A77" s="97"/>
      <c r="B77" s="1"/>
      <c r="C77" s="359"/>
      <c r="D77" s="226"/>
      <c r="E77" s="36" t="s">
        <v>336</v>
      </c>
      <c r="F77" s="390">
        <v>499</v>
      </c>
      <c r="G77" s="36" t="s">
        <v>346</v>
      </c>
      <c r="H77" s="36" t="str">
        <f xml:space="preserve"> Sources!I$39</f>
        <v>M</v>
      </c>
      <c r="I77" s="226"/>
      <c r="J77" s="226"/>
      <c r="K77" s="102"/>
      <c r="L77" s="102"/>
      <c r="M77" s="102"/>
      <c r="N77" s="102"/>
      <c r="O77" s="102"/>
      <c r="P77" s="102"/>
      <c r="Q77" s="102"/>
      <c r="R77" s="102"/>
      <c r="S77" s="102"/>
      <c r="T77" s="102"/>
      <c r="U77" s="102"/>
      <c r="V77" s="102"/>
      <c r="W77" s="102"/>
      <c r="X77" s="102"/>
      <c r="Y77" s="102"/>
      <c r="Z77" s="102"/>
      <c r="AA77" s="102"/>
      <c r="AB77" s="102"/>
      <c r="AC77" s="102"/>
      <c r="AD77" s="102"/>
      <c r="AE77" s="102"/>
      <c r="AF77" s="102"/>
      <c r="AG77" s="102"/>
      <c r="AH77" s="102"/>
      <c r="AI77" s="102"/>
      <c r="AJ77" s="102"/>
      <c r="AK77" s="102"/>
      <c r="AL77" s="102"/>
      <c r="AM77" s="102"/>
      <c r="AN77" s="102"/>
      <c r="AO77" s="102"/>
      <c r="AP77" s="102"/>
      <c r="AQ77" s="102"/>
      <c r="AR77" s="102"/>
      <c r="AS77" s="102"/>
    </row>
    <row r="78" spans="1:45" ht="15" customHeight="1" x14ac:dyDescent="0.3">
      <c r="A78" s="97"/>
      <c r="B78" s="1"/>
      <c r="C78" s="359"/>
      <c r="D78" s="226"/>
      <c r="E78" s="36" t="s">
        <v>343</v>
      </c>
      <c r="F78" s="189">
        <v>0.63439999999999996</v>
      </c>
      <c r="G78" s="36" t="s">
        <v>34</v>
      </c>
      <c r="H78" s="36" t="str">
        <f xml:space="preserve"> Sources!I$39</f>
        <v>M</v>
      </c>
      <c r="I78" s="226"/>
      <c r="J78" s="226"/>
      <c r="K78" s="102"/>
      <c r="L78" s="102"/>
      <c r="M78" s="102"/>
      <c r="N78" s="102"/>
      <c r="O78" s="102"/>
      <c r="P78" s="102"/>
      <c r="Q78" s="102"/>
      <c r="R78" s="102"/>
      <c r="S78" s="102"/>
      <c r="T78" s="102"/>
      <c r="U78" s="102"/>
      <c r="V78" s="102"/>
      <c r="W78" s="102"/>
      <c r="X78" s="102"/>
      <c r="Y78" s="102"/>
      <c r="Z78" s="102"/>
      <c r="AA78" s="102"/>
      <c r="AB78" s="102"/>
      <c r="AC78" s="102"/>
      <c r="AD78" s="102"/>
      <c r="AE78" s="102"/>
      <c r="AF78" s="102"/>
      <c r="AG78" s="102"/>
      <c r="AH78" s="102"/>
      <c r="AI78" s="102"/>
      <c r="AJ78" s="102"/>
      <c r="AK78" s="102"/>
      <c r="AL78" s="102"/>
      <c r="AM78" s="102"/>
      <c r="AN78" s="102"/>
      <c r="AO78" s="102"/>
      <c r="AP78" s="102"/>
      <c r="AQ78" s="102"/>
      <c r="AR78" s="102"/>
      <c r="AS78" s="102"/>
    </row>
    <row r="79" spans="1:45" ht="15" customHeight="1" x14ac:dyDescent="0.3">
      <c r="A79" s="97"/>
      <c r="B79" s="1"/>
      <c r="C79" s="359"/>
      <c r="D79" s="226"/>
      <c r="E79" s="36" t="s">
        <v>337</v>
      </c>
      <c r="F79" s="188">
        <v>5.3400000000000003E-2</v>
      </c>
      <c r="G79" s="36" t="s">
        <v>34</v>
      </c>
      <c r="H79" s="36" t="str">
        <f xml:space="preserve"> Sources!I$39</f>
        <v>M</v>
      </c>
      <c r="I79" s="226"/>
      <c r="J79" s="226"/>
      <c r="K79" s="102"/>
      <c r="L79" s="102"/>
      <c r="M79" s="102"/>
      <c r="N79" s="102"/>
      <c r="O79" s="102"/>
      <c r="P79" s="102"/>
      <c r="Q79" s="102"/>
      <c r="R79" s="102"/>
      <c r="S79" s="102"/>
      <c r="T79" s="102"/>
      <c r="U79" s="102"/>
      <c r="V79" s="102"/>
      <c r="W79" s="102"/>
      <c r="X79" s="102"/>
      <c r="Y79" s="102"/>
      <c r="Z79" s="102"/>
      <c r="AA79" s="102"/>
      <c r="AB79" s="102"/>
      <c r="AC79" s="102"/>
      <c r="AD79" s="102"/>
      <c r="AE79" s="102"/>
      <c r="AF79" s="102"/>
      <c r="AG79" s="102"/>
      <c r="AH79" s="102"/>
      <c r="AI79" s="102"/>
      <c r="AJ79" s="102"/>
      <c r="AK79" s="102"/>
      <c r="AL79" s="102"/>
      <c r="AM79" s="102"/>
      <c r="AN79" s="102"/>
      <c r="AO79" s="102"/>
      <c r="AP79" s="102"/>
      <c r="AQ79" s="102"/>
      <c r="AR79" s="102"/>
      <c r="AS79" s="102"/>
    </row>
    <row r="80" spans="1:45" ht="15" customHeight="1" x14ac:dyDescent="0.3">
      <c r="A80" s="197"/>
      <c r="B80" s="1"/>
      <c r="C80" s="241"/>
      <c r="D80" s="184"/>
      <c r="E80" s="184"/>
      <c r="F80" s="198"/>
      <c r="G80" s="243"/>
      <c r="H80" s="243"/>
      <c r="I80" s="184"/>
      <c r="J80" s="184"/>
      <c r="K80" s="198"/>
      <c r="L80" s="198"/>
      <c r="M80" s="198"/>
      <c r="N80" s="198"/>
      <c r="O80" s="198"/>
      <c r="P80" s="198"/>
      <c r="Q80" s="198"/>
      <c r="R80" s="198"/>
      <c r="S80" s="198"/>
      <c r="T80" s="198"/>
      <c r="U80" s="198"/>
      <c r="V80" s="198"/>
      <c r="W80" s="198"/>
      <c r="X80" s="198"/>
      <c r="Y80" s="198"/>
      <c r="Z80" s="198"/>
      <c r="AA80" s="198"/>
      <c r="AB80" s="198"/>
      <c r="AC80" s="198"/>
      <c r="AD80" s="198"/>
      <c r="AE80" s="198"/>
      <c r="AF80" s="198"/>
      <c r="AG80" s="198"/>
      <c r="AH80" s="198"/>
      <c r="AI80" s="198"/>
      <c r="AJ80" s="198"/>
      <c r="AK80" s="198"/>
      <c r="AL80" s="198"/>
      <c r="AM80" s="198"/>
      <c r="AN80" s="198"/>
      <c r="AO80" s="198"/>
      <c r="AP80" s="198"/>
      <c r="AQ80" s="198"/>
      <c r="AR80" s="198"/>
      <c r="AS80" s="198"/>
    </row>
    <row r="81" spans="1:45" ht="15" customHeight="1" x14ac:dyDescent="0.3">
      <c r="A81" s="97"/>
      <c r="B81" s="1"/>
      <c r="C81" s="359"/>
      <c r="D81" s="226"/>
      <c r="E81" s="36" t="s">
        <v>334</v>
      </c>
      <c r="F81" s="391">
        <v>0.60499999999999998</v>
      </c>
      <c r="G81" s="36" t="s">
        <v>34</v>
      </c>
      <c r="H81" s="36" t="str">
        <f xml:space="preserve"> Sources!I$39</f>
        <v>M</v>
      </c>
      <c r="I81" s="226"/>
      <c r="J81" s="226"/>
      <c r="K81" s="102"/>
      <c r="L81" s="102"/>
      <c r="M81" s="102"/>
      <c r="N81" s="102"/>
      <c r="O81" s="102"/>
      <c r="P81" s="102"/>
      <c r="Q81" s="102"/>
      <c r="R81" s="102"/>
      <c r="S81" s="102"/>
      <c r="T81" s="102"/>
      <c r="U81" s="102"/>
      <c r="V81" s="102"/>
      <c r="W81" s="102"/>
      <c r="X81" s="102"/>
      <c r="Y81" s="102"/>
      <c r="Z81" s="102"/>
      <c r="AA81" s="102"/>
      <c r="AB81" s="102"/>
      <c r="AC81" s="102"/>
      <c r="AD81" s="102"/>
      <c r="AE81" s="102"/>
      <c r="AF81" s="102"/>
      <c r="AG81" s="102"/>
      <c r="AH81" s="102"/>
      <c r="AI81" s="102"/>
      <c r="AJ81" s="102"/>
      <c r="AK81" s="102"/>
      <c r="AL81" s="102"/>
      <c r="AM81" s="102"/>
      <c r="AN81" s="102"/>
      <c r="AO81" s="102"/>
      <c r="AP81" s="102"/>
      <c r="AQ81" s="102"/>
      <c r="AR81" s="102"/>
      <c r="AS81" s="102"/>
    </row>
    <row r="82" spans="1:45" ht="15" customHeight="1" x14ac:dyDescent="0.3">
      <c r="A82" s="197"/>
      <c r="B82" s="1"/>
      <c r="C82" s="241"/>
      <c r="D82" s="184"/>
      <c r="E82" s="184"/>
      <c r="F82" s="198"/>
      <c r="G82" s="243"/>
      <c r="H82" s="243"/>
      <c r="I82" s="184"/>
      <c r="J82" s="184"/>
      <c r="K82" s="198"/>
      <c r="L82" s="198"/>
      <c r="M82" s="198"/>
      <c r="N82" s="198"/>
      <c r="O82" s="198"/>
      <c r="P82" s="198"/>
      <c r="Q82" s="198"/>
      <c r="R82" s="198"/>
      <c r="S82" s="198"/>
      <c r="T82" s="198"/>
      <c r="U82" s="198"/>
      <c r="V82" s="198"/>
      <c r="W82" s="198"/>
      <c r="X82" s="198"/>
      <c r="Y82" s="198"/>
      <c r="Z82" s="198"/>
      <c r="AA82" s="198"/>
      <c r="AB82" s="198"/>
      <c r="AC82" s="198"/>
      <c r="AD82" s="198"/>
      <c r="AE82" s="198"/>
      <c r="AF82" s="198"/>
      <c r="AG82" s="198"/>
      <c r="AH82" s="198"/>
      <c r="AI82" s="198"/>
      <c r="AJ82" s="198"/>
      <c r="AK82" s="198"/>
      <c r="AL82" s="198"/>
      <c r="AM82" s="198"/>
      <c r="AN82" s="198"/>
      <c r="AO82" s="198"/>
      <c r="AP82" s="198"/>
      <c r="AQ82" s="198"/>
      <c r="AR82" s="198"/>
      <c r="AS82" s="198"/>
    </row>
    <row r="83" spans="1:45" ht="15" customHeight="1" x14ac:dyDescent="0.3">
      <c r="A83" s="97"/>
      <c r="B83" s="1"/>
      <c r="C83" s="359"/>
      <c r="D83" s="226"/>
      <c r="E83" s="36" t="s">
        <v>339</v>
      </c>
      <c r="F83" s="248">
        <v>99</v>
      </c>
      <c r="G83" s="36" t="s">
        <v>346</v>
      </c>
      <c r="H83" s="36" t="str">
        <f xml:space="preserve"> Sources!I$39</f>
        <v>M</v>
      </c>
      <c r="I83" s="226"/>
      <c r="J83" s="226"/>
      <c r="K83" s="102"/>
      <c r="L83" s="102"/>
      <c r="M83" s="102"/>
      <c r="N83" s="102"/>
      <c r="O83" s="102"/>
      <c r="P83" s="102"/>
      <c r="Q83" s="102"/>
      <c r="R83" s="102"/>
      <c r="S83" s="102"/>
      <c r="T83" s="102"/>
      <c r="U83" s="102"/>
      <c r="V83" s="102"/>
      <c r="W83" s="102"/>
      <c r="X83" s="102"/>
      <c r="Y83" s="102"/>
      <c r="Z83" s="102"/>
      <c r="AA83" s="102"/>
      <c r="AB83" s="102"/>
      <c r="AC83" s="102"/>
      <c r="AD83" s="102"/>
      <c r="AE83" s="102"/>
      <c r="AF83" s="102"/>
      <c r="AG83" s="102"/>
      <c r="AH83" s="102"/>
      <c r="AI83" s="102"/>
      <c r="AJ83" s="102"/>
      <c r="AK83" s="102"/>
      <c r="AL83" s="102"/>
      <c r="AM83" s="102"/>
      <c r="AN83" s="102"/>
      <c r="AO83" s="102"/>
      <c r="AP83" s="102"/>
      <c r="AQ83" s="102"/>
      <c r="AR83" s="102"/>
      <c r="AS83" s="102"/>
    </row>
    <row r="84" spans="1:45" ht="15" customHeight="1" x14ac:dyDescent="0.3">
      <c r="A84" s="97"/>
      <c r="B84" s="1"/>
      <c r="C84" s="359"/>
      <c r="D84" s="226"/>
      <c r="E84" s="36" t="s">
        <v>340</v>
      </c>
      <c r="F84" s="253">
        <v>0</v>
      </c>
      <c r="G84" s="36" t="s">
        <v>34</v>
      </c>
      <c r="H84" s="36" t="str">
        <f xml:space="preserve"> Sources!I$39</f>
        <v>M</v>
      </c>
      <c r="I84" s="226"/>
      <c r="J84" s="226"/>
      <c r="K84" s="102"/>
      <c r="L84" s="102"/>
      <c r="M84" s="102"/>
      <c r="N84" s="102"/>
      <c r="O84" s="102"/>
      <c r="P84" s="102"/>
      <c r="Q84" s="102"/>
      <c r="R84" s="102"/>
      <c r="S84" s="102"/>
      <c r="T84" s="102"/>
      <c r="U84" s="102"/>
      <c r="V84" s="102"/>
      <c r="W84" s="102"/>
      <c r="X84" s="102"/>
      <c r="Y84" s="102"/>
      <c r="Z84" s="102"/>
      <c r="AA84" s="102"/>
      <c r="AB84" s="102"/>
      <c r="AC84" s="102"/>
      <c r="AD84" s="102"/>
      <c r="AE84" s="102"/>
      <c r="AF84" s="102"/>
      <c r="AG84" s="102"/>
      <c r="AH84" s="102"/>
      <c r="AI84" s="102"/>
      <c r="AJ84" s="102"/>
      <c r="AK84" s="102"/>
      <c r="AL84" s="102"/>
      <c r="AM84" s="102"/>
      <c r="AN84" s="102"/>
      <c r="AO84" s="102"/>
      <c r="AP84" s="102"/>
      <c r="AQ84" s="102"/>
      <c r="AR84" s="102"/>
      <c r="AS84" s="102"/>
    </row>
    <row r="85" spans="1:45" ht="15" customHeight="1" x14ac:dyDescent="0.3">
      <c r="A85" s="197"/>
      <c r="B85" s="1"/>
      <c r="C85" s="241"/>
      <c r="D85" s="184"/>
      <c r="E85" s="184"/>
      <c r="F85" s="198"/>
      <c r="G85" s="243"/>
      <c r="H85" s="243"/>
      <c r="I85" s="184"/>
      <c r="J85" s="184"/>
      <c r="K85" s="198"/>
      <c r="L85" s="198"/>
      <c r="M85" s="198"/>
      <c r="N85" s="198"/>
      <c r="O85" s="198"/>
      <c r="P85" s="198"/>
      <c r="Q85" s="198"/>
      <c r="R85" s="198"/>
      <c r="S85" s="198"/>
      <c r="T85" s="198"/>
      <c r="U85" s="198"/>
      <c r="V85" s="198"/>
      <c r="W85" s="198"/>
      <c r="X85" s="198"/>
      <c r="Y85" s="198"/>
      <c r="Z85" s="198"/>
      <c r="AA85" s="198"/>
      <c r="AB85" s="198"/>
      <c r="AC85" s="198"/>
      <c r="AD85" s="198"/>
      <c r="AE85" s="198"/>
      <c r="AF85" s="198"/>
      <c r="AG85" s="198"/>
      <c r="AH85" s="198"/>
      <c r="AI85" s="198"/>
      <c r="AJ85" s="198"/>
      <c r="AK85" s="198"/>
      <c r="AL85" s="198"/>
      <c r="AM85" s="198"/>
      <c r="AN85" s="198"/>
      <c r="AO85" s="198"/>
      <c r="AP85" s="198"/>
      <c r="AQ85" s="198"/>
      <c r="AR85" s="198"/>
      <c r="AS85" s="198"/>
    </row>
    <row r="86" spans="1:45" ht="15" customHeight="1" x14ac:dyDescent="0.3">
      <c r="A86" s="139"/>
      <c r="B86" s="1"/>
      <c r="C86" s="140"/>
      <c r="D86" s="142"/>
      <c r="E86" s="36" t="s">
        <v>342</v>
      </c>
      <c r="F86" s="248">
        <v>200</v>
      </c>
      <c r="G86" s="36" t="s">
        <v>346</v>
      </c>
      <c r="H86" s="36" t="str">
        <f xml:space="preserve"> Sources!I$39</f>
        <v>M</v>
      </c>
      <c r="I86" s="142"/>
      <c r="J86" s="36"/>
      <c r="K86" s="198"/>
      <c r="L86" s="198"/>
      <c r="M86" s="198"/>
      <c r="N86" s="198"/>
      <c r="O86" s="198"/>
      <c r="P86" s="198"/>
      <c r="Q86" s="198"/>
      <c r="R86" s="143"/>
      <c r="S86" s="198"/>
      <c r="T86" s="198"/>
      <c r="U86" s="143"/>
      <c r="V86" s="143"/>
      <c r="W86" s="215"/>
      <c r="X86" s="215"/>
      <c r="Y86" s="215"/>
      <c r="Z86" s="215"/>
      <c r="AA86" s="215"/>
      <c r="AB86" s="215"/>
      <c r="AC86" s="198"/>
      <c r="AD86" s="198"/>
      <c r="AE86" s="198"/>
      <c r="AF86" s="198"/>
      <c r="AG86" s="198"/>
      <c r="AH86" s="198"/>
      <c r="AI86" s="198"/>
      <c r="AJ86" s="198"/>
      <c r="AK86" s="198"/>
      <c r="AL86" s="198"/>
      <c r="AM86" s="198"/>
      <c r="AN86" s="198"/>
      <c r="AO86" s="198"/>
      <c r="AP86" s="198"/>
      <c r="AQ86" s="198"/>
      <c r="AR86" s="198"/>
      <c r="AS86" s="198"/>
    </row>
    <row r="87" spans="1:45" ht="15" customHeight="1" x14ac:dyDescent="0.3">
      <c r="A87" s="139"/>
      <c r="B87" s="1"/>
      <c r="C87" s="140"/>
      <c r="D87" s="142"/>
      <c r="E87" s="36" t="s">
        <v>343</v>
      </c>
      <c r="F87" s="188">
        <v>0.7</v>
      </c>
      <c r="G87" s="36" t="s">
        <v>34</v>
      </c>
      <c r="H87" s="36" t="str">
        <f xml:space="preserve"> Sources!I$39</f>
        <v>M</v>
      </c>
      <c r="I87" s="142"/>
      <c r="J87" s="36"/>
      <c r="K87" s="198"/>
      <c r="L87" s="198"/>
      <c r="M87" s="198"/>
      <c r="N87" s="198"/>
      <c r="O87" s="198"/>
      <c r="P87" s="198"/>
      <c r="Q87" s="198"/>
      <c r="R87" s="215"/>
      <c r="S87" s="198"/>
      <c r="T87" s="198"/>
      <c r="U87" s="215"/>
      <c r="V87" s="215"/>
      <c r="W87" s="215"/>
      <c r="X87" s="215"/>
      <c r="Y87" s="215"/>
      <c r="Z87" s="215"/>
      <c r="AA87" s="198"/>
      <c r="AB87" s="198"/>
      <c r="AC87" s="198"/>
      <c r="AD87" s="198"/>
      <c r="AE87" s="198"/>
      <c r="AF87" s="198"/>
      <c r="AG87" s="198"/>
      <c r="AH87" s="198"/>
      <c r="AI87" s="198"/>
      <c r="AJ87" s="198"/>
      <c r="AK87" s="198"/>
      <c r="AL87" s="198"/>
      <c r="AM87" s="198"/>
      <c r="AN87" s="198"/>
      <c r="AO87" s="198"/>
      <c r="AP87" s="198"/>
      <c r="AQ87" s="198"/>
      <c r="AR87" s="198"/>
      <c r="AS87" s="198"/>
    </row>
    <row r="88" spans="1:45" ht="15" customHeight="1" x14ac:dyDescent="0.3">
      <c r="A88" s="53"/>
      <c r="B88" s="1"/>
      <c r="C88" s="178"/>
      <c r="D88" s="59"/>
      <c r="E88" s="246"/>
      <c r="F88" s="74"/>
      <c r="G88" s="246"/>
      <c r="H88" s="136"/>
      <c r="I88" s="184"/>
      <c r="J88" s="246"/>
      <c r="K88" s="198"/>
      <c r="L88" s="198"/>
      <c r="M88" s="198"/>
      <c r="N88" s="198"/>
      <c r="O88" s="198"/>
      <c r="P88" s="198"/>
      <c r="Q88" s="198"/>
      <c r="R88" s="215"/>
      <c r="S88" s="198"/>
      <c r="T88" s="198"/>
      <c r="U88" s="215"/>
      <c r="V88" s="215"/>
      <c r="W88" s="215"/>
      <c r="X88" s="215"/>
      <c r="Y88" s="215"/>
      <c r="Z88" s="215"/>
      <c r="AA88" s="198"/>
      <c r="AB88" s="198"/>
      <c r="AC88" s="198"/>
      <c r="AD88" s="198"/>
      <c r="AE88" s="198"/>
      <c r="AF88" s="198"/>
      <c r="AG88" s="198"/>
      <c r="AH88" s="198"/>
      <c r="AI88" s="198"/>
      <c r="AJ88" s="198"/>
      <c r="AK88" s="198"/>
      <c r="AL88" s="198"/>
      <c r="AM88" s="198"/>
      <c r="AN88" s="198"/>
      <c r="AO88" s="198"/>
      <c r="AP88" s="198"/>
      <c r="AQ88" s="198"/>
      <c r="AR88" s="198"/>
      <c r="AS88" s="198"/>
    </row>
    <row r="89" spans="1:45" ht="15" customHeight="1" x14ac:dyDescent="0.3">
      <c r="A89" s="97"/>
      <c r="B89" s="1"/>
      <c r="C89" s="359"/>
      <c r="D89" s="226"/>
      <c r="E89" s="36" t="s">
        <v>344</v>
      </c>
      <c r="F89" s="248">
        <v>200</v>
      </c>
      <c r="G89" s="36" t="s">
        <v>346</v>
      </c>
      <c r="H89" s="36" t="str">
        <f xml:space="preserve"> Sources!I$39</f>
        <v>M</v>
      </c>
      <c r="I89" s="226"/>
      <c r="J89" s="386"/>
      <c r="K89" s="102"/>
      <c r="L89" s="102"/>
      <c r="M89" s="102"/>
      <c r="N89" s="102"/>
      <c r="O89" s="102"/>
      <c r="P89" s="102"/>
      <c r="Q89" s="102"/>
      <c r="R89" s="393"/>
      <c r="S89" s="102"/>
      <c r="T89" s="102"/>
      <c r="U89" s="393"/>
      <c r="V89" s="393"/>
      <c r="W89" s="393"/>
      <c r="X89" s="393"/>
      <c r="Y89" s="393"/>
      <c r="Z89" s="393"/>
      <c r="AA89" s="102"/>
      <c r="AB89" s="102"/>
      <c r="AC89" s="102"/>
      <c r="AD89" s="102"/>
      <c r="AE89" s="102"/>
      <c r="AF89" s="102"/>
      <c r="AG89" s="102"/>
      <c r="AH89" s="102"/>
      <c r="AI89" s="102"/>
      <c r="AJ89" s="102"/>
      <c r="AK89" s="102"/>
      <c r="AL89" s="102"/>
      <c r="AM89" s="102"/>
      <c r="AN89" s="102"/>
      <c r="AO89" s="102"/>
      <c r="AP89" s="102"/>
      <c r="AQ89" s="102"/>
      <c r="AR89" s="102"/>
      <c r="AS89" s="102"/>
    </row>
    <row r="90" spans="1:45" ht="15" customHeight="1" x14ac:dyDescent="0.3">
      <c r="A90" s="97"/>
      <c r="B90" s="1"/>
      <c r="C90" s="359"/>
      <c r="D90" s="226"/>
      <c r="E90" s="36" t="s">
        <v>343</v>
      </c>
      <c r="F90" s="188">
        <v>0.7</v>
      </c>
      <c r="G90" s="36" t="s">
        <v>34</v>
      </c>
      <c r="H90" s="36" t="str">
        <f xml:space="preserve"> Sources!I$39</f>
        <v>M</v>
      </c>
      <c r="I90" s="226"/>
      <c r="J90" s="386"/>
      <c r="K90" s="102"/>
      <c r="L90" s="102"/>
      <c r="M90" s="102"/>
      <c r="N90" s="102"/>
      <c r="O90" s="102"/>
      <c r="P90" s="102"/>
      <c r="Q90" s="102"/>
      <c r="R90" s="393"/>
      <c r="S90" s="102"/>
      <c r="T90" s="102"/>
      <c r="U90" s="393"/>
      <c r="V90" s="393"/>
      <c r="W90" s="393"/>
      <c r="X90" s="393"/>
      <c r="Y90" s="393"/>
      <c r="Z90" s="393"/>
      <c r="AA90" s="102"/>
      <c r="AB90" s="102"/>
      <c r="AC90" s="102"/>
      <c r="AD90" s="102"/>
      <c r="AE90" s="102"/>
      <c r="AF90" s="102"/>
      <c r="AG90" s="102"/>
      <c r="AH90" s="102"/>
      <c r="AI90" s="102"/>
      <c r="AJ90" s="102"/>
      <c r="AK90" s="102"/>
      <c r="AL90" s="102"/>
      <c r="AM90" s="102"/>
      <c r="AN90" s="102"/>
      <c r="AO90" s="102"/>
      <c r="AP90" s="102"/>
      <c r="AQ90" s="102"/>
      <c r="AR90" s="102"/>
      <c r="AS90" s="102"/>
    </row>
    <row r="91" spans="1:45" ht="15" customHeight="1" x14ac:dyDescent="0.3">
      <c r="A91" s="97"/>
      <c r="B91" s="1"/>
      <c r="C91" s="359"/>
      <c r="D91" s="226"/>
      <c r="E91" s="36"/>
      <c r="F91" s="193"/>
      <c r="G91" s="36"/>
      <c r="H91" s="36"/>
      <c r="I91" s="226"/>
      <c r="J91" s="386"/>
      <c r="K91" s="102"/>
      <c r="L91" s="102"/>
      <c r="M91" s="102"/>
      <c r="N91" s="102"/>
      <c r="O91" s="102"/>
      <c r="P91" s="102"/>
      <c r="Q91" s="102"/>
      <c r="R91" s="393"/>
      <c r="S91" s="102"/>
      <c r="T91" s="102"/>
      <c r="U91" s="393"/>
      <c r="V91" s="393"/>
      <c r="W91" s="393"/>
      <c r="X91" s="393"/>
      <c r="Y91" s="393"/>
      <c r="Z91" s="393"/>
      <c r="AA91" s="102"/>
      <c r="AB91" s="102"/>
      <c r="AC91" s="102"/>
      <c r="AD91" s="102"/>
      <c r="AE91" s="102"/>
      <c r="AF91" s="102"/>
      <c r="AG91" s="102"/>
      <c r="AH91" s="102"/>
      <c r="AI91" s="102"/>
      <c r="AJ91" s="102"/>
      <c r="AK91" s="102"/>
      <c r="AL91" s="102"/>
      <c r="AM91" s="102"/>
      <c r="AN91" s="102"/>
      <c r="AO91" s="102"/>
      <c r="AP91" s="102"/>
      <c r="AQ91" s="102"/>
      <c r="AR91" s="102"/>
      <c r="AS91" s="102"/>
    </row>
    <row r="92" spans="1:45" ht="15" customHeight="1" x14ac:dyDescent="0.3">
      <c r="A92" s="53"/>
      <c r="B92" s="1"/>
      <c r="C92" s="178" t="s">
        <v>535</v>
      </c>
      <c r="D92" s="59"/>
      <c r="E92" s="246"/>
      <c r="F92" s="74"/>
      <c r="G92" s="246"/>
      <c r="H92" s="136"/>
      <c r="I92" s="184"/>
      <c r="J92" s="246"/>
      <c r="K92" s="198"/>
      <c r="L92" s="198"/>
      <c r="M92" s="198"/>
      <c r="N92" s="198"/>
      <c r="O92" s="198"/>
      <c r="P92" s="198"/>
      <c r="Q92" s="198"/>
      <c r="R92" s="215"/>
      <c r="S92" s="198"/>
      <c r="T92" s="198"/>
      <c r="U92" s="215"/>
      <c r="V92" s="215"/>
      <c r="W92" s="215"/>
      <c r="X92" s="215"/>
      <c r="Y92" s="215"/>
      <c r="Z92" s="215"/>
      <c r="AA92" s="198"/>
      <c r="AB92" s="198"/>
      <c r="AC92" s="198"/>
      <c r="AD92" s="198"/>
      <c r="AE92" s="198"/>
      <c r="AF92" s="198"/>
      <c r="AG92" s="198"/>
      <c r="AH92" s="198"/>
      <c r="AI92" s="198"/>
      <c r="AJ92" s="198"/>
      <c r="AK92" s="198"/>
      <c r="AL92" s="198"/>
      <c r="AM92" s="198"/>
      <c r="AN92" s="198"/>
      <c r="AO92" s="198"/>
      <c r="AP92" s="198"/>
      <c r="AQ92" s="198"/>
      <c r="AR92" s="198"/>
      <c r="AS92" s="198"/>
    </row>
    <row r="93" spans="1:45" ht="15" customHeight="1" x14ac:dyDescent="0.3">
      <c r="A93" s="180"/>
      <c r="B93" s="1"/>
      <c r="C93" s="181"/>
      <c r="D93" s="36"/>
      <c r="E93" s="36" t="s">
        <v>358</v>
      </c>
      <c r="F93" s="36"/>
      <c r="G93" s="36" t="s">
        <v>346</v>
      </c>
      <c r="H93" s="36" t="str">
        <f xml:space="preserve"> Sources!I$39</f>
        <v>M</v>
      </c>
      <c r="I93" s="290">
        <f t="shared" ref="I93" si="6">SUM(K93:AP93)</f>
        <v>99</v>
      </c>
      <c r="J93" s="36"/>
      <c r="K93" s="253"/>
      <c r="L93" s="253"/>
      <c r="M93" s="253"/>
      <c r="N93" s="253"/>
      <c r="O93" s="253"/>
      <c r="P93" s="253"/>
      <c r="Q93" s="253"/>
      <c r="R93" s="253"/>
      <c r="S93" s="253">
        <v>0</v>
      </c>
      <c r="T93" s="253">
        <v>0</v>
      </c>
      <c r="U93" s="253">
        <v>0</v>
      </c>
      <c r="V93" s="253">
        <v>99</v>
      </c>
      <c r="W93" s="253">
        <v>0</v>
      </c>
      <c r="X93" s="253">
        <v>0</v>
      </c>
      <c r="Y93" s="253">
        <v>0</v>
      </c>
      <c r="Z93" s="253">
        <v>0</v>
      </c>
      <c r="AA93" s="253">
        <v>0</v>
      </c>
      <c r="AB93" s="253">
        <v>0</v>
      </c>
      <c r="AC93" s="253">
        <v>0</v>
      </c>
      <c r="AD93" s="253">
        <v>0</v>
      </c>
      <c r="AE93" s="253">
        <v>0</v>
      </c>
      <c r="AF93" s="253">
        <v>0</v>
      </c>
      <c r="AG93" s="253">
        <v>0</v>
      </c>
      <c r="AH93" s="253">
        <v>0</v>
      </c>
      <c r="AI93" s="253">
        <v>0</v>
      </c>
      <c r="AJ93" s="253">
        <v>0</v>
      </c>
      <c r="AK93" s="253">
        <v>0</v>
      </c>
      <c r="AL93" s="253">
        <v>0</v>
      </c>
      <c r="AM93" s="253">
        <v>0</v>
      </c>
      <c r="AN93" s="253">
        <v>0</v>
      </c>
      <c r="AO93" s="253">
        <v>0</v>
      </c>
      <c r="AP93" s="253">
        <v>0</v>
      </c>
      <c r="AQ93" s="253">
        <v>0</v>
      </c>
      <c r="AR93" s="253">
        <v>0</v>
      </c>
      <c r="AS93" s="253">
        <v>0</v>
      </c>
    </row>
    <row r="94" spans="1:45" ht="15" customHeight="1" x14ac:dyDescent="0.3">
      <c r="A94" s="180"/>
      <c r="B94" s="1"/>
      <c r="C94" s="181"/>
      <c r="D94" s="36"/>
      <c r="E94" s="36" t="s">
        <v>463</v>
      </c>
      <c r="F94" s="36"/>
      <c r="G94" s="36" t="s">
        <v>346</v>
      </c>
      <c r="H94" s="36" t="str">
        <f xml:space="preserve"> Sources!I$39</f>
        <v>M</v>
      </c>
      <c r="I94" s="290">
        <f>SUM(K94:AP94)</f>
        <v>99</v>
      </c>
      <c r="J94" s="36"/>
      <c r="K94" s="253"/>
      <c r="L94" s="253"/>
      <c r="M94" s="253"/>
      <c r="N94" s="253"/>
      <c r="O94" s="253"/>
      <c r="P94" s="253"/>
      <c r="Q94" s="253"/>
      <c r="R94" s="253"/>
      <c r="S94" s="253">
        <v>0</v>
      </c>
      <c r="T94" s="253">
        <v>0</v>
      </c>
      <c r="U94" s="253">
        <v>0</v>
      </c>
      <c r="V94" s="253">
        <v>0</v>
      </c>
      <c r="W94" s="253">
        <v>99</v>
      </c>
      <c r="X94" s="253">
        <v>0</v>
      </c>
      <c r="Y94" s="253">
        <v>0</v>
      </c>
      <c r="Z94" s="253">
        <v>0</v>
      </c>
      <c r="AA94" s="253">
        <v>0</v>
      </c>
      <c r="AB94" s="253">
        <v>0</v>
      </c>
      <c r="AC94" s="253">
        <v>0</v>
      </c>
      <c r="AD94" s="253">
        <v>0</v>
      </c>
      <c r="AE94" s="253">
        <v>0</v>
      </c>
      <c r="AF94" s="253">
        <v>0</v>
      </c>
      <c r="AG94" s="253">
        <v>0</v>
      </c>
      <c r="AH94" s="253">
        <v>0</v>
      </c>
      <c r="AI94" s="253">
        <v>0</v>
      </c>
      <c r="AJ94" s="253">
        <v>0</v>
      </c>
      <c r="AK94" s="253">
        <v>0</v>
      </c>
      <c r="AL94" s="253">
        <v>0</v>
      </c>
      <c r="AM94" s="253">
        <v>0</v>
      </c>
      <c r="AN94" s="253">
        <v>0</v>
      </c>
      <c r="AO94" s="253">
        <v>0</v>
      </c>
      <c r="AP94" s="253">
        <v>0</v>
      </c>
      <c r="AQ94" s="253">
        <v>0</v>
      </c>
      <c r="AR94" s="253">
        <v>0</v>
      </c>
      <c r="AS94" s="253">
        <v>0</v>
      </c>
    </row>
    <row r="95" spans="1:45" ht="15" customHeight="1" x14ac:dyDescent="0.3">
      <c r="A95" s="180"/>
      <c r="B95" s="1"/>
      <c r="C95" s="181"/>
      <c r="D95" s="36"/>
      <c r="E95" s="36"/>
      <c r="F95" s="36"/>
      <c r="G95" s="36"/>
      <c r="H95" s="36"/>
      <c r="I95" s="36"/>
      <c r="J95" s="36"/>
      <c r="K95" s="260"/>
      <c r="L95" s="260"/>
      <c r="M95" s="260"/>
      <c r="N95" s="260"/>
      <c r="O95" s="260"/>
      <c r="P95" s="260"/>
      <c r="Q95" s="260"/>
      <c r="R95" s="260"/>
      <c r="S95" s="260"/>
      <c r="T95" s="260"/>
      <c r="U95" s="260"/>
      <c r="V95" s="260"/>
      <c r="W95" s="260"/>
      <c r="X95" s="260"/>
      <c r="Y95" s="260"/>
      <c r="Z95" s="260"/>
      <c r="AA95" s="260"/>
      <c r="AB95" s="260"/>
      <c r="AC95" s="260"/>
      <c r="AD95" s="260"/>
      <c r="AE95" s="260"/>
      <c r="AF95" s="260"/>
      <c r="AG95" s="260"/>
      <c r="AH95" s="260"/>
      <c r="AI95" s="260"/>
      <c r="AJ95" s="260"/>
      <c r="AK95" s="260"/>
      <c r="AL95" s="260"/>
      <c r="AM95" s="260"/>
      <c r="AN95" s="260"/>
      <c r="AO95" s="260"/>
      <c r="AP95" s="260"/>
      <c r="AQ95" s="260"/>
      <c r="AR95" s="260"/>
      <c r="AS95" s="260"/>
    </row>
    <row r="96" spans="1:45" ht="15" customHeight="1" x14ac:dyDescent="0.3">
      <c r="A96" s="180"/>
      <c r="B96" s="1"/>
      <c r="C96" s="181" t="s">
        <v>534</v>
      </c>
      <c r="D96" s="36"/>
      <c r="E96" s="36"/>
      <c r="F96" s="36"/>
      <c r="G96" s="36"/>
      <c r="H96" s="183"/>
      <c r="I96" s="36"/>
      <c r="J96" s="36"/>
      <c r="K96" s="36"/>
      <c r="L96" s="36"/>
      <c r="M96" s="36"/>
      <c r="N96" s="36"/>
      <c r="O96" s="36"/>
      <c r="P96" s="36"/>
      <c r="Q96" s="36"/>
      <c r="R96" s="36"/>
      <c r="S96" s="36"/>
      <c r="T96" s="36"/>
      <c r="U96" s="36"/>
      <c r="V96" s="36"/>
      <c r="W96" s="36"/>
      <c r="X96" s="36"/>
      <c r="Y96" s="36"/>
      <c r="Z96" s="36"/>
      <c r="AA96" s="36"/>
      <c r="AB96" s="36"/>
      <c r="AC96" s="36"/>
      <c r="AD96" s="36"/>
      <c r="AE96" s="36"/>
      <c r="AF96" s="36"/>
      <c r="AG96" s="36"/>
      <c r="AH96" s="36"/>
      <c r="AI96" s="36"/>
      <c r="AJ96" s="36"/>
      <c r="AK96" s="36"/>
      <c r="AL96" s="36"/>
      <c r="AM96" s="36"/>
      <c r="AN96" s="36"/>
      <c r="AO96" s="36"/>
      <c r="AP96" s="36"/>
      <c r="AQ96" s="36"/>
      <c r="AR96" s="36"/>
      <c r="AS96" s="36"/>
    </row>
    <row r="97" spans="1:45" ht="15" customHeight="1" x14ac:dyDescent="0.3">
      <c r="A97" s="180"/>
      <c r="B97" s="1"/>
      <c r="C97" s="181"/>
      <c r="D97" s="36"/>
      <c r="E97" s="36" t="s">
        <v>360</v>
      </c>
      <c r="F97" s="36"/>
      <c r="G97" s="36" t="s">
        <v>346</v>
      </c>
      <c r="H97" s="36" t="str">
        <f xml:space="preserve"> Sources!I$39</f>
        <v>M</v>
      </c>
      <c r="I97" s="290">
        <f t="shared" ref="I97:I100" si="7">SUM(K97:AP97)</f>
        <v>200</v>
      </c>
      <c r="J97" s="36"/>
      <c r="K97" s="253"/>
      <c r="L97" s="253"/>
      <c r="M97" s="253"/>
      <c r="N97" s="253"/>
      <c r="O97" s="253"/>
      <c r="P97" s="253"/>
      <c r="Q97" s="253"/>
      <c r="R97" s="253"/>
      <c r="S97" s="253"/>
      <c r="T97" s="253"/>
      <c r="U97" s="253"/>
      <c r="V97" s="253"/>
      <c r="W97" s="253">
        <v>200</v>
      </c>
      <c r="X97" s="253"/>
      <c r="Y97" s="253"/>
      <c r="Z97" s="253"/>
      <c r="AA97" s="253"/>
      <c r="AB97" s="253"/>
      <c r="AC97" s="253"/>
      <c r="AD97" s="253"/>
      <c r="AE97" s="253"/>
      <c r="AF97" s="253"/>
      <c r="AG97" s="253"/>
      <c r="AH97" s="253"/>
      <c r="AI97" s="253"/>
      <c r="AJ97" s="253"/>
      <c r="AK97" s="253"/>
      <c r="AL97" s="253"/>
      <c r="AM97" s="253"/>
      <c r="AN97" s="253"/>
      <c r="AO97" s="253"/>
      <c r="AP97" s="253"/>
      <c r="AQ97" s="253"/>
      <c r="AR97" s="253"/>
      <c r="AS97" s="253"/>
    </row>
    <row r="98" spans="1:45" ht="15" customHeight="1" x14ac:dyDescent="0.3">
      <c r="A98" s="180"/>
      <c r="B98" s="1"/>
      <c r="C98" s="181"/>
      <c r="D98" s="36"/>
      <c r="E98" s="36" t="s">
        <v>361</v>
      </c>
      <c r="F98" s="36"/>
      <c r="G98" s="36" t="s">
        <v>346</v>
      </c>
      <c r="H98" s="36" t="str">
        <f xml:space="preserve"> Sources!I$39</f>
        <v>M</v>
      </c>
      <c r="I98" s="290">
        <f t="shared" si="7"/>
        <v>200</v>
      </c>
      <c r="J98" s="36"/>
      <c r="K98" s="253"/>
      <c r="L98" s="253"/>
      <c r="M98" s="253"/>
      <c r="N98" s="253"/>
      <c r="O98" s="253"/>
      <c r="P98" s="253"/>
      <c r="Q98" s="253"/>
      <c r="R98" s="253"/>
      <c r="S98" s="253"/>
      <c r="T98" s="253"/>
      <c r="U98" s="253"/>
      <c r="V98" s="253"/>
      <c r="W98" s="253"/>
      <c r="X98" s="253">
        <v>26</v>
      </c>
      <c r="Y98" s="253">
        <v>50</v>
      </c>
      <c r="Z98" s="253">
        <v>49</v>
      </c>
      <c r="AA98" s="253">
        <v>15</v>
      </c>
      <c r="AB98" s="253">
        <v>15</v>
      </c>
      <c r="AC98" s="253">
        <v>15</v>
      </c>
      <c r="AD98" s="253">
        <v>15</v>
      </c>
      <c r="AE98" s="253">
        <v>15</v>
      </c>
      <c r="AF98" s="253"/>
      <c r="AG98" s="253"/>
      <c r="AH98" s="253"/>
      <c r="AI98" s="253"/>
      <c r="AJ98" s="253"/>
      <c r="AK98" s="253"/>
      <c r="AL98" s="253"/>
      <c r="AM98" s="253"/>
      <c r="AN98" s="253"/>
      <c r="AO98" s="253"/>
      <c r="AP98" s="253"/>
      <c r="AQ98" s="253"/>
      <c r="AR98" s="253"/>
      <c r="AS98" s="253"/>
    </row>
    <row r="99" spans="1:45" ht="15" customHeight="1" x14ac:dyDescent="0.3">
      <c r="A99" s="180"/>
      <c r="B99" s="1"/>
      <c r="C99" s="181"/>
      <c r="D99" s="36"/>
      <c r="E99" s="36" t="s">
        <v>362</v>
      </c>
      <c r="F99" s="36"/>
      <c r="G99" s="36" t="s">
        <v>346</v>
      </c>
      <c r="H99" s="36" t="str">
        <f xml:space="preserve"> Sources!I$39</f>
        <v>M</v>
      </c>
      <c r="I99" s="290">
        <f t="shared" si="7"/>
        <v>23.910740000000001</v>
      </c>
      <c r="J99" s="36"/>
      <c r="K99" s="253"/>
      <c r="L99" s="253"/>
      <c r="M99" s="253"/>
      <c r="N99" s="253"/>
      <c r="O99" s="253"/>
      <c r="P99" s="253"/>
      <c r="Q99" s="253"/>
      <c r="R99" s="253"/>
      <c r="S99" s="253"/>
      <c r="T99" s="253"/>
      <c r="U99" s="253"/>
      <c r="V99" s="253"/>
      <c r="W99" s="253"/>
      <c r="X99" s="253">
        <v>4.3609999999999998</v>
      </c>
      <c r="Y99" s="253">
        <v>6.5041200000000003</v>
      </c>
      <c r="Z99" s="253">
        <v>4.6351199999999997</v>
      </c>
      <c r="AA99" s="253">
        <v>2.8035000000000001</v>
      </c>
      <c r="AB99" s="253">
        <v>2.2427999999999999</v>
      </c>
      <c r="AC99" s="253">
        <v>1.6820999999999999</v>
      </c>
      <c r="AD99" s="253">
        <v>1.1214</v>
      </c>
      <c r="AE99" s="253">
        <v>0.56070000000000064</v>
      </c>
      <c r="AF99" s="253"/>
      <c r="AG99" s="253"/>
      <c r="AH99" s="253"/>
      <c r="AI99" s="253"/>
      <c r="AJ99" s="253"/>
      <c r="AK99" s="253"/>
      <c r="AL99" s="253"/>
      <c r="AM99" s="253"/>
      <c r="AN99" s="253"/>
      <c r="AO99" s="253"/>
      <c r="AP99" s="253"/>
      <c r="AQ99" s="253"/>
      <c r="AR99" s="253"/>
      <c r="AS99" s="253"/>
    </row>
    <row r="100" spans="1:45" ht="15" customHeight="1" x14ac:dyDescent="0.3">
      <c r="A100" s="180"/>
      <c r="B100" s="1"/>
      <c r="C100" s="181"/>
      <c r="D100" s="36"/>
      <c r="E100" s="36" t="s">
        <v>363</v>
      </c>
      <c r="F100" s="36"/>
      <c r="G100" s="36" t="s">
        <v>346</v>
      </c>
      <c r="H100" s="36" t="str">
        <f xml:space="preserve"> Sources!I$39</f>
        <v>M</v>
      </c>
      <c r="I100" s="290">
        <f t="shared" si="7"/>
        <v>223.91073999999998</v>
      </c>
      <c r="J100" s="36"/>
      <c r="K100" s="253"/>
      <c r="L100" s="253"/>
      <c r="M100" s="253"/>
      <c r="N100" s="253"/>
      <c r="O100" s="253"/>
      <c r="P100" s="253"/>
      <c r="Q100" s="253"/>
      <c r="R100" s="253"/>
      <c r="S100" s="253">
        <f t="shared" ref="S100:AN100" si="8">S98 + S99</f>
        <v>0</v>
      </c>
      <c r="T100" s="253">
        <f t="shared" si="8"/>
        <v>0</v>
      </c>
      <c r="U100" s="253">
        <f t="shared" si="8"/>
        <v>0</v>
      </c>
      <c r="V100" s="253">
        <f t="shared" si="8"/>
        <v>0</v>
      </c>
      <c r="W100" s="253">
        <f t="shared" si="8"/>
        <v>0</v>
      </c>
      <c r="X100" s="253">
        <f t="shared" si="8"/>
        <v>30.361000000000001</v>
      </c>
      <c r="Y100" s="253">
        <f t="shared" si="8"/>
        <v>56.50412</v>
      </c>
      <c r="Z100" s="253">
        <f t="shared" si="8"/>
        <v>53.635120000000001</v>
      </c>
      <c r="AA100" s="253">
        <f t="shared" si="8"/>
        <v>17.8035</v>
      </c>
      <c r="AB100" s="253">
        <f t="shared" si="8"/>
        <v>17.242799999999999</v>
      </c>
      <c r="AC100" s="253">
        <f t="shared" si="8"/>
        <v>16.682099999999998</v>
      </c>
      <c r="AD100" s="253">
        <f t="shared" si="8"/>
        <v>16.121400000000001</v>
      </c>
      <c r="AE100" s="253">
        <f t="shared" si="8"/>
        <v>15.560700000000001</v>
      </c>
      <c r="AF100" s="253">
        <f t="shared" si="8"/>
        <v>0</v>
      </c>
      <c r="AG100" s="253">
        <f t="shared" si="8"/>
        <v>0</v>
      </c>
      <c r="AH100" s="253">
        <f t="shared" si="8"/>
        <v>0</v>
      </c>
      <c r="AI100" s="253">
        <f t="shared" si="8"/>
        <v>0</v>
      </c>
      <c r="AJ100" s="253">
        <f t="shared" si="8"/>
        <v>0</v>
      </c>
      <c r="AK100" s="253">
        <f t="shared" si="8"/>
        <v>0</v>
      </c>
      <c r="AL100" s="253">
        <f t="shared" si="8"/>
        <v>0</v>
      </c>
      <c r="AM100" s="253">
        <f t="shared" si="8"/>
        <v>0</v>
      </c>
      <c r="AN100" s="253">
        <f t="shared" si="8"/>
        <v>0</v>
      </c>
      <c r="AO100" s="253">
        <f t="shared" ref="AO100:AP100" si="9">AO98 + AO99</f>
        <v>0</v>
      </c>
      <c r="AP100" s="253">
        <f t="shared" si="9"/>
        <v>0</v>
      </c>
      <c r="AQ100" s="253">
        <f t="shared" ref="AQ100:AS100" si="10">AQ98 + AQ99</f>
        <v>0</v>
      </c>
      <c r="AR100" s="253">
        <f t="shared" si="10"/>
        <v>0</v>
      </c>
      <c r="AS100" s="253">
        <f t="shared" si="10"/>
        <v>0</v>
      </c>
    </row>
    <row r="101" spans="1:45" ht="15" customHeight="1" x14ac:dyDescent="0.3">
      <c r="A101" s="180"/>
      <c r="B101" s="1"/>
      <c r="C101" s="181"/>
      <c r="D101" s="36"/>
      <c r="E101" s="36"/>
      <c r="F101" s="36"/>
      <c r="G101" s="36"/>
      <c r="H101" s="36"/>
      <c r="I101" s="183"/>
      <c r="J101" s="36"/>
      <c r="K101" s="260"/>
      <c r="L101" s="260"/>
      <c r="M101" s="260"/>
      <c r="N101" s="260"/>
      <c r="O101" s="260"/>
      <c r="P101" s="260"/>
      <c r="Q101" s="260"/>
      <c r="R101" s="260"/>
      <c r="S101" s="260"/>
      <c r="T101" s="260"/>
      <c r="U101" s="260"/>
      <c r="V101" s="260"/>
      <c r="W101" s="260"/>
      <c r="X101" s="260"/>
      <c r="Y101" s="260"/>
      <c r="Z101" s="260"/>
      <c r="AA101" s="260"/>
      <c r="AB101" s="260"/>
      <c r="AC101" s="260"/>
      <c r="AD101" s="260"/>
      <c r="AE101" s="260"/>
      <c r="AF101" s="260"/>
      <c r="AG101" s="260"/>
      <c r="AH101" s="260"/>
      <c r="AI101" s="260"/>
      <c r="AJ101" s="260"/>
      <c r="AK101" s="260"/>
      <c r="AL101" s="260"/>
      <c r="AM101" s="260"/>
      <c r="AN101" s="260"/>
      <c r="AO101" s="260"/>
      <c r="AP101" s="260"/>
      <c r="AQ101" s="260"/>
      <c r="AR101" s="260"/>
      <c r="AS101" s="260"/>
    </row>
    <row r="102" spans="1:45" ht="15" customHeight="1" x14ac:dyDescent="0.3">
      <c r="A102" s="180"/>
      <c r="B102" s="1"/>
      <c r="C102" s="181" t="s">
        <v>533</v>
      </c>
      <c r="D102" s="36"/>
      <c r="E102" s="36"/>
      <c r="F102" s="36"/>
      <c r="G102" s="36"/>
      <c r="H102" s="183"/>
      <c r="I102" s="36"/>
      <c r="J102" s="36"/>
      <c r="K102" s="36"/>
      <c r="L102" s="36"/>
      <c r="M102" s="36"/>
      <c r="N102" s="36"/>
      <c r="O102" s="36"/>
      <c r="P102" s="36"/>
      <c r="Q102" s="36"/>
      <c r="R102" s="36"/>
      <c r="S102" s="36"/>
      <c r="T102" s="36"/>
      <c r="U102" s="36"/>
      <c r="V102" s="36"/>
      <c r="W102" s="36"/>
      <c r="X102" s="36"/>
      <c r="Y102" s="36"/>
      <c r="Z102" s="36"/>
      <c r="AA102" s="36"/>
      <c r="AB102" s="36"/>
      <c r="AC102" s="36"/>
      <c r="AD102" s="36"/>
      <c r="AE102" s="36"/>
      <c r="AF102" s="36"/>
      <c r="AG102" s="36"/>
      <c r="AH102" s="36"/>
      <c r="AI102" s="36"/>
      <c r="AJ102" s="36"/>
      <c r="AK102" s="36"/>
      <c r="AL102" s="36"/>
      <c r="AM102" s="36"/>
      <c r="AN102" s="36"/>
      <c r="AO102" s="36"/>
      <c r="AP102" s="36"/>
      <c r="AQ102" s="36"/>
      <c r="AR102" s="36"/>
      <c r="AS102" s="36"/>
    </row>
    <row r="103" spans="1:45" ht="15" customHeight="1" x14ac:dyDescent="0.3">
      <c r="A103" s="180"/>
      <c r="B103" s="1"/>
      <c r="C103" s="181"/>
      <c r="D103" s="36"/>
      <c r="E103" s="36" t="s">
        <v>364</v>
      </c>
      <c r="F103" s="193"/>
      <c r="G103" s="36" t="s">
        <v>346</v>
      </c>
      <c r="H103" s="36" t="str">
        <f xml:space="preserve"> Sources!I$39</f>
        <v>M</v>
      </c>
      <c r="I103" s="290">
        <f t="shared" ref="I103:I106" si="11">SUM(K103:AP103)</f>
        <v>200</v>
      </c>
      <c r="J103" s="36"/>
      <c r="K103" s="253"/>
      <c r="L103" s="253"/>
      <c r="M103" s="253"/>
      <c r="N103" s="253"/>
      <c r="O103" s="253"/>
      <c r="P103" s="253"/>
      <c r="Q103" s="253"/>
      <c r="R103" s="253"/>
      <c r="S103" s="253"/>
      <c r="T103" s="253"/>
      <c r="U103" s="253"/>
      <c r="V103" s="253"/>
      <c r="W103" s="253">
        <v>200</v>
      </c>
      <c r="X103" s="253"/>
      <c r="Y103" s="253"/>
      <c r="Z103" s="253"/>
      <c r="AA103" s="253"/>
      <c r="AB103" s="253"/>
      <c r="AC103" s="253"/>
      <c r="AD103" s="253"/>
      <c r="AE103" s="253"/>
      <c r="AF103" s="253"/>
      <c r="AG103" s="253"/>
      <c r="AH103" s="253"/>
      <c r="AI103" s="253"/>
      <c r="AJ103" s="253"/>
      <c r="AK103" s="253"/>
      <c r="AL103" s="253"/>
      <c r="AM103" s="253"/>
      <c r="AN103" s="253"/>
      <c r="AO103" s="253"/>
      <c r="AP103" s="253"/>
      <c r="AQ103" s="253"/>
      <c r="AR103" s="253"/>
      <c r="AS103" s="253"/>
    </row>
    <row r="104" spans="1:45" ht="15" customHeight="1" x14ac:dyDescent="0.3">
      <c r="A104" s="180"/>
      <c r="B104" s="1"/>
      <c r="C104" s="181"/>
      <c r="D104" s="36"/>
      <c r="E104" s="36" t="s">
        <v>365</v>
      </c>
      <c r="F104" s="193"/>
      <c r="G104" s="36" t="s">
        <v>346</v>
      </c>
      <c r="H104" s="36" t="str">
        <f xml:space="preserve"> Sources!I$39</f>
        <v>M</v>
      </c>
      <c r="I104" s="290">
        <f t="shared" si="11"/>
        <v>200</v>
      </c>
      <c r="J104" s="36"/>
      <c r="K104" s="253"/>
      <c r="L104" s="253"/>
      <c r="M104" s="253"/>
      <c r="N104" s="253"/>
      <c r="O104" s="253"/>
      <c r="P104" s="253"/>
      <c r="Q104" s="253"/>
      <c r="R104" s="253"/>
      <c r="S104" s="253"/>
      <c r="T104" s="253"/>
      <c r="U104" s="253"/>
      <c r="V104" s="253"/>
      <c r="W104" s="253"/>
      <c r="X104" s="253">
        <v>30</v>
      </c>
      <c r="Y104" s="253">
        <v>50</v>
      </c>
      <c r="Z104" s="253">
        <v>120</v>
      </c>
      <c r="AA104" s="253"/>
      <c r="AB104" s="253"/>
      <c r="AC104" s="253"/>
      <c r="AD104" s="253"/>
      <c r="AE104" s="253"/>
      <c r="AF104" s="253"/>
      <c r="AG104" s="253"/>
      <c r="AH104" s="253"/>
      <c r="AI104" s="253"/>
      <c r="AJ104" s="253"/>
      <c r="AK104" s="253"/>
      <c r="AL104" s="253"/>
      <c r="AM104" s="253"/>
      <c r="AN104" s="253"/>
      <c r="AO104" s="253"/>
      <c r="AP104" s="253"/>
      <c r="AQ104" s="253"/>
      <c r="AR104" s="253"/>
      <c r="AS104" s="253"/>
    </row>
    <row r="105" spans="1:45" ht="15" customHeight="1" x14ac:dyDescent="0.3">
      <c r="A105" s="180"/>
      <c r="B105" s="1"/>
      <c r="C105" s="181"/>
      <c r="D105" s="36"/>
      <c r="E105" s="36" t="s">
        <v>366</v>
      </c>
      <c r="F105" s="193"/>
      <c r="G105" s="36" t="s">
        <v>346</v>
      </c>
      <c r="H105" s="36" t="str">
        <f xml:space="preserve"> Sources!I$39</f>
        <v>M</v>
      </c>
      <c r="I105" s="290">
        <f t="shared" si="11"/>
        <v>15.201199999999998</v>
      </c>
      <c r="J105" s="36"/>
      <c r="K105" s="253"/>
      <c r="L105" s="253"/>
      <c r="M105" s="253"/>
      <c r="N105" s="253"/>
      <c r="O105" s="253"/>
      <c r="P105" s="253"/>
      <c r="Q105" s="253"/>
      <c r="R105" s="253"/>
      <c r="S105" s="253"/>
      <c r="T105" s="253"/>
      <c r="U105" s="253"/>
      <c r="V105" s="253"/>
      <c r="W105" s="253"/>
      <c r="X105" s="253">
        <v>4.3609999999999998</v>
      </c>
      <c r="Y105" s="253">
        <v>6.3545999999999996</v>
      </c>
      <c r="Z105" s="253">
        <v>4.4855999999999998</v>
      </c>
      <c r="AA105" s="253"/>
      <c r="AB105" s="253"/>
      <c r="AC105" s="253"/>
      <c r="AD105" s="253"/>
      <c r="AE105" s="253"/>
      <c r="AF105" s="253"/>
      <c r="AG105" s="253"/>
      <c r="AH105" s="253"/>
      <c r="AI105" s="253"/>
      <c r="AJ105" s="253"/>
      <c r="AK105" s="253"/>
      <c r="AL105" s="253"/>
      <c r="AM105" s="253"/>
      <c r="AN105" s="253"/>
      <c r="AO105" s="253"/>
      <c r="AP105" s="253"/>
      <c r="AQ105" s="253"/>
      <c r="AR105" s="253"/>
      <c r="AS105" s="253"/>
    </row>
    <row r="106" spans="1:45" ht="15" customHeight="1" x14ac:dyDescent="0.3">
      <c r="A106" s="180"/>
      <c r="B106" s="1"/>
      <c r="C106" s="181"/>
      <c r="D106" s="36"/>
      <c r="E106" s="36" t="s">
        <v>367</v>
      </c>
      <c r="F106" s="193"/>
      <c r="G106" s="36" t="s">
        <v>346</v>
      </c>
      <c r="H106" s="36" t="str">
        <f xml:space="preserve"> Sources!I$39</f>
        <v>M</v>
      </c>
      <c r="I106" s="290">
        <f t="shared" si="11"/>
        <v>215.2012</v>
      </c>
      <c r="J106" s="36"/>
      <c r="K106" s="253"/>
      <c r="L106" s="253"/>
      <c r="M106" s="253"/>
      <c r="N106" s="253"/>
      <c r="O106" s="253"/>
      <c r="P106" s="253"/>
      <c r="Q106" s="253"/>
      <c r="R106" s="253"/>
      <c r="S106" s="253">
        <f t="shared" ref="S106:AN106" si="12">S104 + S105</f>
        <v>0</v>
      </c>
      <c r="T106" s="253">
        <f t="shared" si="12"/>
        <v>0</v>
      </c>
      <c r="U106" s="253">
        <f t="shared" si="12"/>
        <v>0</v>
      </c>
      <c r="V106" s="253">
        <f t="shared" si="12"/>
        <v>0</v>
      </c>
      <c r="W106" s="253">
        <f t="shared" si="12"/>
        <v>0</v>
      </c>
      <c r="X106" s="253">
        <f t="shared" si="12"/>
        <v>34.360999999999997</v>
      </c>
      <c r="Y106" s="253">
        <f t="shared" si="12"/>
        <v>56.354599999999998</v>
      </c>
      <c r="Z106" s="253">
        <f t="shared" si="12"/>
        <v>124.48560000000001</v>
      </c>
      <c r="AA106" s="253">
        <f t="shared" si="12"/>
        <v>0</v>
      </c>
      <c r="AB106" s="253">
        <f t="shared" si="12"/>
        <v>0</v>
      </c>
      <c r="AC106" s="253">
        <f t="shared" si="12"/>
        <v>0</v>
      </c>
      <c r="AD106" s="253">
        <f t="shared" si="12"/>
        <v>0</v>
      </c>
      <c r="AE106" s="253">
        <f t="shared" si="12"/>
        <v>0</v>
      </c>
      <c r="AF106" s="253">
        <f t="shared" si="12"/>
        <v>0</v>
      </c>
      <c r="AG106" s="253">
        <f t="shared" si="12"/>
        <v>0</v>
      </c>
      <c r="AH106" s="253">
        <f t="shared" si="12"/>
        <v>0</v>
      </c>
      <c r="AI106" s="253">
        <f t="shared" si="12"/>
        <v>0</v>
      </c>
      <c r="AJ106" s="253">
        <f t="shared" si="12"/>
        <v>0</v>
      </c>
      <c r="AK106" s="253">
        <f t="shared" si="12"/>
        <v>0</v>
      </c>
      <c r="AL106" s="253">
        <f t="shared" si="12"/>
        <v>0</v>
      </c>
      <c r="AM106" s="253">
        <f t="shared" si="12"/>
        <v>0</v>
      </c>
      <c r="AN106" s="253">
        <f t="shared" si="12"/>
        <v>0</v>
      </c>
      <c r="AO106" s="253">
        <f t="shared" ref="AO106:AP106" si="13">AO104 + AO105</f>
        <v>0</v>
      </c>
      <c r="AP106" s="253">
        <f t="shared" si="13"/>
        <v>0</v>
      </c>
      <c r="AQ106" s="253">
        <f t="shared" ref="AQ106:AS106" si="14">AQ104 + AQ105</f>
        <v>0</v>
      </c>
      <c r="AR106" s="253">
        <f t="shared" si="14"/>
        <v>0</v>
      </c>
      <c r="AS106" s="253">
        <f t="shared" si="14"/>
        <v>0</v>
      </c>
    </row>
    <row r="107" spans="1:45" ht="15" customHeight="1" x14ac:dyDescent="0.3">
      <c r="A107" s="53"/>
      <c r="B107" s="1"/>
      <c r="C107" s="178"/>
      <c r="D107" s="59"/>
      <c r="E107" s="246"/>
      <c r="F107" s="74"/>
      <c r="G107" s="246"/>
      <c r="H107" s="136"/>
      <c r="I107" s="184"/>
      <c r="J107" s="246"/>
      <c r="K107" s="214"/>
      <c r="L107" s="214"/>
      <c r="M107" s="214"/>
      <c r="N107" s="214"/>
      <c r="O107" s="214"/>
      <c r="P107" s="214"/>
      <c r="Q107" s="214"/>
      <c r="R107" s="214"/>
      <c r="S107" s="198"/>
      <c r="T107" s="198"/>
      <c r="U107" s="215"/>
      <c r="V107" s="215"/>
      <c r="W107" s="215"/>
      <c r="X107" s="215"/>
      <c r="Y107" s="215"/>
      <c r="Z107" s="215"/>
      <c r="AA107" s="198"/>
      <c r="AB107" s="198"/>
      <c r="AC107" s="198"/>
      <c r="AD107" s="198"/>
      <c r="AE107" s="198"/>
      <c r="AF107" s="198"/>
      <c r="AG107" s="198"/>
      <c r="AH107" s="198"/>
      <c r="AI107" s="198"/>
      <c r="AJ107" s="198"/>
      <c r="AK107" s="198"/>
      <c r="AL107" s="198"/>
      <c r="AM107" s="198"/>
      <c r="AN107" s="198"/>
      <c r="AO107" s="198"/>
      <c r="AP107" s="198"/>
      <c r="AQ107" s="214"/>
      <c r="AR107" s="214"/>
      <c r="AS107" s="214"/>
    </row>
    <row r="108" spans="1:45" ht="15" customHeight="1" x14ac:dyDescent="0.3">
      <c r="A108" s="53"/>
      <c r="B108" s="1"/>
      <c r="C108" s="1148" t="s">
        <v>533</v>
      </c>
      <c r="E108" s="246"/>
      <c r="F108" s="74"/>
      <c r="G108" s="246"/>
      <c r="H108" s="136"/>
      <c r="I108" s="184"/>
      <c r="J108" s="246"/>
      <c r="K108" s="214"/>
      <c r="L108" s="214"/>
      <c r="M108" s="214"/>
      <c r="N108" s="214"/>
      <c r="O108" s="214"/>
      <c r="P108" s="214"/>
      <c r="Q108" s="214"/>
      <c r="R108" s="214"/>
      <c r="S108" s="198"/>
      <c r="T108" s="198"/>
      <c r="U108" s="215"/>
      <c r="V108" s="215"/>
      <c r="W108" s="215"/>
      <c r="X108" s="215"/>
      <c r="Y108" s="215"/>
      <c r="Z108" s="215"/>
      <c r="AA108" s="198"/>
      <c r="AB108" s="198"/>
      <c r="AC108" s="198"/>
      <c r="AD108" s="198"/>
      <c r="AE108" s="198"/>
      <c r="AF108" s="198"/>
      <c r="AG108" s="198"/>
      <c r="AH108" s="198"/>
      <c r="AI108" s="198"/>
      <c r="AJ108" s="198"/>
      <c r="AK108" s="198"/>
      <c r="AL108" s="198"/>
      <c r="AM108" s="198"/>
      <c r="AN108" s="198"/>
      <c r="AO108" s="198"/>
      <c r="AP108" s="198"/>
      <c r="AQ108" s="214"/>
      <c r="AR108" s="214"/>
      <c r="AS108" s="214"/>
    </row>
    <row r="109" spans="1:45" s="143" customFormat="1" ht="15" customHeight="1" x14ac:dyDescent="0.3">
      <c r="A109" s="197"/>
      <c r="B109" s="139"/>
      <c r="C109" s="241"/>
      <c r="D109" s="184"/>
      <c r="E109" s="243" t="s">
        <v>369</v>
      </c>
      <c r="F109" s="193"/>
      <c r="G109" s="243" t="s">
        <v>346</v>
      </c>
      <c r="H109" s="36" t="str">
        <f xml:space="preserve"> Sources!I$39</f>
        <v>M</v>
      </c>
      <c r="I109" s="184">
        <f>SUM(K109:AS109)</f>
        <v>39.111939999999997</v>
      </c>
      <c r="J109" s="243"/>
      <c r="K109" s="1149"/>
      <c r="L109" s="1149"/>
      <c r="M109" s="1149"/>
      <c r="N109" s="1149"/>
      <c r="O109" s="1149"/>
      <c r="P109" s="1149"/>
      <c r="Q109" s="1149"/>
      <c r="R109" s="1149"/>
      <c r="S109" s="523"/>
      <c r="T109" s="523"/>
      <c r="U109" s="523"/>
      <c r="V109" s="523"/>
      <c r="W109" s="523"/>
      <c r="X109" s="523">
        <v>8.7219999999999995</v>
      </c>
      <c r="Y109" s="523">
        <v>12.85872</v>
      </c>
      <c r="Z109" s="523">
        <v>9.1207200000000004</v>
      </c>
      <c r="AA109" s="523">
        <v>2.8035000000000001</v>
      </c>
      <c r="AB109" s="523">
        <v>2.2427999999999999</v>
      </c>
      <c r="AC109" s="523">
        <v>1.6820999999999999</v>
      </c>
      <c r="AD109" s="523">
        <v>1.1214</v>
      </c>
      <c r="AE109" s="523">
        <v>0.56069999999999998</v>
      </c>
      <c r="AF109" s="523"/>
      <c r="AG109" s="523"/>
      <c r="AH109" s="523"/>
      <c r="AI109" s="523"/>
      <c r="AJ109" s="523"/>
      <c r="AK109" s="523"/>
      <c r="AL109" s="523"/>
      <c r="AM109" s="523"/>
      <c r="AN109" s="523"/>
      <c r="AO109" s="523"/>
      <c r="AP109" s="523"/>
      <c r="AQ109" s="1149"/>
      <c r="AR109" s="1149"/>
      <c r="AS109" s="1149"/>
    </row>
    <row r="110" spans="1:45" ht="15" customHeight="1" x14ac:dyDescent="0.3">
      <c r="A110" s="53"/>
      <c r="B110" s="1"/>
      <c r="C110" s="178"/>
      <c r="D110" s="59"/>
      <c r="E110" s="246"/>
      <c r="F110" s="74"/>
      <c r="G110" s="246"/>
      <c r="H110" s="136"/>
      <c r="I110" s="184"/>
      <c r="J110" s="246"/>
      <c r="K110" s="214"/>
      <c r="L110" s="214"/>
      <c r="M110" s="214"/>
      <c r="N110" s="214"/>
      <c r="O110" s="214"/>
      <c r="P110" s="214"/>
      <c r="Q110" s="214"/>
      <c r="R110" s="214"/>
      <c r="S110" s="198"/>
      <c r="T110" s="198"/>
      <c r="U110" s="215"/>
      <c r="V110" s="215"/>
      <c r="W110" s="215"/>
      <c r="X110" s="215"/>
      <c r="Y110" s="215"/>
      <c r="Z110" s="215"/>
      <c r="AA110" s="198"/>
      <c r="AB110" s="198"/>
      <c r="AC110" s="198"/>
      <c r="AD110" s="198"/>
      <c r="AE110" s="198"/>
      <c r="AF110" s="198"/>
      <c r="AG110" s="198"/>
      <c r="AH110" s="198"/>
      <c r="AI110" s="198"/>
      <c r="AJ110" s="198"/>
      <c r="AK110" s="198"/>
      <c r="AL110" s="198"/>
      <c r="AM110" s="198"/>
      <c r="AN110" s="198"/>
      <c r="AO110" s="198"/>
      <c r="AP110" s="198"/>
      <c r="AQ110" s="214"/>
      <c r="AR110" s="214"/>
      <c r="AS110" s="214"/>
    </row>
    <row r="111" spans="1:45" ht="15" customHeight="1" x14ac:dyDescent="0.3">
      <c r="A111" s="53"/>
      <c r="B111" s="1" t="s">
        <v>749</v>
      </c>
      <c r="C111" s="178"/>
      <c r="D111" s="59"/>
      <c r="E111" s="246"/>
      <c r="F111" s="74"/>
      <c r="G111" s="246"/>
      <c r="H111" s="136"/>
      <c r="I111" s="184"/>
      <c r="J111" s="246"/>
      <c r="K111" s="214"/>
      <c r="L111" s="214"/>
      <c r="M111" s="214"/>
      <c r="N111" s="214"/>
      <c r="O111" s="214"/>
      <c r="P111" s="214"/>
      <c r="Q111" s="214"/>
      <c r="R111" s="214"/>
      <c r="S111" s="198"/>
      <c r="T111" s="198"/>
      <c r="U111" s="215"/>
      <c r="V111" s="215"/>
      <c r="W111" s="215"/>
      <c r="X111" s="215"/>
      <c r="Y111" s="215"/>
      <c r="Z111" s="215"/>
      <c r="AA111" s="198"/>
      <c r="AB111" s="198"/>
      <c r="AC111" s="198"/>
      <c r="AD111" s="198"/>
      <c r="AE111" s="198"/>
      <c r="AF111" s="198"/>
      <c r="AG111" s="198"/>
      <c r="AH111" s="198"/>
      <c r="AI111" s="198"/>
      <c r="AJ111" s="198"/>
      <c r="AK111" s="198"/>
      <c r="AL111" s="198"/>
      <c r="AM111" s="198"/>
      <c r="AN111" s="198"/>
      <c r="AO111" s="198"/>
      <c r="AP111" s="198"/>
      <c r="AQ111" s="214"/>
      <c r="AR111" s="214"/>
      <c r="AS111" s="214"/>
    </row>
    <row r="112" spans="1:45" ht="15" customHeight="1" x14ac:dyDescent="0.3">
      <c r="A112" s="53"/>
      <c r="B112" s="1"/>
      <c r="C112" s="178" t="s">
        <v>750</v>
      </c>
      <c r="D112" s="59"/>
      <c r="E112" s="246"/>
      <c r="F112" s="74"/>
      <c r="G112" s="246"/>
      <c r="H112" s="136"/>
      <c r="I112" s="184"/>
      <c r="J112" s="246"/>
      <c r="K112" s="214"/>
      <c r="L112" s="214"/>
      <c r="M112" s="214"/>
      <c r="N112" s="214"/>
      <c r="O112" s="214"/>
      <c r="P112" s="214"/>
      <c r="Q112" s="214"/>
      <c r="R112" s="214"/>
      <c r="S112" s="198"/>
      <c r="T112" s="198"/>
      <c r="U112" s="215"/>
      <c r="V112" s="215"/>
      <c r="W112" s="215"/>
      <c r="X112" s="215"/>
      <c r="Y112" s="215"/>
      <c r="Z112" s="215"/>
      <c r="AA112" s="198"/>
      <c r="AB112" s="198"/>
      <c r="AC112" s="198"/>
      <c r="AD112" s="198"/>
      <c r="AE112" s="198"/>
      <c r="AF112" s="198"/>
      <c r="AG112" s="198"/>
      <c r="AH112" s="198"/>
      <c r="AI112" s="198"/>
      <c r="AJ112" s="198"/>
      <c r="AK112" s="198"/>
      <c r="AL112" s="198"/>
      <c r="AM112" s="198"/>
      <c r="AN112" s="198"/>
      <c r="AO112" s="198"/>
      <c r="AP112" s="198"/>
      <c r="AQ112" s="214"/>
      <c r="AR112" s="214"/>
      <c r="AS112" s="214"/>
    </row>
    <row r="113" spans="1:45" ht="15" customHeight="1" x14ac:dyDescent="0.3">
      <c r="A113" s="53"/>
      <c r="B113" s="1"/>
      <c r="C113" s="178"/>
      <c r="D113" s="59"/>
      <c r="E113" s="246" t="s">
        <v>754</v>
      </c>
      <c r="F113" s="74"/>
      <c r="G113" s="246" t="s">
        <v>346</v>
      </c>
      <c r="H113" s="136"/>
      <c r="I113" s="290">
        <f t="shared" ref="I113" si="15">SUM(K113:AP113)</f>
        <v>2310.3139999999999</v>
      </c>
      <c r="J113" s="246"/>
      <c r="K113" s="279"/>
      <c r="L113" s="279"/>
      <c r="M113" s="279"/>
      <c r="N113" s="279"/>
      <c r="O113" s="279"/>
      <c r="P113" s="279"/>
      <c r="Q113" s="279"/>
      <c r="R113" s="279"/>
      <c r="S113" s="79"/>
      <c r="T113" s="79"/>
      <c r="U113" s="803"/>
      <c r="V113" s="277">
        <v>-8.2360000000000007</v>
      </c>
      <c r="W113" s="252">
        <v>103.72</v>
      </c>
      <c r="X113" s="252">
        <v>127.75700000000001</v>
      </c>
      <c r="Y113" s="252">
        <v>294.41800000000001</v>
      </c>
      <c r="Z113" s="252">
        <v>733.15</v>
      </c>
      <c r="AA113" s="252">
        <v>398.56700000000001</v>
      </c>
      <c r="AB113" s="272">
        <v>356.37</v>
      </c>
      <c r="AC113" s="252"/>
      <c r="AD113" s="252"/>
      <c r="AE113" s="277"/>
      <c r="AF113" s="252"/>
      <c r="AG113" s="252"/>
      <c r="AH113" s="252"/>
      <c r="AI113" s="252"/>
      <c r="AJ113" s="252">
        <v>262.10000000000002</v>
      </c>
      <c r="AK113" s="252">
        <v>42.468000000000004</v>
      </c>
      <c r="AL113" s="252"/>
      <c r="AM113" s="252"/>
      <c r="AN113" s="252"/>
      <c r="AO113" s="252"/>
      <c r="AP113" s="252"/>
      <c r="AQ113" s="252"/>
      <c r="AR113" s="252"/>
      <c r="AS113" s="252"/>
    </row>
    <row r="114" spans="1:45" ht="15" customHeight="1" x14ac:dyDescent="0.3">
      <c r="A114" s="53"/>
      <c r="B114" s="53"/>
      <c r="C114" s="178"/>
      <c r="D114" s="59"/>
      <c r="E114" s="246" t="s">
        <v>751</v>
      </c>
      <c r="F114" s="278">
        <f>I113</f>
        <v>2310.3139999999999</v>
      </c>
      <c r="G114" s="246"/>
      <c r="H114" s="136"/>
      <c r="I114" s="184"/>
      <c r="J114" s="246"/>
      <c r="K114" s="331"/>
      <c r="L114" s="331"/>
      <c r="M114" s="331"/>
      <c r="N114" s="331"/>
      <c r="O114" s="331"/>
      <c r="P114" s="331"/>
      <c r="Q114" s="331"/>
      <c r="R114" s="331"/>
      <c r="S114" s="198"/>
      <c r="T114" s="198"/>
      <c r="U114" s="215"/>
      <c r="V114" s="172"/>
      <c r="W114" s="172"/>
      <c r="X114" s="172"/>
      <c r="Y114" s="172"/>
      <c r="Z114" s="172"/>
      <c r="AA114" s="172"/>
      <c r="AB114" s="172"/>
      <c r="AC114" s="172"/>
      <c r="AD114" s="172"/>
      <c r="AE114" s="172"/>
      <c r="AF114" s="172"/>
      <c r="AG114" s="172"/>
      <c r="AH114" s="172"/>
      <c r="AI114" s="172"/>
      <c r="AJ114" s="172"/>
      <c r="AK114" s="172"/>
      <c r="AL114" s="172"/>
      <c r="AM114" s="172"/>
      <c r="AN114" s="172"/>
      <c r="AO114" s="172"/>
      <c r="AP114" s="172"/>
      <c r="AQ114" s="172"/>
      <c r="AR114" s="172"/>
      <c r="AS114" s="172"/>
    </row>
    <row r="115" spans="1:45" ht="15" customHeight="1" x14ac:dyDescent="0.3">
      <c r="A115" s="53"/>
      <c r="B115" s="1"/>
      <c r="C115" s="178"/>
      <c r="D115" s="59"/>
      <c r="E115" s="246" t="s">
        <v>752</v>
      </c>
      <c r="F115" s="344">
        <v>4732</v>
      </c>
      <c r="G115" s="246" t="s">
        <v>346</v>
      </c>
      <c r="H115" s="136"/>
      <c r="I115" s="184"/>
      <c r="J115" s="246"/>
      <c r="K115" s="214"/>
      <c r="L115" s="214"/>
      <c r="M115" s="214"/>
      <c r="N115" s="214"/>
      <c r="O115" s="214"/>
      <c r="P115" s="214"/>
      <c r="Q115" s="214"/>
      <c r="R115" s="214"/>
      <c r="S115" s="198"/>
      <c r="T115" s="198"/>
      <c r="U115" s="215"/>
      <c r="V115" s="215"/>
      <c r="W115" s="215"/>
      <c r="X115" s="215"/>
      <c r="Y115" s="215"/>
      <c r="Z115" s="215"/>
      <c r="AA115" s="198"/>
      <c r="AB115" s="198"/>
      <c r="AC115" s="198"/>
      <c r="AD115" s="198"/>
      <c r="AE115" s="198"/>
      <c r="AF115" s="198"/>
      <c r="AG115" s="198"/>
      <c r="AH115" s="198"/>
      <c r="AI115" s="198"/>
      <c r="AJ115" s="198"/>
      <c r="AK115" s="198"/>
      <c r="AL115" s="198"/>
      <c r="AM115" s="198"/>
      <c r="AN115" s="198"/>
      <c r="AO115" s="198"/>
      <c r="AP115" s="198"/>
      <c r="AQ115" s="214"/>
      <c r="AR115" s="214"/>
      <c r="AS115" s="214"/>
    </row>
    <row r="116" spans="1:45" ht="15" customHeight="1" x14ac:dyDescent="0.3">
      <c r="A116" s="53"/>
      <c r="B116" s="53"/>
      <c r="C116" s="178"/>
      <c r="D116" s="59"/>
      <c r="E116" s="246"/>
      <c r="F116" s="278"/>
      <c r="G116" s="246"/>
      <c r="H116" s="136"/>
      <c r="I116" s="184"/>
      <c r="J116" s="246"/>
      <c r="K116" s="214"/>
      <c r="L116" s="214"/>
      <c r="M116" s="214"/>
      <c r="N116" s="214"/>
      <c r="O116" s="214"/>
      <c r="P116" s="214"/>
      <c r="Q116" s="214"/>
      <c r="R116" s="214"/>
      <c r="S116" s="198"/>
      <c r="T116" s="198"/>
      <c r="U116" s="215"/>
      <c r="V116" s="215"/>
      <c r="W116" s="215"/>
      <c r="X116" s="215"/>
      <c r="Y116" s="215"/>
      <c r="Z116" s="215"/>
      <c r="AA116" s="198"/>
      <c r="AB116" s="198"/>
      <c r="AC116" s="198"/>
      <c r="AD116" s="198"/>
      <c r="AE116" s="198"/>
      <c r="AF116" s="198"/>
      <c r="AG116" s="198"/>
      <c r="AH116" s="198"/>
      <c r="AI116" s="198"/>
      <c r="AJ116" s="198"/>
      <c r="AK116" s="198"/>
      <c r="AL116" s="198"/>
      <c r="AM116" s="198"/>
      <c r="AN116" s="198"/>
      <c r="AO116" s="198"/>
      <c r="AP116" s="198"/>
      <c r="AQ116" s="214"/>
      <c r="AR116" s="214"/>
      <c r="AS116" s="214"/>
    </row>
    <row r="117" spans="1:45" ht="15" customHeight="1" x14ac:dyDescent="0.3">
      <c r="A117" s="282"/>
      <c r="B117" s="282"/>
      <c r="C117" s="289"/>
      <c r="D117" s="290"/>
      <c r="E117" s="290" t="s">
        <v>410</v>
      </c>
      <c r="F117" s="290"/>
      <c r="G117" s="290" t="s">
        <v>160</v>
      </c>
      <c r="H117" s="291"/>
      <c r="I117" s="291"/>
      <c r="J117" s="42"/>
      <c r="K117" s="299">
        <f t="shared" ref="K117:AS117" si="16">IF(AND(K2 &gt; 2023, K2 &lt; 2031), 1, 0)</f>
        <v>0</v>
      </c>
      <c r="L117" s="299">
        <f t="shared" si="16"/>
        <v>0</v>
      </c>
      <c r="M117" s="299">
        <f t="shared" si="16"/>
        <v>0</v>
      </c>
      <c r="N117" s="299">
        <f t="shared" si="16"/>
        <v>0</v>
      </c>
      <c r="O117" s="299">
        <f t="shared" si="16"/>
        <v>0</v>
      </c>
      <c r="P117" s="299">
        <f t="shared" si="16"/>
        <v>0</v>
      </c>
      <c r="Q117" s="299">
        <f t="shared" si="16"/>
        <v>0</v>
      </c>
      <c r="R117" s="299">
        <f t="shared" si="16"/>
        <v>0</v>
      </c>
      <c r="S117" s="299">
        <f t="shared" si="16"/>
        <v>0</v>
      </c>
      <c r="T117" s="299">
        <f t="shared" si="16"/>
        <v>0</v>
      </c>
      <c r="U117" s="299">
        <f t="shared" si="16"/>
        <v>0</v>
      </c>
      <c r="V117" s="299">
        <f t="shared" si="16"/>
        <v>0</v>
      </c>
      <c r="W117" s="299">
        <f t="shared" si="16"/>
        <v>0</v>
      </c>
      <c r="X117" s="299">
        <f t="shared" si="16"/>
        <v>0</v>
      </c>
      <c r="Y117" s="299">
        <f t="shared" si="16"/>
        <v>0</v>
      </c>
      <c r="Z117" s="299">
        <f t="shared" si="16"/>
        <v>0</v>
      </c>
      <c r="AA117" s="299">
        <f t="shared" si="16"/>
        <v>0</v>
      </c>
      <c r="AB117" s="299">
        <f t="shared" si="16"/>
        <v>0</v>
      </c>
      <c r="AC117" s="299">
        <f t="shared" si="16"/>
        <v>1</v>
      </c>
      <c r="AD117" s="299">
        <f t="shared" si="16"/>
        <v>1</v>
      </c>
      <c r="AE117" s="299">
        <f t="shared" si="16"/>
        <v>1</v>
      </c>
      <c r="AF117" s="299">
        <f t="shared" si="16"/>
        <v>1</v>
      </c>
      <c r="AG117" s="299">
        <f t="shared" si="16"/>
        <v>1</v>
      </c>
      <c r="AH117" s="299">
        <f t="shared" si="16"/>
        <v>1</v>
      </c>
      <c r="AI117" s="299">
        <f t="shared" si="16"/>
        <v>1</v>
      </c>
      <c r="AJ117" s="299">
        <f t="shared" si="16"/>
        <v>0</v>
      </c>
      <c r="AK117" s="299">
        <f t="shared" si="16"/>
        <v>0</v>
      </c>
      <c r="AL117" s="299">
        <f t="shared" si="16"/>
        <v>0</v>
      </c>
      <c r="AM117" s="299">
        <f t="shared" si="16"/>
        <v>0</v>
      </c>
      <c r="AN117" s="299">
        <f t="shared" si="16"/>
        <v>0</v>
      </c>
      <c r="AO117" s="299">
        <f t="shared" si="16"/>
        <v>0</v>
      </c>
      <c r="AP117" s="299">
        <f t="shared" si="16"/>
        <v>0</v>
      </c>
      <c r="AQ117" s="299">
        <f t="shared" si="16"/>
        <v>0</v>
      </c>
      <c r="AR117" s="299">
        <f t="shared" si="16"/>
        <v>0</v>
      </c>
      <c r="AS117" s="299">
        <f t="shared" si="16"/>
        <v>0</v>
      </c>
    </row>
    <row r="118" spans="1:45" ht="15" customHeight="1" x14ac:dyDescent="0.3">
      <c r="A118" s="53"/>
      <c r="B118" s="53"/>
      <c r="C118" s="178"/>
      <c r="D118" s="59"/>
      <c r="E118" s="246"/>
      <c r="F118" s="278"/>
      <c r="G118" s="246"/>
      <c r="H118" s="136"/>
      <c r="I118" s="184"/>
      <c r="J118" s="246"/>
      <c r="K118" s="214"/>
      <c r="L118" s="214"/>
      <c r="M118" s="214"/>
      <c r="N118" s="214"/>
      <c r="O118" s="214"/>
      <c r="P118" s="214"/>
      <c r="Q118" s="214"/>
      <c r="R118" s="214"/>
      <c r="S118" s="198"/>
      <c r="T118" s="198"/>
      <c r="U118" s="215"/>
      <c r="V118" s="215"/>
      <c r="W118" s="215"/>
      <c r="X118" s="215"/>
      <c r="Y118" s="215"/>
      <c r="Z118" s="215"/>
      <c r="AA118" s="198"/>
      <c r="AB118" s="198"/>
      <c r="AC118" s="198"/>
      <c r="AD118" s="198"/>
      <c r="AE118" s="198"/>
      <c r="AF118" s="198"/>
      <c r="AG118" s="198"/>
      <c r="AH118" s="198"/>
      <c r="AI118" s="198"/>
      <c r="AJ118" s="198"/>
      <c r="AK118" s="198"/>
      <c r="AL118" s="198"/>
      <c r="AM118" s="198"/>
      <c r="AN118" s="198"/>
      <c r="AO118" s="198"/>
      <c r="AP118" s="198"/>
      <c r="AQ118" s="214"/>
      <c r="AR118" s="214"/>
      <c r="AS118" s="214"/>
    </row>
    <row r="119" spans="1:45" ht="15" customHeight="1" x14ac:dyDescent="0.3">
      <c r="A119" s="53"/>
      <c r="B119" s="53"/>
      <c r="C119" s="178"/>
      <c r="D119" s="59"/>
      <c r="E119" s="246" t="s">
        <v>753</v>
      </c>
      <c r="F119" s="278"/>
      <c r="G119" s="246" t="s">
        <v>346</v>
      </c>
      <c r="H119" s="136"/>
      <c r="I119" s="290">
        <f t="shared" ref="I119" si="17">SUM(K119:AP119)</f>
        <v>2421.6860000000006</v>
      </c>
      <c r="J119" s="246"/>
      <c r="K119" s="198">
        <f xml:space="preserve"> K117 * (($F115 - $F114) / SUM($P$117:$AS$117))</f>
        <v>0</v>
      </c>
      <c r="L119" s="198">
        <f t="shared" ref="L119:O119" si="18" xml:space="preserve"> L117 * (($F115 - $F114) / SUM($P$117:$AS$117))</f>
        <v>0</v>
      </c>
      <c r="M119" s="198">
        <f t="shared" si="18"/>
        <v>0</v>
      </c>
      <c r="N119" s="198">
        <f t="shared" si="18"/>
        <v>0</v>
      </c>
      <c r="O119" s="198">
        <f t="shared" si="18"/>
        <v>0</v>
      </c>
      <c r="P119" s="198">
        <f t="shared" ref="P119:AS119" si="19" xml:space="preserve"> P117 * (($F115 - $F114) / SUM($P$117:$AS$117))</f>
        <v>0</v>
      </c>
      <c r="Q119" s="198">
        <f t="shared" si="19"/>
        <v>0</v>
      </c>
      <c r="R119" s="198">
        <f t="shared" si="19"/>
        <v>0</v>
      </c>
      <c r="S119" s="198">
        <f t="shared" si="19"/>
        <v>0</v>
      </c>
      <c r="T119" s="198">
        <f t="shared" si="19"/>
        <v>0</v>
      </c>
      <c r="U119" s="198">
        <f t="shared" si="19"/>
        <v>0</v>
      </c>
      <c r="V119" s="198">
        <f t="shared" si="19"/>
        <v>0</v>
      </c>
      <c r="W119" s="198">
        <f t="shared" si="19"/>
        <v>0</v>
      </c>
      <c r="X119" s="198">
        <f t="shared" si="19"/>
        <v>0</v>
      </c>
      <c r="Y119" s="198">
        <f t="shared" si="19"/>
        <v>0</v>
      </c>
      <c r="Z119" s="198">
        <f t="shared" si="19"/>
        <v>0</v>
      </c>
      <c r="AA119" s="198">
        <f t="shared" si="19"/>
        <v>0</v>
      </c>
      <c r="AB119" s="198">
        <f t="shared" si="19"/>
        <v>0</v>
      </c>
      <c r="AC119" s="198">
        <f t="shared" si="19"/>
        <v>345.9551428571429</v>
      </c>
      <c r="AD119" s="198">
        <f t="shared" si="19"/>
        <v>345.9551428571429</v>
      </c>
      <c r="AE119" s="198">
        <f t="shared" si="19"/>
        <v>345.9551428571429</v>
      </c>
      <c r="AF119" s="198">
        <f t="shared" si="19"/>
        <v>345.9551428571429</v>
      </c>
      <c r="AG119" s="198">
        <f t="shared" si="19"/>
        <v>345.9551428571429</v>
      </c>
      <c r="AH119" s="198">
        <f t="shared" si="19"/>
        <v>345.9551428571429</v>
      </c>
      <c r="AI119" s="198">
        <f t="shared" si="19"/>
        <v>345.9551428571429</v>
      </c>
      <c r="AJ119" s="198">
        <f t="shared" si="19"/>
        <v>0</v>
      </c>
      <c r="AK119" s="198">
        <f t="shared" si="19"/>
        <v>0</v>
      </c>
      <c r="AL119" s="198">
        <f t="shared" si="19"/>
        <v>0</v>
      </c>
      <c r="AM119" s="198">
        <f t="shared" si="19"/>
        <v>0</v>
      </c>
      <c r="AN119" s="198">
        <f t="shared" si="19"/>
        <v>0</v>
      </c>
      <c r="AO119" s="198">
        <f t="shared" si="19"/>
        <v>0</v>
      </c>
      <c r="AP119" s="198">
        <f t="shared" si="19"/>
        <v>0</v>
      </c>
      <c r="AQ119" s="198">
        <f t="shared" si="19"/>
        <v>0</v>
      </c>
      <c r="AR119" s="198">
        <f t="shared" si="19"/>
        <v>0</v>
      </c>
      <c r="AS119" s="198">
        <f t="shared" si="19"/>
        <v>0</v>
      </c>
    </row>
    <row r="120" spans="1:45" ht="15" customHeight="1" x14ac:dyDescent="0.3">
      <c r="A120" s="53"/>
      <c r="B120" s="53"/>
      <c r="C120" s="178"/>
      <c r="D120" s="59"/>
      <c r="E120" s="246"/>
      <c r="F120" s="278"/>
      <c r="G120" s="246"/>
      <c r="H120" s="136"/>
      <c r="I120" s="184"/>
      <c r="J120" s="246"/>
      <c r="K120" s="198"/>
      <c r="L120" s="198"/>
      <c r="M120" s="198"/>
      <c r="N120" s="198"/>
      <c r="O120" s="198"/>
      <c r="P120" s="198"/>
      <c r="Q120" s="198"/>
      <c r="R120" s="198"/>
      <c r="S120" s="198"/>
      <c r="T120" s="198"/>
      <c r="U120" s="198"/>
      <c r="V120" s="198"/>
      <c r="W120" s="198"/>
      <c r="X120" s="198"/>
      <c r="Y120" s="198"/>
      <c r="Z120" s="198"/>
      <c r="AA120" s="198"/>
      <c r="AB120" s="198"/>
      <c r="AC120" s="198"/>
      <c r="AD120" s="198"/>
      <c r="AE120" s="198"/>
      <c r="AF120" s="198"/>
      <c r="AG120" s="198"/>
      <c r="AH120" s="198"/>
      <c r="AI120" s="198"/>
      <c r="AJ120" s="198"/>
      <c r="AK120" s="198"/>
      <c r="AL120" s="198"/>
      <c r="AM120" s="198"/>
      <c r="AN120" s="198"/>
      <c r="AO120" s="198"/>
      <c r="AP120" s="198"/>
      <c r="AQ120" s="198"/>
      <c r="AR120" s="198"/>
      <c r="AS120" s="198"/>
    </row>
    <row r="121" spans="1:45" ht="15" customHeight="1" x14ac:dyDescent="0.3">
      <c r="A121" s="197"/>
      <c r="B121" s="197"/>
      <c r="C121" s="241"/>
      <c r="D121" s="184"/>
      <c r="E121" s="243" t="s">
        <v>749</v>
      </c>
      <c r="F121" s="254"/>
      <c r="G121" s="243" t="s">
        <v>346</v>
      </c>
      <c r="H121" s="243"/>
      <c r="I121" s="293">
        <f t="shared" ref="I121" si="20">SUM(K121:AP121)</f>
        <v>4732.0000000000018</v>
      </c>
      <c r="J121" s="243"/>
      <c r="K121" s="198">
        <f t="shared" ref="K121:O121" si="21">IF(K113 &lt;&gt; 0, K113, K119)</f>
        <v>0</v>
      </c>
      <c r="L121" s="198">
        <f t="shared" si="21"/>
        <v>0</v>
      </c>
      <c r="M121" s="198">
        <f t="shared" si="21"/>
        <v>0</v>
      </c>
      <c r="N121" s="198">
        <f t="shared" si="21"/>
        <v>0</v>
      </c>
      <c r="O121" s="198">
        <f t="shared" si="21"/>
        <v>0</v>
      </c>
      <c r="P121" s="198">
        <f>IF(P113 &lt;&gt; 0, P113, P119)</f>
        <v>0</v>
      </c>
      <c r="Q121" s="198">
        <f t="shared" ref="Q121:AS121" si="22">IF(Q113 &lt;&gt; 0, Q113, Q119)</f>
        <v>0</v>
      </c>
      <c r="R121" s="198">
        <f t="shared" si="22"/>
        <v>0</v>
      </c>
      <c r="S121" s="198">
        <f t="shared" si="22"/>
        <v>0</v>
      </c>
      <c r="T121" s="198">
        <f t="shared" si="22"/>
        <v>0</v>
      </c>
      <c r="U121" s="198">
        <f t="shared" si="22"/>
        <v>0</v>
      </c>
      <c r="V121" s="198">
        <f t="shared" si="22"/>
        <v>-8.2360000000000007</v>
      </c>
      <c r="W121" s="198">
        <f t="shared" si="22"/>
        <v>103.72</v>
      </c>
      <c r="X121" s="198">
        <f t="shared" si="22"/>
        <v>127.75700000000001</v>
      </c>
      <c r="Y121" s="198">
        <f t="shared" si="22"/>
        <v>294.41800000000001</v>
      </c>
      <c r="Z121" s="198">
        <f t="shared" si="22"/>
        <v>733.15</v>
      </c>
      <c r="AA121" s="198">
        <f t="shared" si="22"/>
        <v>398.56700000000001</v>
      </c>
      <c r="AB121" s="198">
        <f t="shared" si="22"/>
        <v>356.37</v>
      </c>
      <c r="AC121" s="198">
        <f t="shared" si="22"/>
        <v>345.9551428571429</v>
      </c>
      <c r="AD121" s="198">
        <f t="shared" si="22"/>
        <v>345.9551428571429</v>
      </c>
      <c r="AE121" s="198">
        <f t="shared" si="22"/>
        <v>345.9551428571429</v>
      </c>
      <c r="AF121" s="198">
        <f t="shared" si="22"/>
        <v>345.9551428571429</v>
      </c>
      <c r="AG121" s="198">
        <f t="shared" si="22"/>
        <v>345.9551428571429</v>
      </c>
      <c r="AH121" s="198">
        <f t="shared" si="22"/>
        <v>345.9551428571429</v>
      </c>
      <c r="AI121" s="198">
        <f t="shared" si="22"/>
        <v>345.9551428571429</v>
      </c>
      <c r="AJ121" s="198">
        <f t="shared" si="22"/>
        <v>262.10000000000002</v>
      </c>
      <c r="AK121" s="198">
        <f t="shared" si="22"/>
        <v>42.468000000000004</v>
      </c>
      <c r="AL121" s="198">
        <f t="shared" si="22"/>
        <v>0</v>
      </c>
      <c r="AM121" s="198">
        <f t="shared" si="22"/>
        <v>0</v>
      </c>
      <c r="AN121" s="198">
        <f t="shared" si="22"/>
        <v>0</v>
      </c>
      <c r="AO121" s="198">
        <f t="shared" si="22"/>
        <v>0</v>
      </c>
      <c r="AP121" s="198">
        <f t="shared" si="22"/>
        <v>0</v>
      </c>
      <c r="AQ121" s="198">
        <f t="shared" si="22"/>
        <v>0</v>
      </c>
      <c r="AR121" s="198">
        <f t="shared" si="22"/>
        <v>0</v>
      </c>
      <c r="AS121" s="198">
        <f t="shared" si="22"/>
        <v>0</v>
      </c>
    </row>
    <row r="122" spans="1:45" ht="15" customHeight="1" x14ac:dyDescent="0.3">
      <c r="A122" s="53"/>
      <c r="B122" s="53"/>
      <c r="C122" s="178"/>
      <c r="D122" s="59"/>
      <c r="E122" s="246"/>
      <c r="F122" s="278"/>
      <c r="G122" s="246"/>
      <c r="H122" s="136"/>
      <c r="I122" s="184"/>
      <c r="J122" s="246"/>
      <c r="K122" s="89"/>
      <c r="L122" s="89"/>
      <c r="M122" s="89"/>
      <c r="N122" s="89"/>
      <c r="O122" s="89"/>
      <c r="P122" s="214"/>
      <c r="Q122" s="214"/>
      <c r="R122" s="198"/>
      <c r="S122" s="198"/>
      <c r="T122" s="198"/>
      <c r="U122" s="198"/>
      <c r="V122" s="198"/>
      <c r="W122" s="198"/>
      <c r="X122" s="198"/>
      <c r="Y122" s="198"/>
      <c r="Z122" s="198"/>
      <c r="AA122" s="198"/>
      <c r="AB122" s="198"/>
      <c r="AC122" s="198"/>
      <c r="AD122" s="198"/>
      <c r="AE122" s="198"/>
      <c r="AF122" s="198"/>
      <c r="AG122" s="198"/>
      <c r="AH122" s="198"/>
      <c r="AI122" s="198"/>
      <c r="AJ122" s="198"/>
      <c r="AK122" s="198"/>
      <c r="AL122" s="198"/>
      <c r="AM122" s="198"/>
      <c r="AN122" s="198"/>
      <c r="AO122" s="198"/>
      <c r="AP122" s="198"/>
      <c r="AQ122" s="198"/>
      <c r="AR122" s="198"/>
      <c r="AS122" s="198"/>
    </row>
    <row r="123" spans="1:45" ht="15" customHeight="1" x14ac:dyDescent="0.3">
      <c r="A123" s="53"/>
      <c r="B123" s="53"/>
      <c r="C123" s="178"/>
      <c r="D123" s="59"/>
      <c r="E123" s="246"/>
      <c r="F123" s="278"/>
      <c r="G123" s="246"/>
      <c r="H123" s="136"/>
      <c r="I123" s="184"/>
      <c r="J123" s="246"/>
      <c r="K123" s="89"/>
      <c r="L123" s="89"/>
      <c r="M123" s="89"/>
      <c r="N123" s="89"/>
      <c r="O123" s="89"/>
      <c r="P123" s="214"/>
      <c r="Q123" s="214"/>
      <c r="R123" s="198"/>
      <c r="S123" s="198"/>
      <c r="T123" s="198"/>
      <c r="U123" s="198"/>
      <c r="V123" s="198"/>
      <c r="W123" s="198"/>
      <c r="X123" s="198"/>
      <c r="Y123" s="198"/>
      <c r="Z123" s="198"/>
      <c r="AA123" s="198"/>
      <c r="AB123" s="198"/>
      <c r="AC123" s="198"/>
      <c r="AD123" s="198"/>
      <c r="AE123" s="198"/>
      <c r="AF123" s="198"/>
      <c r="AG123" s="198"/>
      <c r="AH123" s="198"/>
      <c r="AI123" s="198"/>
      <c r="AJ123" s="198"/>
      <c r="AK123" s="198"/>
      <c r="AL123" s="198"/>
      <c r="AM123" s="198"/>
      <c r="AN123" s="198"/>
      <c r="AO123" s="198"/>
      <c r="AP123" s="198"/>
      <c r="AQ123" s="198"/>
      <c r="AR123" s="198"/>
      <c r="AS123" s="198"/>
    </row>
    <row r="124" spans="1:45" ht="15" customHeight="1" x14ac:dyDescent="0.3">
      <c r="B124" s="1"/>
    </row>
    <row r="125" spans="1:45" ht="15" customHeight="1" x14ac:dyDescent="0.3">
      <c r="A125" s="400" t="s">
        <v>490</v>
      </c>
      <c r="B125" s="400"/>
      <c r="C125" s="401"/>
      <c r="D125" s="402"/>
      <c r="E125" s="402"/>
      <c r="F125" s="402"/>
      <c r="G125" s="402"/>
      <c r="H125" s="402"/>
      <c r="I125" s="403"/>
      <c r="J125" s="402"/>
      <c r="K125" s="402"/>
      <c r="L125" s="402"/>
      <c r="M125" s="402"/>
      <c r="N125" s="404"/>
      <c r="O125" s="402"/>
      <c r="P125" s="402"/>
      <c r="Q125" s="402"/>
      <c r="R125" s="402"/>
      <c r="S125" s="402"/>
      <c r="T125" s="402"/>
      <c r="U125" s="402"/>
      <c r="V125" s="402"/>
      <c r="W125" s="402"/>
      <c r="X125" s="402"/>
      <c r="Y125" s="402"/>
      <c r="Z125" s="402"/>
      <c r="AA125" s="402"/>
      <c r="AB125" s="402"/>
      <c r="AC125" s="402"/>
      <c r="AD125" s="402"/>
      <c r="AE125" s="402"/>
      <c r="AF125" s="402"/>
      <c r="AG125" s="402"/>
      <c r="AH125" s="402"/>
      <c r="AI125" s="402"/>
      <c r="AJ125" s="402"/>
      <c r="AK125" s="402"/>
      <c r="AL125" s="402"/>
      <c r="AM125" s="402"/>
      <c r="AN125" s="402"/>
      <c r="AO125" s="402"/>
      <c r="AP125" s="402"/>
      <c r="AQ125" s="402"/>
      <c r="AR125" s="402"/>
      <c r="AS125" s="402"/>
    </row>
    <row r="126" spans="1:45" ht="15" customHeight="1" x14ac:dyDescent="0.3">
      <c r="B126" s="1"/>
    </row>
    <row r="127" spans="1:45" ht="15" customHeight="1" x14ac:dyDescent="0.3">
      <c r="B127" s="1"/>
    </row>
    <row r="128" spans="1:45" ht="15" customHeight="1" x14ac:dyDescent="0.3">
      <c r="B128" s="1"/>
    </row>
    <row r="129" spans="2:2" ht="15" customHeight="1" x14ac:dyDescent="0.3">
      <c r="B129" s="1"/>
    </row>
    <row r="130" spans="2:2" ht="15" customHeight="1" x14ac:dyDescent="0.3">
      <c r="B130" s="1"/>
    </row>
    <row r="131" spans="2:2" ht="15" customHeight="1" x14ac:dyDescent="0.3">
      <c r="B131" s="1"/>
    </row>
    <row r="132" spans="2:2" ht="15" customHeight="1" x14ac:dyDescent="0.3">
      <c r="B132" s="1"/>
    </row>
    <row r="133" spans="2:2" ht="15" customHeight="1" x14ac:dyDescent="0.3">
      <c r="B133" s="1"/>
    </row>
    <row r="134" spans="2:2" ht="15" customHeight="1" x14ac:dyDescent="0.3">
      <c r="B134" s="1"/>
    </row>
    <row r="135" spans="2:2" ht="15" customHeight="1" x14ac:dyDescent="0.3">
      <c r="B135" s="1"/>
    </row>
    <row r="136" spans="2:2" ht="15" customHeight="1" x14ac:dyDescent="0.3">
      <c r="B136" s="1"/>
    </row>
    <row r="137" spans="2:2" ht="15" customHeight="1" x14ac:dyDescent="0.3">
      <c r="B137" s="1"/>
    </row>
    <row r="138" spans="2:2" ht="15" customHeight="1" x14ac:dyDescent="0.3">
      <c r="B138" s="1"/>
    </row>
    <row r="139" spans="2:2" ht="15" customHeight="1" x14ac:dyDescent="0.3">
      <c r="B139" s="1"/>
    </row>
    <row r="140" spans="2:2" ht="15" customHeight="1" x14ac:dyDescent="0.3">
      <c r="B140" s="1"/>
    </row>
    <row r="141" spans="2:2" ht="15" customHeight="1" x14ac:dyDescent="0.3">
      <c r="B141" s="1"/>
    </row>
    <row r="142" spans="2:2" ht="15" customHeight="1" x14ac:dyDescent="0.3">
      <c r="B142" s="1"/>
    </row>
    <row r="143" spans="2:2" ht="15" customHeight="1" x14ac:dyDescent="0.3">
      <c r="B143" s="1"/>
    </row>
    <row r="144" spans="2:2" ht="15" customHeight="1" x14ac:dyDescent="0.3">
      <c r="B144" s="1"/>
    </row>
    <row r="145" spans="2:2" ht="15" customHeight="1" x14ac:dyDescent="0.3">
      <c r="B145" s="1"/>
    </row>
    <row r="146" spans="2:2" ht="15" customHeight="1" collapsed="1" x14ac:dyDescent="0.3">
      <c r="B146" s="1"/>
    </row>
    <row r="147" spans="2:2" ht="15" customHeight="1" x14ac:dyDescent="0.3">
      <c r="B147" s="1"/>
    </row>
    <row r="148" spans="2:2" ht="15" customHeight="1" x14ac:dyDescent="0.3">
      <c r="B148" s="1"/>
    </row>
    <row r="149" spans="2:2" ht="15" customHeight="1" x14ac:dyDescent="0.3">
      <c r="B149" s="1"/>
    </row>
    <row r="150" spans="2:2" ht="15" customHeight="1" x14ac:dyDescent="0.3">
      <c r="B150" s="1"/>
    </row>
    <row r="151" spans="2:2" ht="14.4" x14ac:dyDescent="0.3">
      <c r="B151" s="1"/>
    </row>
    <row r="152" spans="2:2" ht="15" customHeight="1" x14ac:dyDescent="0.3">
      <c r="B152" s="1"/>
    </row>
    <row r="153" spans="2:2" ht="15" customHeight="1" x14ac:dyDescent="0.3">
      <c r="B153" s="1"/>
    </row>
    <row r="154" spans="2:2" ht="15" customHeight="1" x14ac:dyDescent="0.3">
      <c r="B154" s="1"/>
    </row>
    <row r="155" spans="2:2" ht="15" customHeight="1" x14ac:dyDescent="0.3">
      <c r="B155" s="1"/>
    </row>
    <row r="156" spans="2:2" ht="15" customHeight="1" x14ac:dyDescent="0.3">
      <c r="B156" s="1"/>
    </row>
    <row r="157" spans="2:2" ht="15" customHeight="1" x14ac:dyDescent="0.3">
      <c r="B157" s="1"/>
    </row>
    <row r="158" spans="2:2" ht="15" customHeight="1" x14ac:dyDescent="0.3">
      <c r="B158" s="1"/>
    </row>
    <row r="159" spans="2:2" ht="15" customHeight="1" x14ac:dyDescent="0.3">
      <c r="B159" s="1"/>
    </row>
    <row r="160" spans="2:2" ht="15" customHeight="1" x14ac:dyDescent="0.3">
      <c r="B160" s="1"/>
    </row>
    <row r="161" spans="2:2" ht="15" customHeight="1" x14ac:dyDescent="0.3">
      <c r="B161" s="1"/>
    </row>
    <row r="162" spans="2:2" ht="15" customHeight="1" x14ac:dyDescent="0.3">
      <c r="B162" s="1"/>
    </row>
    <row r="163" spans="2:2" ht="15" customHeight="1" x14ac:dyDescent="0.3">
      <c r="B163" s="1"/>
    </row>
    <row r="164" spans="2:2" ht="15" customHeight="1" x14ac:dyDescent="0.3">
      <c r="B164" s="1"/>
    </row>
    <row r="165" spans="2:2" ht="15" customHeight="1" x14ac:dyDescent="0.3">
      <c r="B165" s="1"/>
    </row>
    <row r="166" spans="2:2" ht="15" customHeight="1" x14ac:dyDescent="0.3">
      <c r="B166" s="1"/>
    </row>
    <row r="167" spans="2:2" ht="15" customHeight="1" x14ac:dyDescent="0.3">
      <c r="B167" s="1"/>
    </row>
    <row r="168" spans="2:2" ht="15" customHeight="1" x14ac:dyDescent="0.3">
      <c r="B168" s="1"/>
    </row>
    <row r="169" spans="2:2" ht="15" customHeight="1" x14ac:dyDescent="0.3">
      <c r="B169" s="1"/>
    </row>
    <row r="170" spans="2:2" ht="15" customHeight="1" x14ac:dyDescent="0.3">
      <c r="B170" s="1"/>
    </row>
    <row r="171" spans="2:2" ht="15" customHeight="1" x14ac:dyDescent="0.3">
      <c r="B171" s="1"/>
    </row>
    <row r="172" spans="2:2" ht="15" customHeight="1" x14ac:dyDescent="0.3">
      <c r="B172" s="1"/>
    </row>
    <row r="173" spans="2:2" ht="15" customHeight="1" x14ac:dyDescent="0.3">
      <c r="B173" s="1"/>
    </row>
    <row r="174" spans="2:2" ht="15" customHeight="1" x14ac:dyDescent="0.3">
      <c r="B174" s="1"/>
    </row>
    <row r="175" spans="2:2" ht="15" customHeight="1" x14ac:dyDescent="0.3">
      <c r="B175" s="1"/>
    </row>
    <row r="176" spans="2:2" ht="15" customHeight="1" x14ac:dyDescent="0.3">
      <c r="B176" s="1"/>
    </row>
    <row r="177" spans="2:2" ht="15" customHeight="1" x14ac:dyDescent="0.3">
      <c r="B177" s="1"/>
    </row>
    <row r="178" spans="2:2" ht="15" customHeight="1" x14ac:dyDescent="0.3">
      <c r="B178" s="1"/>
    </row>
    <row r="179" spans="2:2" ht="15" customHeight="1" x14ac:dyDescent="0.3">
      <c r="B179" s="1"/>
    </row>
    <row r="180" spans="2:2" ht="15" customHeight="1" x14ac:dyDescent="0.3">
      <c r="B180" s="1"/>
    </row>
    <row r="181" spans="2:2" ht="15" customHeight="1" x14ac:dyDescent="0.3">
      <c r="B181" s="1"/>
    </row>
    <row r="182" spans="2:2" ht="15" customHeight="1" x14ac:dyDescent="0.3">
      <c r="B182" s="1"/>
    </row>
    <row r="183" spans="2:2" ht="15" customHeight="1" x14ac:dyDescent="0.3">
      <c r="B183" s="1"/>
    </row>
    <row r="184" spans="2:2" ht="15" customHeight="1" x14ac:dyDescent="0.3">
      <c r="B184" s="1"/>
    </row>
    <row r="185" spans="2:2" ht="15" customHeight="1" x14ac:dyDescent="0.3">
      <c r="B185" s="1"/>
    </row>
    <row r="186" spans="2:2" ht="15" customHeight="1" x14ac:dyDescent="0.3">
      <c r="B186" s="1"/>
    </row>
    <row r="187" spans="2:2" ht="15" customHeight="1" x14ac:dyDescent="0.3">
      <c r="B187" s="1"/>
    </row>
    <row r="188" spans="2:2" ht="15" customHeight="1" x14ac:dyDescent="0.3">
      <c r="B188" s="1"/>
    </row>
    <row r="189" spans="2:2" ht="15" customHeight="1" x14ac:dyDescent="0.3">
      <c r="B189" s="1"/>
    </row>
    <row r="190" spans="2:2" ht="15" customHeight="1" x14ac:dyDescent="0.3">
      <c r="B190" s="1"/>
    </row>
    <row r="191" spans="2:2" ht="15" customHeight="1" x14ac:dyDescent="0.3">
      <c r="B191" s="1"/>
    </row>
    <row r="192" spans="2:2" ht="15" customHeight="1" x14ac:dyDescent="0.3">
      <c r="B192" s="1"/>
    </row>
    <row r="193" spans="2:2" ht="15" customHeight="1" x14ac:dyDescent="0.3">
      <c r="B193" s="1"/>
    </row>
    <row r="194" spans="2:2" ht="15" customHeight="1" x14ac:dyDescent="0.3">
      <c r="B194" s="1"/>
    </row>
    <row r="195" spans="2:2" ht="15" customHeight="1" x14ac:dyDescent="0.3">
      <c r="B195" s="1"/>
    </row>
    <row r="196" spans="2:2" ht="15" customHeight="1" x14ac:dyDescent="0.3">
      <c r="B196" s="1"/>
    </row>
    <row r="197" spans="2:2" ht="15" customHeight="1" x14ac:dyDescent="0.3">
      <c r="B197" s="1"/>
    </row>
    <row r="198" spans="2:2" ht="15" customHeight="1" x14ac:dyDescent="0.3">
      <c r="B198" s="1"/>
    </row>
    <row r="199" spans="2:2" ht="15" customHeight="1" x14ac:dyDescent="0.3">
      <c r="B199" s="1"/>
    </row>
    <row r="200" spans="2:2" ht="15" customHeight="1" x14ac:dyDescent="0.3">
      <c r="B200" s="1"/>
    </row>
    <row r="201" spans="2:2" ht="15" customHeight="1" x14ac:dyDescent="0.3">
      <c r="B201" s="1"/>
    </row>
    <row r="202" spans="2:2" ht="15" customHeight="1" x14ac:dyDescent="0.3">
      <c r="B202" s="1"/>
    </row>
    <row r="203" spans="2:2" ht="15" customHeight="1" x14ac:dyDescent="0.3">
      <c r="B203" s="1"/>
    </row>
    <row r="204" spans="2:2" ht="15" customHeight="1" x14ac:dyDescent="0.3">
      <c r="B204" s="1"/>
    </row>
    <row r="205" spans="2:2" ht="15" customHeight="1" x14ac:dyDescent="0.3">
      <c r="B205" s="1"/>
    </row>
    <row r="206" spans="2:2" ht="15" customHeight="1" x14ac:dyDescent="0.3">
      <c r="B206" s="1"/>
    </row>
    <row r="207" spans="2:2" ht="15" customHeight="1" x14ac:dyDescent="0.3">
      <c r="B207" s="1"/>
    </row>
    <row r="208" spans="2:2" ht="15" customHeight="1" x14ac:dyDescent="0.3">
      <c r="B208" s="1"/>
    </row>
    <row r="209" spans="2:2" ht="15" customHeight="1" x14ac:dyDescent="0.3">
      <c r="B209" s="1"/>
    </row>
    <row r="210" spans="2:2" ht="15" customHeight="1" x14ac:dyDescent="0.3">
      <c r="B210" s="1"/>
    </row>
    <row r="211" spans="2:2" ht="15" customHeight="1" x14ac:dyDescent="0.3">
      <c r="B211" s="1"/>
    </row>
    <row r="212" spans="2:2" ht="15" customHeight="1" x14ac:dyDescent="0.3">
      <c r="B212" s="1"/>
    </row>
    <row r="213" spans="2:2" ht="15" customHeight="1" x14ac:dyDescent="0.3">
      <c r="B213" s="1"/>
    </row>
    <row r="214" spans="2:2" ht="15" customHeight="1" x14ac:dyDescent="0.3">
      <c r="B214" s="1"/>
    </row>
    <row r="215" spans="2:2" ht="15" customHeight="1" x14ac:dyDescent="0.3">
      <c r="B215" s="1"/>
    </row>
    <row r="216" spans="2:2" ht="15" customHeight="1" x14ac:dyDescent="0.3">
      <c r="B216" s="1"/>
    </row>
    <row r="217" spans="2:2" ht="15" customHeight="1" x14ac:dyDescent="0.3">
      <c r="B217" s="1"/>
    </row>
    <row r="218" spans="2:2" ht="15" customHeight="1" x14ac:dyDescent="0.3">
      <c r="B218" s="1"/>
    </row>
    <row r="219" spans="2:2" ht="15" customHeight="1" x14ac:dyDescent="0.3">
      <c r="B219" s="1"/>
    </row>
    <row r="220" spans="2:2" ht="15" customHeight="1" x14ac:dyDescent="0.3">
      <c r="B220" s="1"/>
    </row>
    <row r="221" spans="2:2" ht="15" customHeight="1" x14ac:dyDescent="0.3">
      <c r="B221" s="1"/>
    </row>
    <row r="222" spans="2:2" ht="15" customHeight="1" x14ac:dyDescent="0.3">
      <c r="B222" s="1"/>
    </row>
    <row r="223" spans="2:2" ht="15" customHeight="1" x14ac:dyDescent="0.3">
      <c r="B223" s="1"/>
    </row>
    <row r="224" spans="2:2" ht="15" customHeight="1" x14ac:dyDescent="0.3">
      <c r="B224" s="1"/>
    </row>
    <row r="225" spans="2:2" ht="15" customHeight="1" x14ac:dyDescent="0.3">
      <c r="B225" s="1"/>
    </row>
    <row r="226" spans="2:2" ht="15" customHeight="1" x14ac:dyDescent="0.3">
      <c r="B226" s="1"/>
    </row>
    <row r="227" spans="2:2" ht="15" customHeight="1" x14ac:dyDescent="0.3">
      <c r="B227" s="1"/>
    </row>
    <row r="228" spans="2:2" ht="15" customHeight="1" x14ac:dyDescent="0.3">
      <c r="B228" s="1"/>
    </row>
    <row r="229" spans="2:2" ht="15" customHeight="1" x14ac:dyDescent="0.3">
      <c r="B229" s="1"/>
    </row>
    <row r="230" spans="2:2" ht="15" customHeight="1" x14ac:dyDescent="0.3">
      <c r="B230" s="1"/>
    </row>
    <row r="231" spans="2:2" ht="15" customHeight="1" x14ac:dyDescent="0.3">
      <c r="B231" s="1"/>
    </row>
    <row r="232" spans="2:2" ht="15" customHeight="1" x14ac:dyDescent="0.3">
      <c r="B232" s="1"/>
    </row>
    <row r="233" spans="2:2" ht="15" customHeight="1" x14ac:dyDescent="0.3">
      <c r="B233" s="1"/>
    </row>
    <row r="234" spans="2:2" ht="15" customHeight="1" x14ac:dyDescent="0.3">
      <c r="B234" s="1"/>
    </row>
    <row r="235" spans="2:2" ht="15" customHeight="1" x14ac:dyDescent="0.3">
      <c r="B235" s="1"/>
    </row>
    <row r="236" spans="2:2" ht="15" customHeight="1" x14ac:dyDescent="0.3">
      <c r="B236" s="1"/>
    </row>
    <row r="237" spans="2:2" ht="15" customHeight="1" x14ac:dyDescent="0.3">
      <c r="B237" s="1"/>
    </row>
    <row r="238" spans="2:2" ht="15" customHeight="1" x14ac:dyDescent="0.3">
      <c r="B238" s="1"/>
    </row>
    <row r="239" spans="2:2" ht="15" customHeight="1" x14ac:dyDescent="0.3">
      <c r="B239" s="1"/>
    </row>
    <row r="240" spans="2:2" ht="15" customHeight="1" x14ac:dyDescent="0.3">
      <c r="B240" s="1"/>
    </row>
    <row r="241" spans="2:2" ht="15" customHeight="1" x14ac:dyDescent="0.3">
      <c r="B241" s="1"/>
    </row>
    <row r="242" spans="2:2" ht="15" customHeight="1" x14ac:dyDescent="0.3">
      <c r="B242" s="1"/>
    </row>
    <row r="243" spans="2:2" ht="15" customHeight="1" x14ac:dyDescent="0.3">
      <c r="B243" s="1"/>
    </row>
    <row r="244" spans="2:2" ht="15" customHeight="1" x14ac:dyDescent="0.3">
      <c r="B244" s="1"/>
    </row>
    <row r="245" spans="2:2" ht="15" customHeight="1" x14ac:dyDescent="0.3">
      <c r="B245" s="1"/>
    </row>
    <row r="246" spans="2:2" ht="15" customHeight="1" x14ac:dyDescent="0.3">
      <c r="B246" s="1"/>
    </row>
    <row r="247" spans="2:2" ht="15" customHeight="1" x14ac:dyDescent="0.3">
      <c r="B247" s="1"/>
    </row>
    <row r="248" spans="2:2" ht="15" customHeight="1" x14ac:dyDescent="0.3">
      <c r="B248" s="1"/>
    </row>
    <row r="249" spans="2:2" ht="15" customHeight="1" x14ac:dyDescent="0.3">
      <c r="B249" s="1"/>
    </row>
    <row r="250" spans="2:2" ht="15" customHeight="1" x14ac:dyDescent="0.3">
      <c r="B250" s="1"/>
    </row>
    <row r="251" spans="2:2" ht="15" customHeight="1" x14ac:dyDescent="0.3">
      <c r="B251" s="1"/>
    </row>
    <row r="252" spans="2:2" ht="15" customHeight="1" x14ac:dyDescent="0.3">
      <c r="B252" s="1"/>
    </row>
    <row r="253" spans="2:2" ht="15" customHeight="1" x14ac:dyDescent="0.3">
      <c r="B253" s="1"/>
    </row>
    <row r="254" spans="2:2" ht="15" customHeight="1" x14ac:dyDescent="0.3">
      <c r="B254" s="1"/>
    </row>
    <row r="255" spans="2:2" ht="15" customHeight="1" x14ac:dyDescent="0.3">
      <c r="B255" s="1"/>
    </row>
    <row r="256" spans="2:2" ht="15" customHeight="1" x14ac:dyDescent="0.3">
      <c r="B256" s="1"/>
    </row>
    <row r="257" spans="2:2" ht="15" customHeight="1" x14ac:dyDescent="0.3">
      <c r="B257" s="1"/>
    </row>
    <row r="258" spans="2:2" ht="15" customHeight="1" x14ac:dyDescent="0.3">
      <c r="B258" s="1"/>
    </row>
    <row r="259" spans="2:2" ht="15" customHeight="1" x14ac:dyDescent="0.3">
      <c r="B259" s="1"/>
    </row>
    <row r="260" spans="2:2" ht="15" customHeight="1" x14ac:dyDescent="0.3">
      <c r="B260" s="1"/>
    </row>
    <row r="261" spans="2:2" ht="15" customHeight="1" x14ac:dyDescent="0.3">
      <c r="B261" s="1"/>
    </row>
    <row r="262" spans="2:2" ht="15" customHeight="1" x14ac:dyDescent="0.3">
      <c r="B262" s="1"/>
    </row>
    <row r="263" spans="2:2" ht="15" customHeight="1" x14ac:dyDescent="0.3">
      <c r="B263" s="1"/>
    </row>
    <row r="264" spans="2:2" ht="15" customHeight="1" x14ac:dyDescent="0.3">
      <c r="B264" s="1"/>
    </row>
    <row r="265" spans="2:2" ht="15" customHeight="1" x14ac:dyDescent="0.3">
      <c r="B265" s="1"/>
    </row>
    <row r="266" spans="2:2" ht="15" customHeight="1" x14ac:dyDescent="0.3">
      <c r="B266" s="1"/>
    </row>
    <row r="267" spans="2:2" ht="15" customHeight="1" x14ac:dyDescent="0.3">
      <c r="B267" s="1"/>
    </row>
    <row r="268" spans="2:2" ht="15" customHeight="1" x14ac:dyDescent="0.3">
      <c r="B268" s="1"/>
    </row>
    <row r="269" spans="2:2" ht="15" customHeight="1" x14ac:dyDescent="0.3">
      <c r="B269" s="1"/>
    </row>
    <row r="270" spans="2:2" ht="15" customHeight="1" x14ac:dyDescent="0.3">
      <c r="B270" s="1"/>
    </row>
    <row r="271" spans="2:2" ht="15" customHeight="1" x14ac:dyDescent="0.3">
      <c r="B271" s="1"/>
    </row>
    <row r="272" spans="2:2" ht="15" customHeight="1" x14ac:dyDescent="0.3">
      <c r="B272" s="1"/>
    </row>
    <row r="273" spans="2:2" ht="15" customHeight="1" x14ac:dyDescent="0.3">
      <c r="B273" s="1"/>
    </row>
    <row r="274" spans="2:2" ht="15" customHeight="1" x14ac:dyDescent="0.3">
      <c r="B274" s="1"/>
    </row>
    <row r="275" spans="2:2" ht="15" customHeight="1" x14ac:dyDescent="0.3">
      <c r="B275" s="1"/>
    </row>
    <row r="276" spans="2:2" ht="15" customHeight="1" x14ac:dyDescent="0.3">
      <c r="B276" s="1"/>
    </row>
    <row r="277" spans="2:2" ht="15" customHeight="1" x14ac:dyDescent="0.3">
      <c r="B277" s="1"/>
    </row>
    <row r="278" spans="2:2" ht="15" customHeight="1" x14ac:dyDescent="0.3">
      <c r="B278" s="1"/>
    </row>
    <row r="279" spans="2:2" ht="15" customHeight="1" x14ac:dyDescent="0.3">
      <c r="B279" s="1"/>
    </row>
    <row r="280" spans="2:2" ht="15" customHeight="1" x14ac:dyDescent="0.3">
      <c r="B280" s="1"/>
    </row>
    <row r="281" spans="2:2" ht="15" customHeight="1" x14ac:dyDescent="0.3">
      <c r="B281" s="1"/>
    </row>
    <row r="282" spans="2:2" ht="15" customHeight="1" x14ac:dyDescent="0.3">
      <c r="B282" s="1"/>
    </row>
    <row r="283" spans="2:2" ht="15" customHeight="1" x14ac:dyDescent="0.3">
      <c r="B283" s="1"/>
    </row>
    <row r="284" spans="2:2" ht="15" customHeight="1" x14ac:dyDescent="0.3">
      <c r="B284" s="1"/>
    </row>
    <row r="285" spans="2:2" ht="15" customHeight="1" x14ac:dyDescent="0.3">
      <c r="B285" s="1"/>
    </row>
    <row r="286" spans="2:2" ht="15" customHeight="1" x14ac:dyDescent="0.3">
      <c r="B286" s="1"/>
    </row>
    <row r="287" spans="2:2" ht="15" customHeight="1" x14ac:dyDescent="0.3">
      <c r="B287" s="1"/>
    </row>
    <row r="288" spans="2:2" ht="15" customHeight="1" x14ac:dyDescent="0.3">
      <c r="B288" s="1"/>
    </row>
    <row r="289" spans="2:2" ht="15" customHeight="1" x14ac:dyDescent="0.3">
      <c r="B289" s="1"/>
    </row>
    <row r="290" spans="2:2" ht="15" customHeight="1" x14ac:dyDescent="0.3">
      <c r="B290" s="1"/>
    </row>
    <row r="291" spans="2:2" ht="15" customHeight="1" x14ac:dyDescent="0.3">
      <c r="B291" s="1"/>
    </row>
    <row r="292" spans="2:2" ht="15" customHeight="1" x14ac:dyDescent="0.3">
      <c r="B292" s="1"/>
    </row>
    <row r="293" spans="2:2" ht="15" customHeight="1" x14ac:dyDescent="0.3">
      <c r="B293" s="1"/>
    </row>
    <row r="294" spans="2:2" ht="15" customHeight="1" x14ac:dyDescent="0.3">
      <c r="B294" s="1"/>
    </row>
    <row r="295" spans="2:2" ht="15" customHeight="1" x14ac:dyDescent="0.3">
      <c r="B295" s="1"/>
    </row>
    <row r="296" spans="2:2" ht="15" customHeight="1" x14ac:dyDescent="0.3">
      <c r="B296" s="1"/>
    </row>
    <row r="297" spans="2:2" ht="15" customHeight="1" x14ac:dyDescent="0.3">
      <c r="B297" s="1"/>
    </row>
    <row r="298" spans="2:2" ht="15" customHeight="1" x14ac:dyDescent="0.3">
      <c r="B298" s="1"/>
    </row>
    <row r="299" spans="2:2" ht="15" customHeight="1" x14ac:dyDescent="0.3">
      <c r="B299" s="1"/>
    </row>
    <row r="300" spans="2:2" ht="15" customHeight="1" x14ac:dyDescent="0.3">
      <c r="B300" s="1"/>
    </row>
    <row r="301" spans="2:2" ht="15" customHeight="1" x14ac:dyDescent="0.3">
      <c r="B301" s="1"/>
    </row>
    <row r="302" spans="2:2" ht="15" customHeight="1" x14ac:dyDescent="0.3">
      <c r="B302" s="1"/>
    </row>
    <row r="303" spans="2:2" ht="15" customHeight="1" x14ac:dyDescent="0.3">
      <c r="B303" s="1"/>
    </row>
    <row r="304" spans="2:2" ht="15" customHeight="1" x14ac:dyDescent="0.3">
      <c r="B304" s="1"/>
    </row>
    <row r="305" spans="2:2" ht="15" customHeight="1" x14ac:dyDescent="0.3">
      <c r="B305" s="1"/>
    </row>
    <row r="306" spans="2:2" ht="15" customHeight="1" x14ac:dyDescent="0.3">
      <c r="B306" s="1"/>
    </row>
    <row r="307" spans="2:2" ht="15" customHeight="1" x14ac:dyDescent="0.3">
      <c r="B307" s="1"/>
    </row>
    <row r="308" spans="2:2" ht="15" customHeight="1" x14ac:dyDescent="0.3">
      <c r="B308" s="1"/>
    </row>
    <row r="309" spans="2:2" ht="15" customHeight="1" x14ac:dyDescent="0.3">
      <c r="B309" s="1"/>
    </row>
    <row r="310" spans="2:2" ht="15" customHeight="1" x14ac:dyDescent="0.3">
      <c r="B310" s="1"/>
    </row>
    <row r="311" spans="2:2" ht="15" customHeight="1" x14ac:dyDescent="0.3">
      <c r="B311" s="1"/>
    </row>
    <row r="312" spans="2:2" ht="15" customHeight="1" x14ac:dyDescent="0.3">
      <c r="B312" s="1"/>
    </row>
    <row r="313" spans="2:2" ht="15" customHeight="1" x14ac:dyDescent="0.3">
      <c r="B313" s="1"/>
    </row>
    <row r="314" spans="2:2" ht="15" customHeight="1" x14ac:dyDescent="0.3">
      <c r="B314" s="1"/>
    </row>
    <row r="315" spans="2:2" ht="15" customHeight="1" x14ac:dyDescent="0.3">
      <c r="B315" s="1"/>
    </row>
    <row r="316" spans="2:2" ht="15" customHeight="1" x14ac:dyDescent="0.3">
      <c r="B316" s="1"/>
    </row>
    <row r="317" spans="2:2" ht="15" customHeight="1" x14ac:dyDescent="0.3">
      <c r="B317" s="1"/>
    </row>
    <row r="318" spans="2:2" ht="15" customHeight="1" x14ac:dyDescent="0.3">
      <c r="B318" s="1"/>
    </row>
    <row r="319" spans="2:2" ht="15" customHeight="1" x14ac:dyDescent="0.3">
      <c r="B319" s="1"/>
    </row>
    <row r="320" spans="2:2" ht="15" customHeight="1" x14ac:dyDescent="0.3">
      <c r="B320" s="1"/>
    </row>
    <row r="321" ht="15" customHeight="1" x14ac:dyDescent="0.3"/>
    <row r="322" ht="15" customHeight="1" x14ac:dyDescent="0.3"/>
    <row r="323" ht="15" customHeight="1" x14ac:dyDescent="0.3"/>
    <row r="324" ht="15" customHeight="1" x14ac:dyDescent="0.3"/>
    <row r="325" ht="15" customHeight="1" x14ac:dyDescent="0.3"/>
    <row r="326" ht="15" customHeight="1" x14ac:dyDescent="0.3"/>
    <row r="327" ht="15" customHeight="1" x14ac:dyDescent="0.3"/>
    <row r="328" ht="15" customHeight="1" x14ac:dyDescent="0.3"/>
    <row r="329" ht="15" customHeight="1" x14ac:dyDescent="0.3"/>
    <row r="330" ht="15" customHeight="1" x14ac:dyDescent="0.3"/>
    <row r="331" ht="15" customHeight="1" x14ac:dyDescent="0.3"/>
    <row r="332" ht="15" customHeight="1" x14ac:dyDescent="0.3"/>
    <row r="333" ht="15" customHeight="1" x14ac:dyDescent="0.3"/>
    <row r="334" ht="15" customHeight="1" x14ac:dyDescent="0.3"/>
    <row r="335" ht="15" customHeight="1" x14ac:dyDescent="0.3"/>
    <row r="336" ht="15" customHeight="1" x14ac:dyDescent="0.3"/>
    <row r="337" ht="15" customHeight="1" x14ac:dyDescent="0.3"/>
    <row r="338" ht="15" customHeight="1" x14ac:dyDescent="0.3"/>
    <row r="339" ht="15" customHeight="1" x14ac:dyDescent="0.3"/>
    <row r="340" ht="15" customHeight="1" x14ac:dyDescent="0.3"/>
    <row r="341" ht="15" customHeight="1" x14ac:dyDescent="0.3"/>
    <row r="342" ht="15" customHeight="1" x14ac:dyDescent="0.3"/>
    <row r="343" ht="15" customHeight="1" x14ac:dyDescent="0.3"/>
    <row r="344" ht="15" customHeight="1" x14ac:dyDescent="0.3"/>
    <row r="345" ht="15" customHeight="1" x14ac:dyDescent="0.3"/>
    <row r="346" ht="15" customHeight="1" x14ac:dyDescent="0.3"/>
    <row r="347" ht="15" customHeight="1" x14ac:dyDescent="0.3"/>
    <row r="348" ht="15" customHeight="1" x14ac:dyDescent="0.3"/>
    <row r="349" ht="15" customHeight="1" x14ac:dyDescent="0.3"/>
    <row r="350" ht="15" customHeight="1" x14ac:dyDescent="0.3"/>
    <row r="351" ht="15" customHeight="1" x14ac:dyDescent="0.3"/>
    <row r="352" ht="15" customHeight="1" x14ac:dyDescent="0.3"/>
    <row r="353" ht="15" customHeight="1" x14ac:dyDescent="0.3"/>
    <row r="354" ht="15" customHeight="1" x14ac:dyDescent="0.3"/>
    <row r="355" ht="15" customHeight="1" x14ac:dyDescent="0.3"/>
    <row r="356" ht="15" customHeight="1" x14ac:dyDescent="0.3"/>
    <row r="357" ht="15" customHeight="1" x14ac:dyDescent="0.3"/>
    <row r="358" ht="15" customHeight="1" x14ac:dyDescent="0.3"/>
    <row r="359" ht="15" customHeight="1" x14ac:dyDescent="0.3"/>
    <row r="360" ht="15" customHeight="1" x14ac:dyDescent="0.3"/>
    <row r="361" ht="15" customHeight="1" x14ac:dyDescent="0.3"/>
    <row r="362" ht="15" customHeight="1" x14ac:dyDescent="0.3"/>
    <row r="363" ht="15" customHeight="1" x14ac:dyDescent="0.3"/>
    <row r="364" ht="15" customHeight="1" x14ac:dyDescent="0.3"/>
    <row r="365" ht="15" customHeight="1" x14ac:dyDescent="0.3"/>
    <row r="366" ht="15" customHeight="1" x14ac:dyDescent="0.3"/>
    <row r="367" ht="15" customHeight="1" x14ac:dyDescent="0.3"/>
    <row r="368" ht="15" customHeight="1" x14ac:dyDescent="0.3"/>
    <row r="369" ht="15" customHeight="1" x14ac:dyDescent="0.3"/>
    <row r="370" ht="15" customHeight="1" x14ac:dyDescent="0.3"/>
    <row r="371" ht="15" customHeight="1" x14ac:dyDescent="0.3"/>
    <row r="372" ht="15" customHeight="1" x14ac:dyDescent="0.3"/>
    <row r="373" ht="15" customHeight="1" x14ac:dyDescent="0.3"/>
    <row r="374" ht="15" customHeight="1" x14ac:dyDescent="0.3"/>
    <row r="375" ht="15" customHeight="1" x14ac:dyDescent="0.3"/>
    <row r="376" ht="15" customHeight="1" x14ac:dyDescent="0.3"/>
    <row r="377" ht="15" customHeight="1" x14ac:dyDescent="0.3"/>
    <row r="378" ht="15" customHeight="1" x14ac:dyDescent="0.3"/>
    <row r="379" ht="15" customHeight="1" x14ac:dyDescent="0.3"/>
    <row r="380" ht="15" customHeight="1" x14ac:dyDescent="0.3"/>
    <row r="381" ht="15" customHeight="1" x14ac:dyDescent="0.3"/>
    <row r="382" ht="15" customHeight="1" x14ac:dyDescent="0.3"/>
    <row r="383" ht="15" customHeight="1" x14ac:dyDescent="0.3"/>
    <row r="384" ht="15" customHeight="1" x14ac:dyDescent="0.3"/>
    <row r="385" ht="15" customHeight="1" x14ac:dyDescent="0.3"/>
    <row r="386" ht="15" customHeight="1" x14ac:dyDescent="0.3"/>
    <row r="387" ht="15" customHeight="1" x14ac:dyDescent="0.3"/>
    <row r="388" ht="15" customHeight="1" x14ac:dyDescent="0.3"/>
    <row r="389" ht="15" customHeight="1" x14ac:dyDescent="0.3"/>
    <row r="390" ht="15" customHeight="1" x14ac:dyDescent="0.3"/>
    <row r="391" ht="15" customHeight="1" x14ac:dyDescent="0.3"/>
    <row r="392" ht="15" customHeight="1" x14ac:dyDescent="0.3"/>
    <row r="393" ht="15" customHeight="1" x14ac:dyDescent="0.3"/>
    <row r="394" ht="15" customHeight="1" x14ac:dyDescent="0.3"/>
    <row r="395" ht="15" customHeight="1" x14ac:dyDescent="0.3"/>
    <row r="396" ht="15" customHeight="1" x14ac:dyDescent="0.3"/>
    <row r="397" ht="15" customHeight="1" x14ac:dyDescent="0.3"/>
    <row r="398" ht="15" customHeight="1" x14ac:dyDescent="0.3"/>
    <row r="399" ht="15" customHeight="1" x14ac:dyDescent="0.3"/>
    <row r="400" ht="15" customHeight="1" x14ac:dyDescent="0.3"/>
    <row r="401" ht="15" customHeight="1" x14ac:dyDescent="0.3"/>
    <row r="402" ht="15" customHeight="1" x14ac:dyDescent="0.3"/>
    <row r="403" ht="15" customHeight="1" x14ac:dyDescent="0.3"/>
    <row r="404" ht="15" customHeight="1" x14ac:dyDescent="0.3"/>
    <row r="405" ht="15" customHeight="1" x14ac:dyDescent="0.3"/>
    <row r="406" ht="15" customHeight="1" x14ac:dyDescent="0.3"/>
    <row r="407" ht="15" customHeight="1" x14ac:dyDescent="0.3"/>
    <row r="408" ht="15" customHeight="1" x14ac:dyDescent="0.3"/>
    <row r="409" ht="15" customHeight="1" x14ac:dyDescent="0.3"/>
    <row r="410" ht="15" customHeight="1" x14ac:dyDescent="0.3"/>
    <row r="411" ht="15" customHeight="1" x14ac:dyDescent="0.3"/>
    <row r="412" ht="15" customHeight="1" x14ac:dyDescent="0.3"/>
    <row r="413" ht="15" customHeight="1" x14ac:dyDescent="0.3"/>
    <row r="414" ht="15" customHeight="1" x14ac:dyDescent="0.3"/>
    <row r="415" ht="15" customHeight="1" x14ac:dyDescent="0.3"/>
    <row r="416" ht="15" customHeight="1" x14ac:dyDescent="0.3"/>
    <row r="417" ht="15" customHeight="1" x14ac:dyDescent="0.3"/>
    <row r="418" ht="15" customHeight="1" x14ac:dyDescent="0.3"/>
    <row r="419" ht="15" customHeight="1" x14ac:dyDescent="0.3"/>
    <row r="420" ht="15" customHeight="1" x14ac:dyDescent="0.3"/>
    <row r="421" ht="15" customHeight="1" x14ac:dyDescent="0.3"/>
    <row r="422" ht="15" customHeight="1" x14ac:dyDescent="0.3"/>
    <row r="423" ht="15" customHeight="1" x14ac:dyDescent="0.3"/>
    <row r="424" ht="15" customHeight="1" x14ac:dyDescent="0.3"/>
    <row r="425" ht="15" customHeight="1" x14ac:dyDescent="0.3"/>
    <row r="426" ht="15" customHeight="1" x14ac:dyDescent="0.3"/>
    <row r="427" ht="15" customHeight="1" x14ac:dyDescent="0.3"/>
    <row r="428" ht="15" customHeight="1" x14ac:dyDescent="0.3"/>
    <row r="429" ht="15" customHeight="1" x14ac:dyDescent="0.3"/>
    <row r="430" ht="15" customHeight="1" x14ac:dyDescent="0.3"/>
    <row r="431" ht="15" customHeight="1" x14ac:dyDescent="0.3"/>
    <row r="432" ht="15" customHeight="1" x14ac:dyDescent="0.3"/>
    <row r="433" ht="15" customHeight="1" x14ac:dyDescent="0.3"/>
    <row r="434" ht="15" customHeight="1" x14ac:dyDescent="0.3"/>
    <row r="435" ht="15" customHeight="1" x14ac:dyDescent="0.3"/>
    <row r="436" ht="15" customHeight="1" x14ac:dyDescent="0.3"/>
    <row r="437" ht="15" customHeight="1" x14ac:dyDescent="0.3"/>
    <row r="438" ht="15" customHeight="1" x14ac:dyDescent="0.3"/>
    <row r="439" ht="15" customHeight="1" x14ac:dyDescent="0.3"/>
    <row r="440" ht="15" customHeight="1" x14ac:dyDescent="0.3"/>
    <row r="441" ht="15" customHeight="1" x14ac:dyDescent="0.3"/>
    <row r="442" ht="15" customHeight="1" x14ac:dyDescent="0.3"/>
    <row r="443" ht="15" customHeight="1" x14ac:dyDescent="0.3"/>
    <row r="444" ht="15" customHeight="1" x14ac:dyDescent="0.3"/>
    <row r="445" ht="15" customHeight="1" x14ac:dyDescent="0.3"/>
    <row r="446" ht="15" customHeight="1" x14ac:dyDescent="0.3"/>
    <row r="450" ht="15" customHeight="1" x14ac:dyDescent="0.3"/>
    <row r="454" ht="15" customHeight="1" x14ac:dyDescent="0.3"/>
  </sheetData>
  <conditionalFormatting sqref="F2">
    <cfRule type="cellIs" dxfId="19" priority="3" stopIfTrue="1" operator="notEqual">
      <formula>0</formula>
    </cfRule>
    <cfRule type="cellIs" dxfId="18" priority="4" stopIfTrue="1" operator="equal">
      <formula>""</formula>
    </cfRule>
  </conditionalFormatting>
  <conditionalFormatting sqref="F3">
    <cfRule type="cellIs" dxfId="17" priority="1" stopIfTrue="1" operator="notEqual">
      <formula>0</formula>
    </cfRule>
    <cfRule type="cellIs" dxfId="16" priority="2" stopIfTrue="1" operator="equal">
      <formula>""</formula>
    </cfRule>
  </conditionalFormatting>
  <conditionalFormatting sqref="K3:AS3">
    <cfRule type="cellIs" dxfId="15" priority="7" stopIfTrue="1" operator="equal">
      <formula>#REF!</formula>
    </cfRule>
    <cfRule type="cellIs" dxfId="14" priority="8" stopIfTrue="1" operator="equal">
      <formula>#REF!</formula>
    </cfRule>
    <cfRule type="cellIs" dxfId="13" priority="9" operator="equal">
      <formula>#REF!</formula>
    </cfRule>
    <cfRule type="cellIs" dxfId="12" priority="10" operator="equal">
      <formula>#REF!</formula>
    </cfRule>
    <cfRule type="cellIs" dxfId="11" priority="11" stopIfTrue="1" operator="equal">
      <formula>#REF!</formula>
    </cfRule>
    <cfRule type="cellIs" dxfId="10" priority="12" stopIfTrue="1" operator="equal">
      <formula>#REF!</formula>
    </cfRule>
  </conditionalFormatting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E5938CD0-F69D-493D-ABAA-743FC739F579}">
          <x14:formula1>
            <xm:f>COMMUS_Model!$F$477:$F$478</xm:f>
          </x14:formula1>
          <xm:sqref>F58:F64</xm:sqref>
        </x14:dataValidation>
      </x14:dataValidations>
    </ext>
  </extLst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297645-C63D-4A47-AF52-769A458D2481}">
  <sheetPr codeName="Sheet16"/>
  <dimension ref="A1:BD7"/>
  <sheetViews>
    <sheetView zoomScale="90" zoomScaleNormal="90" workbookViewId="0">
      <pane xSplit="10" ySplit="4" topLeftCell="K5" activePane="bottomRight" state="frozen"/>
      <selection pane="topRight" activeCell="K1" sqref="K1"/>
      <selection pane="bottomLeft" activeCell="A5" sqref="A5"/>
      <selection pane="bottomRight" activeCell="AT1" sqref="AT1:XFD1048576"/>
    </sheetView>
  </sheetViews>
  <sheetFormatPr defaultColWidth="0" defaultRowHeight="15" customHeight="1" x14ac:dyDescent="0.3"/>
  <cols>
    <col min="1" max="2" width="1.33203125" style="446" customWidth="1"/>
    <col min="3" max="3" width="1.33203125" style="447" customWidth="1"/>
    <col min="4" max="4" width="1.33203125" style="448" customWidth="1"/>
    <col min="5" max="5" width="50.6640625" style="448" customWidth="1"/>
    <col min="6" max="6" width="12.6640625" style="448" customWidth="1"/>
    <col min="7" max="7" width="20.6640625" style="448" customWidth="1"/>
    <col min="8" max="8" width="25.109375" style="5" customWidth="1"/>
    <col min="9" max="9" width="12.6640625" style="448" customWidth="1" collapsed="1"/>
    <col min="10" max="10" width="1.6640625" style="450" customWidth="1"/>
    <col min="11" max="37" width="10.6640625" style="448" customWidth="1"/>
    <col min="38" max="45" width="10.6640625" customWidth="1"/>
    <col min="46" max="47" width="10.6640625" hidden="1" customWidth="1"/>
    <col min="48" max="56" width="11.6640625" hidden="1" customWidth="1"/>
    <col min="57" max="16384" width="14.44140625" hidden="1"/>
  </cols>
  <sheetData>
    <row r="1" spans="1:45" ht="26.25" customHeight="1" x14ac:dyDescent="0.3">
      <c r="A1" s="445" t="str">
        <f ca="1" xml:space="preserve"> RIGHT(CELL("filename", $A$3), LEN(CELL("filename", $A$3)) - SEARCH("]", CELL("filename", $A$3)))</f>
        <v>NewSheet</v>
      </c>
      <c r="F1" s="449"/>
      <c r="AL1" s="448"/>
      <c r="AM1" s="448"/>
      <c r="AN1" s="448"/>
      <c r="AO1" s="448"/>
      <c r="AP1" s="448"/>
      <c r="AQ1" s="448"/>
      <c r="AR1" s="448"/>
      <c r="AS1" s="448"/>
    </row>
    <row r="2" spans="1:45" ht="15" customHeight="1" x14ac:dyDescent="0.3">
      <c r="F2" s="46"/>
      <c r="G2" s="7" t="s">
        <v>0</v>
      </c>
      <c r="K2" s="47">
        <f>'T&amp;E'!K$9</f>
        <v>2006</v>
      </c>
      <c r="L2" s="47">
        <f>'T&amp;E'!L$9</f>
        <v>2007</v>
      </c>
      <c r="M2" s="47">
        <f>'T&amp;E'!M$9</f>
        <v>2008</v>
      </c>
      <c r="N2" s="47">
        <f>'T&amp;E'!N$9</f>
        <v>2009</v>
      </c>
      <c r="O2" s="47">
        <f>'T&amp;E'!O$9</f>
        <v>2010</v>
      </c>
      <c r="P2" s="47">
        <f>'T&amp;E'!P$9</f>
        <v>2011</v>
      </c>
      <c r="Q2" s="47">
        <f>'T&amp;E'!Q$9</f>
        <v>2012</v>
      </c>
      <c r="R2" s="47">
        <f>'T&amp;E'!R$9</f>
        <v>2013</v>
      </c>
      <c r="S2" s="47">
        <f>'T&amp;E'!S$9</f>
        <v>2014</v>
      </c>
      <c r="T2" s="47">
        <f>'T&amp;E'!T$9</f>
        <v>2015</v>
      </c>
      <c r="U2" s="47">
        <f>'T&amp;E'!U$9</f>
        <v>2016</v>
      </c>
      <c r="V2" s="47">
        <f>'T&amp;E'!V$9</f>
        <v>2017</v>
      </c>
      <c r="W2" s="47">
        <f>'T&amp;E'!W$9</f>
        <v>2018</v>
      </c>
      <c r="X2" s="47">
        <f>'T&amp;E'!X$9</f>
        <v>2019</v>
      </c>
      <c r="Y2" s="47">
        <f>'T&amp;E'!Y$9</f>
        <v>2020</v>
      </c>
      <c r="Z2" s="47">
        <f>'T&amp;E'!Z$9</f>
        <v>2021</v>
      </c>
      <c r="AA2" s="47">
        <f>'T&amp;E'!AA$9</f>
        <v>2022</v>
      </c>
      <c r="AB2" s="47">
        <f>'T&amp;E'!AB$9</f>
        <v>2023</v>
      </c>
      <c r="AC2" s="47">
        <f>'T&amp;E'!AC$9</f>
        <v>2024</v>
      </c>
      <c r="AD2" s="47">
        <f>'T&amp;E'!AD$9</f>
        <v>2025</v>
      </c>
      <c r="AE2" s="47">
        <f>'T&amp;E'!AE$9</f>
        <v>2026</v>
      </c>
      <c r="AF2" s="47">
        <f>'T&amp;E'!AF$9</f>
        <v>2027</v>
      </c>
      <c r="AG2" s="47">
        <f>'T&amp;E'!AG$9</f>
        <v>2028</v>
      </c>
      <c r="AH2" s="47">
        <f>'T&amp;E'!AH$9</f>
        <v>2029</v>
      </c>
      <c r="AI2" s="47">
        <f>'T&amp;E'!AI$9</f>
        <v>2030</v>
      </c>
      <c r="AJ2" s="47">
        <f>'T&amp;E'!AJ$9</f>
        <v>2031</v>
      </c>
      <c r="AK2" s="47">
        <f>'T&amp;E'!AK$9</f>
        <v>2032</v>
      </c>
      <c r="AL2" s="47">
        <f>'T&amp;E'!AL$9</f>
        <v>2033</v>
      </c>
      <c r="AM2" s="47">
        <f>'T&amp;E'!AM$9</f>
        <v>2034</v>
      </c>
      <c r="AN2" s="47">
        <f>'T&amp;E'!AN$9</f>
        <v>2035</v>
      </c>
      <c r="AO2" s="47">
        <f>'T&amp;E'!AO$9</f>
        <v>2036</v>
      </c>
      <c r="AP2" s="47">
        <f>'T&amp;E'!AP$9</f>
        <v>2037</v>
      </c>
      <c r="AQ2" s="47">
        <f>'T&amp;E'!AQ$9</f>
        <v>2038</v>
      </c>
      <c r="AR2" s="47">
        <f>'T&amp;E'!AR$9</f>
        <v>2039</v>
      </c>
      <c r="AS2" s="47">
        <f>'T&amp;E'!AS$9</f>
        <v>2040</v>
      </c>
    </row>
    <row r="3" spans="1:45" ht="15" customHeight="1" x14ac:dyDescent="0.3">
      <c r="F3" s="48"/>
      <c r="G3" s="9" t="s">
        <v>1</v>
      </c>
      <c r="K3" s="49" t="s">
        <v>2</v>
      </c>
      <c r="L3" s="49" t="s">
        <v>2</v>
      </c>
      <c r="M3" s="49" t="s">
        <v>2</v>
      </c>
      <c r="N3" s="49" t="s">
        <v>2</v>
      </c>
      <c r="O3" s="49" t="s">
        <v>2</v>
      </c>
      <c r="P3" s="49" t="s">
        <v>2</v>
      </c>
      <c r="Q3" s="49" t="s">
        <v>2</v>
      </c>
      <c r="R3" s="49" t="s">
        <v>2</v>
      </c>
      <c r="S3" s="49" t="s">
        <v>2</v>
      </c>
      <c r="T3" s="49" t="s">
        <v>2</v>
      </c>
      <c r="U3" s="49" t="s">
        <v>2</v>
      </c>
      <c r="V3" s="49" t="s">
        <v>2</v>
      </c>
      <c r="W3" s="49" t="s">
        <v>2</v>
      </c>
      <c r="X3" s="49" t="s">
        <v>2</v>
      </c>
      <c r="Y3" s="49" t="s">
        <v>2</v>
      </c>
      <c r="Z3" s="49" t="s">
        <v>2</v>
      </c>
      <c r="AA3" s="49" t="s">
        <v>2</v>
      </c>
      <c r="AB3" s="49" t="s">
        <v>2</v>
      </c>
      <c r="AC3" s="49" t="s">
        <v>2</v>
      </c>
      <c r="AD3" s="49" t="s">
        <v>3</v>
      </c>
      <c r="AE3" s="49" t="s">
        <v>3</v>
      </c>
      <c r="AF3" s="49" t="s">
        <v>3</v>
      </c>
      <c r="AG3" s="49" t="s">
        <v>3</v>
      </c>
      <c r="AH3" s="49" t="s">
        <v>3</v>
      </c>
      <c r="AI3" s="49" t="s">
        <v>3</v>
      </c>
      <c r="AJ3" s="49" t="s">
        <v>3</v>
      </c>
      <c r="AK3" s="49" t="s">
        <v>3</v>
      </c>
      <c r="AL3" s="49" t="s">
        <v>3</v>
      </c>
      <c r="AM3" s="49" t="s">
        <v>3</v>
      </c>
      <c r="AN3" s="49" t="s">
        <v>3</v>
      </c>
      <c r="AO3" s="49" t="s">
        <v>3</v>
      </c>
      <c r="AP3" s="49" t="s">
        <v>3</v>
      </c>
      <c r="AQ3" s="49" t="s">
        <v>3</v>
      </c>
      <c r="AR3" s="49" t="s">
        <v>3</v>
      </c>
      <c r="AS3" s="49" t="s">
        <v>3</v>
      </c>
    </row>
    <row r="4" spans="1:45" ht="15" customHeight="1" x14ac:dyDescent="0.3">
      <c r="F4" s="451" t="s">
        <v>4</v>
      </c>
      <c r="G4" s="446" t="s">
        <v>5</v>
      </c>
      <c r="H4" s="452" t="s">
        <v>6</v>
      </c>
      <c r="I4" s="13"/>
      <c r="K4" s="45">
        <f>'T&amp;E'!K$11</f>
        <v>1</v>
      </c>
      <c r="L4" s="45">
        <f>'T&amp;E'!L$11</f>
        <v>2</v>
      </c>
      <c r="M4" s="45">
        <f>'T&amp;E'!M$11</f>
        <v>3</v>
      </c>
      <c r="N4" s="45">
        <f>'T&amp;E'!N$11</f>
        <v>4</v>
      </c>
      <c r="O4" s="45">
        <f>'T&amp;E'!O$11</f>
        <v>5</v>
      </c>
      <c r="P4" s="45">
        <f>'T&amp;E'!P$11</f>
        <v>6</v>
      </c>
      <c r="Q4" s="45">
        <f>'T&amp;E'!Q$11</f>
        <v>7</v>
      </c>
      <c r="R4" s="45">
        <f>'T&amp;E'!R$11</f>
        <v>8</v>
      </c>
      <c r="S4" s="45">
        <f>'T&amp;E'!S$11</f>
        <v>9</v>
      </c>
      <c r="T4" s="45">
        <f>'T&amp;E'!T$11</f>
        <v>10</v>
      </c>
      <c r="U4" s="45">
        <f>'T&amp;E'!U$11</f>
        <v>11</v>
      </c>
      <c r="V4" s="45">
        <f>'T&amp;E'!V$11</f>
        <v>12</v>
      </c>
      <c r="W4" s="45">
        <f>'T&amp;E'!W$11</f>
        <v>13</v>
      </c>
      <c r="X4" s="45">
        <f>'T&amp;E'!X$11</f>
        <v>14</v>
      </c>
      <c r="Y4" s="45">
        <f>'T&amp;E'!Y$11</f>
        <v>15</v>
      </c>
      <c r="Z4" s="45">
        <f>'T&amp;E'!Z$11</f>
        <v>16</v>
      </c>
      <c r="AA4" s="45">
        <f>'T&amp;E'!AA$11</f>
        <v>17</v>
      </c>
      <c r="AB4" s="45">
        <f>'T&amp;E'!AB$11</f>
        <v>18</v>
      </c>
      <c r="AC4" s="45">
        <f>'T&amp;E'!AC$11</f>
        <v>19</v>
      </c>
      <c r="AD4" s="45">
        <f>'T&amp;E'!AD$11</f>
        <v>20</v>
      </c>
      <c r="AE4" s="45">
        <f>'T&amp;E'!AE$11</f>
        <v>21</v>
      </c>
      <c r="AF4" s="45">
        <f>'T&amp;E'!AF$11</f>
        <v>22</v>
      </c>
      <c r="AG4" s="45">
        <f>'T&amp;E'!AG$11</f>
        <v>23</v>
      </c>
      <c r="AH4" s="45">
        <f>'T&amp;E'!AH$11</f>
        <v>24</v>
      </c>
      <c r="AI4" s="45">
        <f>'T&amp;E'!AI$11</f>
        <v>25</v>
      </c>
      <c r="AJ4" s="45">
        <f>'T&amp;E'!AJ$11</f>
        <v>26</v>
      </c>
      <c r="AK4" s="45">
        <f>'T&amp;E'!AK$11</f>
        <v>27</v>
      </c>
      <c r="AL4" s="45">
        <f>'T&amp;E'!AL$11</f>
        <v>28</v>
      </c>
      <c r="AM4" s="45">
        <f>'T&amp;E'!AM$11</f>
        <v>29</v>
      </c>
      <c r="AN4" s="45">
        <f>'T&amp;E'!AN$11</f>
        <v>30</v>
      </c>
      <c r="AO4" s="45">
        <f>'T&amp;E'!AO$11</f>
        <v>31</v>
      </c>
      <c r="AP4" s="45">
        <f>'T&amp;E'!AP$11</f>
        <v>32</v>
      </c>
      <c r="AQ4" s="45">
        <f>'T&amp;E'!AQ$11</f>
        <v>33</v>
      </c>
      <c r="AR4" s="45">
        <f>'T&amp;E'!AR$11</f>
        <v>34</v>
      </c>
      <c r="AS4" s="45">
        <f>'T&amp;E'!AS$11</f>
        <v>35</v>
      </c>
    </row>
    <row r="5" spans="1:45" ht="15" customHeight="1" x14ac:dyDescent="0.3">
      <c r="F5" s="451"/>
      <c r="G5" s="446"/>
      <c r="H5" s="452"/>
      <c r="I5" s="13"/>
      <c r="J5" s="453"/>
      <c r="AL5" s="448"/>
      <c r="AM5" s="448"/>
      <c r="AN5" s="448"/>
      <c r="AO5" s="448"/>
      <c r="AP5" s="448"/>
      <c r="AQ5" s="448"/>
      <c r="AR5" s="448"/>
      <c r="AS5" s="448"/>
    </row>
    <row r="6" spans="1:45" ht="15" customHeight="1" collapsed="1" x14ac:dyDescent="0.3">
      <c r="A6" s="454" t="s">
        <v>513</v>
      </c>
      <c r="B6" s="455"/>
      <c r="C6" s="456"/>
      <c r="D6" s="457"/>
      <c r="E6" s="455"/>
      <c r="F6" s="455"/>
      <c r="G6" s="455"/>
      <c r="H6" s="455"/>
      <c r="I6" s="455"/>
      <c r="J6" s="458"/>
      <c r="K6" s="455"/>
      <c r="L6" s="455"/>
      <c r="M6" s="455"/>
      <c r="N6" s="455"/>
      <c r="O6" s="455"/>
      <c r="P6" s="455"/>
      <c r="Q6" s="455"/>
      <c r="R6" s="455"/>
      <c r="S6" s="455"/>
      <c r="T6" s="455"/>
      <c r="U6" s="455"/>
      <c r="V6" s="455"/>
      <c r="W6" s="455"/>
      <c r="X6" s="455"/>
      <c r="Y6" s="455"/>
      <c r="Z6" s="455"/>
      <c r="AA6" s="455"/>
      <c r="AB6" s="455"/>
      <c r="AC6" s="455"/>
      <c r="AD6" s="455"/>
      <c r="AE6" s="455"/>
      <c r="AF6" s="455"/>
      <c r="AG6" s="455"/>
      <c r="AH6" s="455"/>
      <c r="AI6" s="455"/>
      <c r="AJ6" s="455"/>
      <c r="AK6" s="455"/>
      <c r="AL6" s="455"/>
      <c r="AM6" s="455"/>
      <c r="AN6" s="455"/>
      <c r="AO6" s="455"/>
      <c r="AP6" s="455"/>
      <c r="AQ6" s="455"/>
      <c r="AR6" s="455"/>
      <c r="AS6" s="455"/>
    </row>
    <row r="7" spans="1:45" ht="15" customHeight="1" x14ac:dyDescent="0.3">
      <c r="D7" s="460"/>
      <c r="H7" s="448"/>
      <c r="J7" s="453"/>
    </row>
  </sheetData>
  <conditionalFormatting sqref="F2">
    <cfRule type="cellIs" dxfId="9" priority="1" stopIfTrue="1" operator="notEqual">
      <formula>0</formula>
    </cfRule>
    <cfRule type="cellIs" dxfId="8" priority="2" stopIfTrue="1" operator="equal">
      <formula>""</formula>
    </cfRule>
  </conditionalFormatting>
  <conditionalFormatting sqref="F3">
    <cfRule type="cellIs" dxfId="7" priority="3" stopIfTrue="1" operator="notEqual">
      <formula>0</formula>
    </cfRule>
    <cfRule type="cellIs" dxfId="6" priority="4" stopIfTrue="1" operator="equal">
      <formula>""</formula>
    </cfRule>
  </conditionalFormatting>
  <conditionalFormatting sqref="K3:AS3">
    <cfRule type="cellIs" dxfId="5" priority="5" stopIfTrue="1" operator="equal">
      <formula>#REF!</formula>
    </cfRule>
    <cfRule type="cellIs" dxfId="4" priority="6" stopIfTrue="1" operator="equal">
      <formula>#REF!</formula>
    </cfRule>
    <cfRule type="cellIs" dxfId="3" priority="7" operator="equal">
      <formula>#REF!</formula>
    </cfRule>
    <cfRule type="cellIs" dxfId="2" priority="8" operator="equal">
      <formula>#REF!</formula>
    </cfRule>
    <cfRule type="cellIs" dxfId="1" priority="9" stopIfTrue="1" operator="equal">
      <formula>#REF!</formula>
    </cfRule>
    <cfRule type="cellIs" dxfId="0" priority="10" stopIfTrue="1" operator="equal">
      <formula>#REF!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16</vt:i4>
      </vt:variant>
      <vt:variant>
        <vt:lpstr>Named Ranges</vt:lpstr>
      </vt:variant>
      <vt:variant>
        <vt:i4>3</vt:i4>
      </vt:variant>
    </vt:vector>
  </HeadingPairs>
  <TitlesOfParts>
    <vt:vector size="19" baseType="lpstr">
      <vt:lpstr>ToDo</vt:lpstr>
      <vt:lpstr>Track</vt:lpstr>
      <vt:lpstr>Dashboard</vt:lpstr>
      <vt:lpstr>SummaryC_Flow</vt:lpstr>
      <vt:lpstr>Charts</vt:lpstr>
      <vt:lpstr>OnePager</vt:lpstr>
      <vt:lpstr>Scenarios</vt:lpstr>
      <vt:lpstr>COMMUS_Model</vt:lpstr>
      <vt:lpstr>EITI_Rev</vt:lpstr>
      <vt:lpstr>T&amp;E</vt:lpstr>
      <vt:lpstr>Inputs_Con</vt:lpstr>
      <vt:lpstr>Inputs_TS</vt:lpstr>
      <vt:lpstr>COMMUS_23FS_Model</vt:lpstr>
      <vt:lpstr>Sources</vt:lpstr>
      <vt:lpstr>Inputs_ FS</vt:lpstr>
      <vt:lpstr>NewSheet</vt:lpstr>
      <vt:lpstr>CHK_TOL</vt:lpstr>
      <vt:lpstr>SMU</vt:lpstr>
      <vt:lpstr>USDMN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Blanchard</dc:creator>
  <cp:lastModifiedBy>Johnny West</cp:lastModifiedBy>
  <cp:lastPrinted>2025-06-04T16:18:48Z</cp:lastPrinted>
  <dcterms:created xsi:type="dcterms:W3CDTF">2025-04-02T09:03:55Z</dcterms:created>
  <dcterms:modified xsi:type="dcterms:W3CDTF">2025-07-24T11:59:13Z</dcterms:modified>
</cp:coreProperties>
</file>